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updateLinks="never" codeName="ThisWorkbook" defaultThemeVersion="124226"/>
  <xr:revisionPtr revIDLastSave="0" documentId="13_ncr:1_{37F4318A-73BF-45E2-B867-1D9A55B7ABA6}" xr6:coauthVersionLast="47" xr6:coauthVersionMax="47" xr10:uidLastSave="{00000000-0000-0000-0000-000000000000}"/>
  <bookViews>
    <workbookView xWindow="-120" yWindow="-120" windowWidth="29040" windowHeight="1584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Evaluation (2)" sheetId="36" r:id="rId10"/>
    <sheet name="Instructions" sheetId="56" r:id="rId11"/>
    <sheet name="Debrazed cutters" sheetId="59" r:id="rId12"/>
    <sheet name="Eval-LSTK" sheetId="27" r:id="rId13"/>
    <sheet name="Eval-LSTK (2)" sheetId="37" r:id="rId14"/>
    <sheet name="Quotation" sheetId="8" r:id="rId15"/>
    <sheet name="Qut. HALL." sheetId="35" r:id="rId16"/>
    <sheet name="LSTK-RC" sheetId="58" r:id="rId17"/>
    <sheet name="Rework Cutter Entry" sheetId="23" r:id="rId18"/>
    <sheet name="Rework" sheetId="48" r:id="rId19"/>
    <sheet name="Rework (2)" sheetId="49" r:id="rId20"/>
    <sheet name="Die Check Entry" sheetId="54" r:id="rId21"/>
    <sheet name="Delivery Tkt" sheetId="38" r:id="rId22"/>
    <sheet name="API Thread Inspection" sheetId="53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22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1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2">'Eval-LSTK'!$A$1:$AA$69</definedName>
    <definedName name="_xlnm.Print_Area" localSheetId="13">'Eval-LSTK (2)'!$A$1:$AI$51</definedName>
    <definedName name="_xlnm.Print_Area" localSheetId="5">Evaluation!$A$1:$AA$63</definedName>
    <definedName name="_xlnm.Print_Area" localSheetId="9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4">Quotation!$A$1:$AA$62</definedName>
    <definedName name="_xlnm.Print_Area" localSheetId="15">'Qut. HALL.'!$A$1:$AI$58</definedName>
    <definedName name="_xlnm.Print_Area" localSheetId="18">Rework!$A$1:$X$57</definedName>
    <definedName name="_xlnm.Print_Area" localSheetId="19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M73" i="56"/>
  <c r="M77" i="56"/>
  <c r="U77" i="56" s="1"/>
  <c r="M81" i="56"/>
  <c r="U81" i="56" s="1"/>
  <c r="M85" i="56"/>
  <c r="M89" i="56"/>
  <c r="M93" i="56"/>
  <c r="U93" i="56" s="1"/>
  <c r="M97" i="56"/>
  <c r="U97" i="56" s="1"/>
  <c r="M101" i="56"/>
  <c r="M105" i="56"/>
  <c r="U105" i="56" s="1"/>
  <c r="M109" i="56"/>
  <c r="U109" i="56" s="1"/>
  <c r="M113" i="56"/>
  <c r="U113" i="56" s="1"/>
  <c r="M117" i="56"/>
  <c r="M121" i="56"/>
  <c r="U121" i="56" s="1"/>
  <c r="M125" i="56"/>
  <c r="U125" i="56" s="1"/>
  <c r="M129" i="56"/>
  <c r="U129" i="56" s="1"/>
  <c r="M133" i="56"/>
  <c r="M137" i="56"/>
  <c r="M141" i="56"/>
  <c r="U141" i="56" s="1"/>
  <c r="M145" i="56"/>
  <c r="U145" i="56" s="1"/>
  <c r="M149" i="56"/>
  <c r="M153" i="56"/>
  <c r="U153" i="56" s="1"/>
  <c r="M157" i="56"/>
  <c r="U157" i="56" s="1"/>
  <c r="M161" i="56"/>
  <c r="U161" i="56" s="1"/>
  <c r="M165" i="56"/>
  <c r="M169" i="56"/>
  <c r="U169" i="56" s="1"/>
  <c r="M173" i="56"/>
  <c r="U173" i="56" s="1"/>
  <c r="M177" i="56"/>
  <c r="U177" i="56" s="1"/>
  <c r="M5" i="56"/>
  <c r="M9" i="56"/>
  <c r="U9" i="56" s="1"/>
  <c r="M13" i="56"/>
  <c r="U13" i="56" s="1"/>
  <c r="M17" i="56"/>
  <c r="U17" i="56" s="1"/>
  <c r="M21" i="56"/>
  <c r="M25" i="56"/>
  <c r="U25" i="56" s="1"/>
  <c r="M29" i="56"/>
  <c r="M33" i="56"/>
  <c r="U33" i="56" s="1"/>
  <c r="M37" i="56"/>
  <c r="M41" i="56"/>
  <c r="M45" i="56"/>
  <c r="U45" i="56" s="1"/>
  <c r="M49" i="56"/>
  <c r="M53" i="56"/>
  <c r="M57" i="56"/>
  <c r="M62" i="56"/>
  <c r="U62" i="56" s="1"/>
  <c r="M66" i="56"/>
  <c r="U66" i="56" s="1"/>
  <c r="M70" i="56"/>
  <c r="M74" i="56"/>
  <c r="M78" i="56"/>
  <c r="U78" i="56" s="1"/>
  <c r="M82" i="56"/>
  <c r="U82" i="56" s="1"/>
  <c r="M86" i="56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M202" i="56"/>
  <c r="U202" i="56" s="1"/>
  <c r="M206" i="56"/>
  <c r="U206" i="56" s="1"/>
  <c r="M210" i="56"/>
  <c r="U210" i="56" s="1"/>
  <c r="M214" i="56"/>
  <c r="M218" i="56"/>
  <c r="M222" i="56"/>
  <c r="U222" i="56" s="1"/>
  <c r="M226" i="56"/>
  <c r="U226" i="56" s="1"/>
  <c r="M230" i="56"/>
  <c r="M234" i="56"/>
  <c r="U234" i="56" s="1"/>
  <c r="M238" i="56"/>
  <c r="U238" i="56" s="1"/>
  <c r="M242" i="56"/>
  <c r="U242" i="56" s="1"/>
  <c r="M246" i="56"/>
  <c r="M250" i="56"/>
  <c r="U250" i="56" s="1"/>
  <c r="M254" i="56"/>
  <c r="U254" i="56" s="1"/>
  <c r="M258" i="56"/>
  <c r="U258" i="56" s="1"/>
  <c r="M262" i="56"/>
  <c r="M266" i="56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M92" i="56"/>
  <c r="U92" i="56" s="1"/>
  <c r="M100" i="56"/>
  <c r="U100" i="56" s="1"/>
  <c r="M108" i="56"/>
  <c r="U108" i="56" s="1"/>
  <c r="M116" i="56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84" i="56"/>
  <c r="U73" i="56"/>
  <c r="U297" i="56"/>
  <c r="U265" i="56"/>
  <c r="U41" i="56"/>
  <c r="U286" i="56"/>
  <c r="U201" i="56"/>
  <c r="U116" i="56"/>
  <c r="U148" i="56"/>
  <c r="U285" i="56"/>
  <c r="U264" i="56"/>
  <c r="U313" i="56"/>
  <c r="U185" i="56"/>
  <c r="U89" i="56"/>
  <c r="U36" i="56"/>
  <c r="U10" i="56"/>
  <c r="U301" i="56"/>
  <c r="U280" i="56"/>
  <c r="U237" i="56"/>
  <c r="U152" i="56"/>
  <c r="U88" i="56"/>
  <c r="U11" i="56"/>
  <c r="U19" i="56"/>
  <c r="U31" i="56"/>
  <c r="U63" i="56"/>
  <c r="U75" i="56"/>
  <c r="U107" i="56"/>
  <c r="U119" i="56"/>
  <c r="U127" i="56"/>
  <c r="U139" i="56"/>
  <c r="U171" i="56"/>
  <c r="U187" i="56"/>
  <c r="U195" i="56"/>
  <c r="U223" i="56"/>
  <c r="U247" i="56"/>
  <c r="U259" i="56"/>
  <c r="U267" i="56"/>
  <c r="U4" i="56"/>
  <c r="U20" i="56"/>
  <c r="U316" i="56"/>
  <c r="U310" i="56"/>
  <c r="U300" i="56"/>
  <c r="U294" i="56"/>
  <c r="U284" i="56"/>
  <c r="U278" i="56"/>
  <c r="U262" i="56"/>
  <c r="U252" i="56"/>
  <c r="U246" i="56"/>
  <c r="U230" i="56"/>
  <c r="U214" i="56"/>
  <c r="U209" i="56"/>
  <c r="U204" i="56"/>
  <c r="U198" i="56"/>
  <c r="U166" i="56"/>
  <c r="U156" i="56"/>
  <c r="U150" i="56"/>
  <c r="U134" i="56"/>
  <c r="U118" i="56"/>
  <c r="U102" i="56"/>
  <c r="U86" i="56"/>
  <c r="U70" i="56"/>
  <c r="U298" i="56"/>
  <c r="U288" i="56"/>
  <c r="U272" i="56"/>
  <c r="U266" i="56"/>
  <c r="U229" i="56"/>
  <c r="U224" i="56"/>
  <c r="U218" i="56"/>
  <c r="U186" i="56"/>
  <c r="U181" i="56"/>
  <c r="U165" i="56"/>
  <c r="U160" i="56"/>
  <c r="U154" i="56"/>
  <c r="U149" i="56"/>
  <c r="U133" i="56"/>
  <c r="U117" i="56"/>
  <c r="U106" i="56"/>
  <c r="U101" i="56"/>
  <c r="U96" i="56"/>
  <c r="U85" i="56"/>
  <c r="U74" i="56"/>
  <c r="U69" i="56"/>
  <c r="U42" i="56"/>
  <c r="U37" i="56"/>
  <c r="U26" i="56"/>
  <c r="U21" i="56"/>
  <c r="U5" i="56"/>
  <c r="U182" i="56"/>
  <c r="U137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J353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H355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I354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F355" i="2" l="1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08" i="2"/>
  <c r="K457" i="2" s="1"/>
  <c r="K412" i="2"/>
  <c r="K461" i="2" s="1"/>
  <c r="K409" i="2"/>
  <c r="K458" i="2" s="1"/>
  <c r="K413" i="2"/>
  <c r="K462" i="2" s="1"/>
  <c r="K403" i="2"/>
  <c r="K452" i="2" s="1"/>
  <c r="K406" i="2"/>
  <c r="K455" i="2" s="1"/>
  <c r="K410" i="2"/>
  <c r="K459" i="2" s="1"/>
  <c r="K402" i="2"/>
  <c r="K451" i="2" s="1"/>
  <c r="K411" i="2"/>
  <c r="K460" i="2" s="1"/>
  <c r="K404" i="2"/>
  <c r="K453" i="2" s="1"/>
  <c r="K407" i="2"/>
  <c r="K456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69" i="2" s="1"/>
  <c r="L405" i="2"/>
  <c r="L454" i="2" s="1"/>
  <c r="L471" i="2" s="1"/>
  <c r="L404" i="2"/>
  <c r="L453" i="2" s="1"/>
  <c r="L470" i="2" s="1"/>
  <c r="L407" i="2"/>
  <c r="L456" i="2" s="1"/>
  <c r="L473" i="2" s="1"/>
  <c r="L411" i="2"/>
  <c r="L460" i="2" s="1"/>
  <c r="L477" i="2" s="1"/>
  <c r="L408" i="2"/>
  <c r="L457" i="2" s="1"/>
  <c r="L474" i="2" s="1"/>
  <c r="L412" i="2"/>
  <c r="L461" i="2" s="1"/>
  <c r="L478" i="2" s="1"/>
  <c r="L409" i="2"/>
  <c r="L458" i="2" s="1"/>
  <c r="L475" i="2" s="1"/>
  <c r="L413" i="2"/>
  <c r="L462" i="2" s="1"/>
  <c r="L479" i="2" s="1"/>
  <c r="L402" i="2"/>
  <c r="L451" i="2" s="1"/>
  <c r="L468" i="2" s="1"/>
  <c r="L410" i="2"/>
  <c r="L459" i="2" s="1"/>
  <c r="L476" i="2" s="1"/>
  <c r="L406" i="2"/>
  <c r="L455" i="2" s="1"/>
  <c r="L472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05" i="2"/>
  <c r="P454" i="2" s="1"/>
  <c r="P407" i="2"/>
  <c r="P456" i="2" s="1"/>
  <c r="P411" i="2"/>
  <c r="P460" i="2" s="1"/>
  <c r="P408" i="2"/>
  <c r="P457" i="2" s="1"/>
  <c r="P412" i="2"/>
  <c r="P461" i="2" s="1"/>
  <c r="P409" i="2"/>
  <c r="P458" i="2" s="1"/>
  <c r="P410" i="2"/>
  <c r="P459" i="2" s="1"/>
  <c r="P406" i="2"/>
  <c r="P455" i="2" s="1"/>
  <c r="P402" i="2"/>
  <c r="P451" i="2" s="1"/>
  <c r="P404" i="2"/>
  <c r="P453" i="2" s="1"/>
  <c r="P413" i="2"/>
  <c r="P462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03" i="2"/>
  <c r="Q452" i="2" s="1"/>
  <c r="Q405" i="2"/>
  <c r="Q454" i="2" s="1"/>
  <c r="Q406" i="2"/>
  <c r="Q455" i="2" s="1"/>
  <c r="Q410" i="2"/>
  <c r="Q459" i="2" s="1"/>
  <c r="Q402" i="2"/>
  <c r="Q451" i="2" s="1"/>
  <c r="Q407" i="2"/>
  <c r="Q456" i="2" s="1"/>
  <c r="Q411" i="2"/>
  <c r="Q460" i="2" s="1"/>
  <c r="Q408" i="2"/>
  <c r="Q457" i="2" s="1"/>
  <c r="Q409" i="2"/>
  <c r="Q458" i="2" s="1"/>
  <c r="Q413" i="2"/>
  <c r="Q462" i="2" s="1"/>
  <c r="Q412" i="2"/>
  <c r="Q461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102" i="1"/>
  <c r="EE79" i="1"/>
  <c r="EE33" i="1"/>
  <c r="EE113" i="1"/>
  <c r="EE132" i="1"/>
  <c r="EE120" i="1"/>
  <c r="EE70" i="1"/>
  <c r="EE37" i="1"/>
  <c r="EE81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94" i="1"/>
  <c r="EE116" i="1"/>
  <c r="EE25" i="1"/>
  <c r="EE121" i="1"/>
  <c r="EE105" i="1"/>
  <c r="EE67" i="1"/>
  <c r="EE109" i="1"/>
  <c r="EE41" i="1"/>
  <c r="EE24" i="1"/>
  <c r="EE129" i="1"/>
  <c r="EE145" i="1"/>
  <c r="EE127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54" i="1"/>
  <c r="EE257" i="1"/>
  <c r="EE268" i="1"/>
  <c r="EE271" i="1"/>
  <c r="EE277" i="1"/>
  <c r="EE283" i="1"/>
  <c r="EE288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51" i="1"/>
  <c r="GT51" i="1" s="1"/>
  <c r="GO46" i="1"/>
  <c r="GT46" i="1" s="1"/>
  <c r="GO48" i="1"/>
  <c r="GT48" i="1" s="1"/>
  <c r="GO57" i="1"/>
  <c r="GT57" i="1" s="1"/>
  <c r="GO49" i="1"/>
  <c r="GT49" i="1" s="1"/>
  <c r="GO39" i="1"/>
  <c r="GT39" i="1" s="1"/>
  <c r="GO53" i="1"/>
  <c r="GT53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O2" i="1" s="1" a="1"/>
  <c r="O2" i="1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l="1"/>
  <c r="D21" i="2" s="1"/>
  <c r="D28" i="36"/>
  <c r="D36" i="3" l="1"/>
  <c r="D29" i="37"/>
  <c r="D23" i="8"/>
  <c r="E37" i="51"/>
  <c r="E36" i="27"/>
  <c r="E36" i="35"/>
  <c r="AO65" i="2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N13" i="37"/>
  <c r="N469" i="2" s="1"/>
  <c r="P16" i="37"/>
  <c r="P472" i="2" s="1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P476" i="2" s="1"/>
  <c r="M29" i="35"/>
  <c r="Y14" i="8"/>
  <c r="CD4" i="33"/>
  <c r="P24" i="35"/>
  <c r="N20" i="37"/>
  <c r="N476" i="2" s="1"/>
  <c r="P23" i="35"/>
  <c r="S24" i="35"/>
  <c r="Q18" i="37"/>
  <c r="Q474" i="2" s="1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K468" i="2" s="1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K476" i="2" s="1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K477" i="2" s="1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P468" i="2" s="1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Q475" i="2" s="1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Q473" i="2" s="1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K472" i="2" s="1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470" i="2" s="1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EP28" i="33"/>
  <c r="BE65" i="2"/>
  <c r="L18" i="37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Q478" i="2" s="1"/>
  <c r="T27" i="33"/>
  <c r="AF32" i="33"/>
  <c r="P26" i="3"/>
  <c r="O21" i="27"/>
  <c r="CD9" i="33"/>
  <c r="Q28" i="35"/>
  <c r="R11" i="33"/>
  <c r="D21" i="27"/>
  <c r="FF21" i="33"/>
  <c r="P19" i="27"/>
  <c r="K23" i="35"/>
  <c r="P18" i="37"/>
  <c r="P474" i="2" s="1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P478" i="2" s="1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P477" i="2" s="1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Q477" i="2" s="1"/>
  <c r="N17" i="8"/>
  <c r="E20" i="8"/>
  <c r="X28" i="35"/>
  <c r="Y26" i="3"/>
  <c r="H24" i="35"/>
  <c r="P15" i="37"/>
  <c r="P471" i="2" s="1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P473" i="2" s="1"/>
  <c r="BF22" i="33"/>
  <c r="S20" i="3"/>
  <c r="G27" i="27"/>
  <c r="C25" i="3"/>
  <c r="E21" i="27"/>
  <c r="P23" i="37"/>
  <c r="P479" i="2" s="1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K473" i="2" s="1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Q468" i="2" s="1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Q472" i="2" s="1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Q469" i="2" s="1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P469" i="2" s="1"/>
  <c r="AG16" i="37"/>
  <c r="G30" i="33"/>
  <c r="P18" i="8"/>
  <c r="R20" i="33"/>
  <c r="R21" i="8"/>
  <c r="V23" i="37"/>
  <c r="DR27" i="33"/>
  <c r="U19" i="37"/>
  <c r="P19" i="37"/>
  <c r="P475" i="2" s="1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Q470" i="2" s="1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K474" i="2" s="1"/>
  <c r="BA60" i="2"/>
  <c r="AC19" i="35"/>
  <c r="P14" i="37"/>
  <c r="P470" i="2" s="1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Q471" i="2" s="1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K479" i="2" s="1"/>
  <c r="P17" i="27"/>
  <c r="B20" i="33"/>
  <c r="S18" i="35"/>
  <c r="N13" i="8"/>
  <c r="DJ10" i="33"/>
  <c r="AA14" i="37"/>
  <c r="AX7" i="33"/>
  <c r="AB12" i="37"/>
  <c r="Q19" i="8"/>
  <c r="Q23" i="37"/>
  <c r="Q479" i="2" s="1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K475" i="2" s="1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R25" i="35"/>
  <c r="B23" i="33"/>
  <c r="Q20" i="37"/>
  <c r="Q476" i="2" s="1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K478" i="2" s="1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K469" i="2" s="1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K471" i="2" s="1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EE284" i="1" s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EE171" i="1" s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E294" i="1" s="1"/>
  <c r="E28" i="1"/>
  <c r="BI60" i="2"/>
  <c r="E18" i="1"/>
  <c r="EE296" i="1" s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243" i="1" s="1"/>
  <c r="C64" i="45" a="1"/>
  <c r="AQ103" i="2"/>
  <c r="AQ101" i="2"/>
  <c r="E19" i="1"/>
  <c r="E24" i="1"/>
  <c r="E27" i="1"/>
  <c r="AZ69" i="2"/>
  <c r="AZ71" i="2" s="1"/>
  <c r="AR80" i="2"/>
  <c r="AR81" i="2" s="1"/>
  <c r="EE262" i="1" l="1"/>
  <c r="EE286" i="1"/>
  <c r="EE73" i="1"/>
  <c r="EE212" i="1"/>
  <c r="EE42" i="1"/>
  <c r="EE293" i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H46" i="35" s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R50" i="3" l="1"/>
  <c r="V42" i="36" s="1"/>
  <c r="GO47" i="1"/>
  <c r="GT47" i="1" s="1"/>
  <c r="AH2" i="3"/>
  <c r="K51" i="8"/>
  <c r="S51" i="8"/>
  <c r="AB46" i="35" s="1"/>
  <c r="AE46" i="35" s="1"/>
  <c r="GO45" i="1"/>
  <c r="GT45" i="1" s="1"/>
  <c r="GU28" i="1" s="1"/>
  <c r="S56" i="8"/>
  <c r="U56" i="8" s="1"/>
  <c r="AE44" i="3"/>
  <c r="AJ2" i="3"/>
  <c r="S55" i="8"/>
  <c r="W55" i="8" s="1"/>
  <c r="AN55" i="8" s="1"/>
  <c r="S54" i="8"/>
  <c r="U54" i="8" s="1"/>
  <c r="S53" i="8"/>
  <c r="U53" i="8" s="1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W56" i="8"/>
  <c r="AN56" i="8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W53" i="8" l="1"/>
  <c r="AN53" i="8" s="1"/>
  <c r="U51" i="8"/>
  <c r="W51" i="8"/>
  <c r="AN51" i="8" s="1"/>
  <c r="GU21" i="1"/>
  <c r="GW21" i="1" s="1"/>
  <c r="GU20" i="1"/>
  <c r="HA20" i="1" s="1"/>
  <c r="GU29" i="1"/>
  <c r="GW29" i="1" s="1"/>
  <c r="GU22" i="1"/>
  <c r="GU25" i="1"/>
  <c r="GU23" i="1"/>
  <c r="GU26" i="1"/>
  <c r="GU24" i="1"/>
  <c r="GU27" i="1"/>
  <c r="GU30" i="1"/>
  <c r="HE30" i="1" s="1"/>
  <c r="T55" i="51" s="1"/>
  <c r="W54" i="8"/>
  <c r="AN54" i="8" s="1"/>
  <c r="AB49" i="35"/>
  <c r="AE49" i="35" s="1"/>
  <c r="AB1" i="3"/>
  <c r="U55" i="8"/>
  <c r="AB48" i="35"/>
  <c r="AE48" i="35" s="1"/>
  <c r="Y55" i="8"/>
  <c r="Y56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GW28" i="1"/>
  <c r="GV28" i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HE21" i="1" l="1"/>
  <c r="T46" i="51" s="1"/>
  <c r="Y53" i="8"/>
  <c r="HA21" i="1"/>
  <c r="GV21" i="1"/>
  <c r="P46" i="51" s="1"/>
  <c r="GZ21" i="1"/>
  <c r="GX21" i="1"/>
  <c r="HG21" i="1"/>
  <c r="C46" i="51" s="1"/>
  <c r="AK46" i="51" s="1"/>
  <c r="HD21" i="1"/>
  <c r="X46" i="51" s="1"/>
  <c r="HB21" i="1"/>
  <c r="HF21" i="1"/>
  <c r="A46" i="51" s="1"/>
  <c r="HC21" i="1"/>
  <c r="V46" i="51" s="1"/>
  <c r="GY21" i="1"/>
  <c r="GW20" i="1"/>
  <c r="HC20" i="1"/>
  <c r="HE20" i="1"/>
  <c r="GY20" i="1"/>
  <c r="HD20" i="1"/>
  <c r="GV20" i="1"/>
  <c r="GX20" i="1"/>
  <c r="HG20" i="1"/>
  <c r="HB20" i="1"/>
  <c r="Y54" i="8"/>
  <c r="Y51" i="8"/>
  <c r="HA29" i="1"/>
  <c r="HE29" i="1"/>
  <c r="T54" i="51" s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Z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Z53" i="51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AN58" i="8"/>
  <c r="O32" i="1" s="1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46" i="51" l="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P55" i="51" s="1"/>
  <c r="AS114" i="2"/>
  <c r="O4" i="1"/>
  <c r="AM21" i="51"/>
  <c r="H32" i="51"/>
  <c r="AM19" i="51"/>
  <c r="AM20" i="51"/>
  <c r="A32" i="51"/>
  <c r="L32" i="51"/>
  <c r="I41" i="5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<sst xmlns="http://schemas.openxmlformats.org/spreadsheetml/2006/main" count="11549" uniqueCount="2537">
  <si>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</si>
  <si>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</si>
  <si>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</si>
  <si>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</si>
  <si>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</si>
  <si>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</si>
  <si>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</si>
  <si>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</si>
  <si>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</si>
  <si>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</si>
  <si>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</si>
  <si>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</si>
  <si>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</si>
  <si>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</si>
  <si>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</si>
  <si>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</si>
  <si>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</si>
  <si>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</si>
  <si>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</si>
  <si>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</si>
  <si>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</si>
  <si>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</si>
  <si>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</si>
  <si>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</si>
  <si>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</si>
  <si>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</si>
  <si>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</si>
  <si>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</si>
  <si>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</si>
  <si>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</si>
  <si>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</si>
  <si>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</si>
  <si>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</si>
  <si>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</si>
  <si>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</si>
  <si>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</si>
  <si>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</si>
  <si>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</si>
  <si>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</si>
  <si>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</si>
  <si>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</si>
  <si>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</si>
  <si>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</si>
  <si>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</si>
  <si>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</si>
  <si>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</si>
  <si>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</si>
  <si>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</si>
  <si>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</si>
  <si>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</si>
  <si>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</si>
  <si>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</si>
  <si>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</si>
  <si>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</si>
  <si>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</si>
  <si>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</si>
  <si>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</si>
  <si>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</si>
  <si>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</si>
  <si>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</si>
  <si>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</si>
  <si>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</si>
  <si>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</si>
  <si>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</si>
  <si>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</si>
  <si>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</si>
  <si>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</si>
  <si>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</si>
  <si>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</si>
  <si>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</si>
  <si>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</si>
  <si>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</si>
  <si>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</si>
  <si>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</si>
  <si>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</si>
  <si>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</si>
  <si>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</si>
  <si>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</si>
  <si>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</si>
  <si>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</si>
  <si>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</si>
  <si>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</si>
  <si>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</si>
  <si>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</si>
  <si>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</si>
  <si>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</si>
  <si>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</si>
  <si>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</si>
  <si>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</si>
  <si>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</si>
  <si>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</si>
  <si>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</si>
  <si>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</si>
  <si>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</si>
  <si>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</si>
  <si>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</si>
  <si>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</si>
  <si>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</si>
  <si>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</si>
  <si>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</si>
  <si>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</si>
  <si>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</si>
  <si>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</si>
  <si>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</si>
  <si>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</si>
  <si>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</si>
  <si>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</si>
  <si>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</si>
  <si>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</si>
  <si>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</si>
  <si>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</si>
  <si>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</si>
  <si>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</si>
  <si>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</si>
  <si>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</si>
  <si>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</si>
  <si>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</si>
  <si>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</si>
  <si>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</si>
  <si>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</si>
  <si>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</si>
  <si>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</si>
  <si>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</si>
  <si>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</si>
  <si>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</si>
  <si>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</si>
  <si>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</si>
  <si>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</si>
  <si>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</si>
  <si>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</si>
  <si>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</si>
  <si>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</si>
  <si>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</si>
  <si>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</si>
  <si>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</si>
  <si>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</si>
  <si>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</si>
  <si>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</si>
  <si>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</si>
  <si>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</si>
  <si>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</si>
  <si>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</si>
  <si>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</si>
  <si>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</si>
  <si>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</si>
  <si>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</si>
  <si>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</si>
  <si>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</si>
  <si>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</si>
  <si>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</si>
  <si>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</si>
  <si>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</si>
  <si>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</si>
  <si>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</si>
  <si>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</si>
  <si>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</si>
  <si>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</si>
  <si>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</si>
  <si>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</si>
  <si>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</si>
  <si>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</si>
  <si>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</si>
  <si>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</si>
  <si>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</si>
  <si>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</si>
  <si>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</si>
  <si>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</si>
  <si>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</si>
  <si>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</si>
  <si>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</si>
  <si>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</si>
  <si>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</si>
  <si>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</si>
  <si>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</si>
  <si>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</si>
  <si>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</si>
  <si>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</si>
  <si>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</si>
  <si>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</si>
  <si>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</si>
  <si>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</si>
  <si>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</si>
  <si>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</si>
  <si>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</si>
  <si>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</si>
  <si>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</si>
  <si>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</si>
  <si>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</si>
  <si>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</si>
  <si>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</si>
  <si>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</si>
  <si>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</si>
  <si>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</si>
  <si>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</si>
  <si>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</si>
  <si>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</si>
  <si>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</si>
  <si>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</si>
  <si>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</si>
  <si>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</si>
  <si>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</si>
  <si>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</si>
  <si>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</si>
  <si>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</si>
  <si>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</si>
  <si>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</si>
  <si>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</si>
  <si>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</si>
  <si>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</si>
  <si>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</si>
  <si>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</si>
  <si>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</si>
  <si>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</si>
  <si>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</si>
  <si>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</si>
  <si>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</si>
  <si>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</si>
  <si>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</si>
  <si>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</si>
  <si>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</si>
  <si>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</si>
  <si>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</si>
  <si>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</si>
  <si>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</si>
  <si>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</si>
  <si>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</si>
  <si>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</si>
  <si>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</si>
  <si>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</si>
  <si>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</si>
  <si>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</si>
  <si>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</si>
  <si>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</si>
  <si>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</si>
  <si>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</si>
  <si>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</si>
  <si>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</si>
  <si>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</si>
  <si>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</si>
  <si>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</si>
  <si>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</si>
  <si>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</si>
  <si>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</si>
  <si>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</si>
  <si>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</si>
  <si>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</si>
  <si>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</si>
  <si>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</si>
  <si>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</si>
  <si>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</si>
  <si>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</si>
  <si>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</si>
  <si>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</si>
  <si>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</si>
  <si>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</si>
  <si>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</si>
  <si>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</si>
  <si>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</si>
  <si>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</si>
  <si>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</si>
  <si>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</si>
  <si>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</si>
  <si>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</si>
  <si>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</si>
  <si>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</si>
  <si>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</si>
  <si>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</si>
  <si>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</si>
  <si>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</si>
  <si>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</si>
  <si>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</si>
  <si>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</si>
  <si>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</si>
  <si>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</si>
  <si>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</si>
  <si>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</si>
  <si>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</si>
  <si>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</si>
  <si>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</si>
  <si>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</si>
  <si>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</si>
  <si>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</si>
  <si>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</si>
  <si>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</si>
  <si>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</si>
  <si>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</si>
  <si>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</si>
  <si>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</si>
  <si>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</si>
  <si>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</si>
  <si>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</si>
  <si>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</si>
  <si>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</si>
  <si>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</si>
  <si>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</si>
  <si>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</si>
  <si>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</si>
  <si>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</si>
  <si>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</si>
  <si>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</si>
  <si>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</si>
  <si>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</si>
  <si>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</si>
  <si>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</si>
  <si>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</si>
  <si>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</si>
  <si>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</si>
  <si>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</si>
  <si>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</si>
  <si>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</si>
  <si>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</si>
  <si>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</si>
  <si>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</si>
  <si>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</si>
  <si>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</si>
  <si>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</si>
  <si>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</si>
  <si>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</si>
  <si>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</si>
  <si>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</si>
  <si>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</si>
  <si>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</si>
  <si>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</si>
  <si>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</si>
  <si>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</si>
  <si>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</si>
  <si>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</si>
  <si>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</si>
  <si>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</si>
  <si>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</si>
  <si>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</si>
  <si>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</si>
  <si>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</si>
  <si>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</si>
  <si>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</si>
  <si>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</si>
  <si>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</si>
  <si>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</si>
  <si>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</si>
  <si>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</si>
  <si>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</si>
  <si>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</si>
  <si>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</si>
  <si>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</si>
  <si>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</si>
  <si>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</si>
  <si>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</si>
  <si>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</si>
  <si>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</si>
  <si>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</si>
  <si>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</si>
  <si>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</si>
  <si>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</si>
  <si>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</si>
  <si>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</si>
  <si>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</si>
  <si>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</si>
  <si>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</si>
  <si>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</si>
  <si>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</si>
  <si>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</si>
  <si>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</si>
  <si>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</si>
  <si>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</si>
  <si>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</si>
  <si>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</si>
  <si>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</si>
  <si>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</si>
  <si>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</si>
  <si>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</si>
  <si>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</si>
  <si>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</si>
  <si>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</si>
  <si>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</si>
  <si>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</si>
  <si>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</si>
  <si>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</si>
  <si>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</si>
  <si>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</si>
  <si>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</si>
  <si>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</si>
  <si>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</si>
  <si>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</si>
  <si>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</si>
  <si>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</si>
  <si>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</si>
  <si>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</si>
  <si>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</si>
  <si>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</si>
  <si>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</si>
  <si>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</si>
  <si>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</si>
  <si>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</si>
  <si>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</si>
  <si>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</si>
  <si>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</si>
  <si>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</si>
  <si>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</si>
  <si>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</si>
  <si>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</si>
  <si>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</si>
  <si>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</si>
  <si>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</si>
  <si>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</si>
  <si>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</si>
  <si>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</si>
  <si>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</si>
  <si>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</si>
  <si>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</si>
  <si>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</si>
  <si>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</si>
  <si>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</si>
  <si>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</si>
  <si>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</si>
  <si>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</si>
  <si>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</si>
  <si>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</si>
  <si>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</si>
  <si>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</si>
  <si>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</si>
  <si>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</si>
  <si>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</si>
  <si>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</si>
  <si>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</si>
  <si>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</si>
  <si>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</si>
  <si>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</si>
  <si>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</si>
  <si>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</si>
  <si>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</si>
  <si>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</si>
  <si>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</si>
  <si>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</si>
  <si>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</si>
  <si>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</si>
  <si>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</si>
  <si>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</si>
  <si>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</si>
  <si>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</si>
  <si>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</si>
  <si>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</si>
  <si>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</si>
  <si>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</si>
  <si>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</si>
  <si>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</si>
  <si>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</si>
  <si>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</si>
  <si>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</si>
  <si>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</si>
  <si>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</si>
  <si>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</si>
  <si>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</si>
  <si>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</si>
  <si>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</si>
  <si>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</si>
  <si>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</si>
  <si>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</si>
  <si>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</si>
  <si>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</si>
  <si>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</si>
  <si>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</si>
  <si>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</si>
  <si>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</si>
  <si>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</si>
  <si>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</si>
  <si>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</si>
  <si>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</si>
  <si>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</si>
  <si>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</si>
  <si>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</si>
  <si>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</si>
  <si>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</si>
  <si>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</si>
  <si>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</si>
  <si>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</si>
  <si>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</si>
  <si>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</si>
  <si>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</si>
  <si>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</si>
  <si>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</si>
  <si>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</si>
  <si>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</si>
  <si>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</si>
  <si>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</si>
  <si>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</si>
  <si>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</si>
  <si>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</si>
  <si>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</si>
  <si>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</si>
  <si>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</si>
  <si>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</si>
  <si>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</si>
  <si>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</si>
  <si>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</si>
  <si>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</si>
  <si>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</si>
  <si>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</si>
  <si>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</si>
  <si>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</si>
  <si>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</si>
  <si>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</si>
  <si>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</si>
  <si>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</si>
  <si>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</si>
  <si>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</si>
  <si>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</si>
  <si>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</si>
  <si>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</si>
  <si>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</si>
  <si>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</si>
  <si>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</si>
  <si>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</si>
  <si>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</si>
  <si>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</si>
  <si>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</si>
  <si>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</si>
  <si>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</si>
  <si>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</si>
  <si>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</si>
  <si>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</si>
  <si>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</si>
  <si>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</si>
  <si>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</si>
  <si>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</si>
  <si>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</si>
  <si>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</si>
  <si>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</si>
  <si>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</si>
  <si>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</si>
  <si>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</si>
  <si>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</si>
  <si>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</si>
  <si>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</si>
  <si>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</si>
  <si>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</si>
  <si>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</si>
  <si>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</si>
  <si>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</si>
  <si>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</si>
  <si>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</si>
  <si>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</si>
  <si>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</si>
  <si>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</si>
  <si>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</si>
  <si>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</si>
  <si>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</si>
  <si>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</si>
  <si>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</si>
  <si>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</si>
  <si>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</si>
  <si>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</si>
  <si>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</si>
  <si>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</si>
  <si>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</si>
  <si>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</si>
  <si>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</si>
  <si>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</si>
  <si>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</si>
  <si>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</si>
  <si>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</si>
  <si>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</si>
  <si>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</si>
  <si>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</si>
  <si>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</si>
  <si>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</si>
  <si>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</si>
  <si>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</si>
  <si>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</si>
  <si>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</si>
  <si>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</si>
  <si>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</si>
  <si>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</si>
  <si>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</si>
  <si>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</si>
  <si>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</si>
  <si>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</si>
  <si>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</si>
  <si>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</si>
  <si>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</si>
  <si>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</si>
  <si>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</si>
  <si>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</si>
  <si>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</si>
  <si>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</si>
  <si>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</si>
  <si>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</si>
  <si>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</si>
  <si>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</si>
  <si>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</si>
  <si>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</si>
  <si>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</si>
  <si>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</si>
  <si>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</si>
  <si>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</si>
  <si>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</si>
  <si>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</si>
  <si>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</si>
  <si>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</si>
  <si>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</si>
  <si>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</si>
  <si>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</si>
  <si>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</si>
  <si>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</si>
  <si>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</si>
  <si>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</si>
  <si>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</si>
  <si>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</si>
  <si>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</si>
  <si>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</si>
  <si>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</si>
  <si>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</si>
  <si>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</si>
  <si>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</si>
  <si>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</si>
  <si>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</si>
  <si>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</si>
  <si>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</si>
  <si>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</si>
  <si>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</si>
  <si>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</si>
  <si>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</si>
  <si>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</si>
  <si>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</si>
  <si>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</si>
  <si>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</si>
  <si>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</si>
  <si>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</si>
  <si>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</si>
  <si>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</si>
  <si>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</si>
  <si>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</si>
  <si>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</si>
  <si>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</si>
  <si>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</si>
  <si>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</si>
  <si>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</si>
  <si>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</si>
  <si>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</si>
  <si>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</si>
  <si>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</si>
  <si>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</si>
  <si>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</si>
  <si>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</si>
  <si>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</si>
  <si>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</si>
  <si>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</si>
  <si>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</si>
  <si>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</si>
  <si>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</si>
  <si>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</si>
  <si>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</si>
  <si>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</si>
  <si>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</si>
  <si>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</si>
  <si>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</si>
  <si>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</si>
  <si>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</si>
  <si>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</si>
  <si>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</si>
  <si>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</si>
  <si>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</si>
  <si>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</si>
  <si>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</si>
  <si>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</si>
  <si>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</si>
  <si>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</si>
  <si>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</si>
  <si>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</si>
  <si>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</si>
  <si>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</si>
  <si>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</si>
  <si>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</si>
  <si>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</si>
  <si>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</si>
  <si>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</si>
  <si>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</si>
  <si>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</si>
  <si>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</si>
  <si>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</si>
  <si>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</si>
  <si>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</si>
  <si>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</si>
  <si>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</si>
  <si>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</si>
  <si>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</si>
  <si>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</si>
  <si>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</si>
  <si>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</si>
  <si>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</si>
  <si>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</si>
  <si>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</si>
  <si>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</si>
  <si>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</si>
  <si>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</si>
  <si>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</si>
  <si>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</si>
  <si>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</si>
  <si>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</si>
  <si>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</si>
  <si>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</si>
  <si>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</si>
  <si>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</si>
  <si>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</si>
  <si>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</si>
  <si>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</si>
  <si>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</si>
  <si>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</si>
  <si>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</si>
  <si>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</si>
  <si>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</si>
  <si>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</si>
  <si>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</si>
  <si>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</si>
  <si>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</si>
  <si>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</si>
  <si>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</si>
  <si>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</si>
  <si>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</si>
  <si>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</si>
  <si>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</si>
  <si>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</si>
  <si>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</si>
  <si>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</si>
  <si>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</si>
  <si>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</si>
  <si>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</si>
  <si>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</si>
  <si>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</si>
  <si>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</si>
  <si>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</si>
  <si>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</si>
  <si>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</si>
  <si>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</si>
  <si>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</si>
  <si>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</si>
  <si>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</si>
  <si>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</si>
  <si>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</si>
  <si>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</si>
  <si>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</si>
  <si>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</si>
  <si>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</si>
  <si>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</si>
  <si>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</si>
  <si>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</si>
  <si>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</si>
  <si>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</si>
  <si>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</si>
  <si>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</si>
  <si>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</si>
  <si>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</si>
  <si>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</si>
  <si>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</si>
  <si>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</si>
  <si>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</si>
  <si>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</si>
  <si>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</si>
  <si>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</si>
  <si>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</si>
  <si>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</si>
  <si>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</si>
  <si>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</si>
  <si>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</si>
  <si>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</si>
  <si>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</si>
  <si>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</si>
  <si>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</si>
  <si>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</si>
  <si>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</si>
  <si>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</si>
  <si>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</si>
  <si>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</si>
  <si>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</si>
  <si>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</si>
  <si>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</si>
  <si>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</si>
  <si>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</si>
  <si>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</si>
  <si>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</si>
  <si>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</si>
  <si>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</si>
  <si>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</si>
  <si>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</si>
  <si>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</si>
  <si>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</si>
  <si>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</si>
  <si>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</si>
  <si>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</si>
  <si>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</si>
  <si>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</si>
  <si>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</si>
  <si>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</si>
  <si>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</si>
  <si>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</si>
  <si>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</si>
  <si>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</si>
  <si>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</si>
  <si>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</si>
  <si>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</si>
  <si>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</si>
  <si>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</si>
  <si>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</si>
  <si>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</si>
  <si>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</si>
  <si>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</si>
  <si>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</si>
  <si>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</si>
  <si>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</si>
  <si>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</si>
  <si>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</si>
  <si>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</si>
  <si>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</si>
  <si>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</si>
  <si>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</si>
  <si>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</si>
  <si>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</si>
  <si>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</si>
  <si>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</si>
  <si>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</si>
  <si>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</si>
  <si>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</si>
  <si>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</si>
  <si>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</si>
  <si>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</si>
  <si>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</si>
  <si>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</si>
  <si>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</si>
  <si>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</si>
  <si>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</si>
  <si>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</si>
  <si>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</si>
  <si>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</si>
  <si>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</si>
  <si>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</si>
  <si>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</si>
  <si>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</si>
  <si>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</si>
  <si>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</si>
  <si>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</si>
  <si>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</si>
  <si>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</si>
  <si>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</si>
  <si>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</si>
  <si>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</si>
  <si>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</si>
  <si>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</si>
  <si>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</si>
  <si>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</si>
  <si>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</si>
  <si>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</si>
  <si>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</si>
  <si>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</si>
  <si>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</si>
  <si>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</si>
  <si>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</si>
  <si>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</si>
  <si>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</si>
  <si>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</si>
  <si>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</si>
  <si>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</si>
  <si>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</si>
  <si>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</si>
  <si>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</si>
  <si>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</si>
  <si>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</si>
  <si>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</si>
  <si>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</si>
  <si>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</si>
  <si>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</si>
  <si>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</si>
  <si>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</si>
  <si>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</si>
  <si>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</si>
  <si>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</si>
  <si>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</si>
  <si>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</si>
  <si>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</si>
  <si>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</si>
  <si>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</si>
  <si>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</si>
  <si>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</si>
  <si>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</si>
  <si>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</si>
  <si>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</si>
  <si>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</si>
  <si>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</si>
  <si>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</si>
  <si>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</si>
  <si>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</si>
  <si>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</si>
  <si>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</si>
  <si>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</si>
  <si>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</si>
  <si>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</si>
  <si>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</si>
  <si>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</si>
  <si>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</si>
  <si>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</si>
  <si>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</si>
  <si>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</si>
  <si>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</si>
  <si>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</si>
  <si>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</si>
  <si>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</si>
  <si>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</si>
  <si>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</si>
  <si>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</si>
  <si>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</si>
  <si>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</si>
  <si>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</si>
  <si>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</si>
  <si>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</si>
  <si>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</si>
  <si>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</si>
  <si>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</si>
  <si>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</si>
  <si>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</si>
  <si>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</si>
  <si>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</si>
  <si>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</si>
  <si>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</si>
  <si>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</si>
  <si>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</si>
  <si>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</si>
  <si>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</si>
  <si>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</si>
  <si>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</si>
  <si>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</si>
  <si>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</si>
  <si>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</si>
  <si>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</si>
  <si>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</si>
  <si>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</si>
  <si>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</si>
  <si>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</si>
  <si>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</si>
  <si>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</si>
  <si>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</si>
  <si>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</si>
  <si>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</si>
  <si>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</si>
  <si>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</si>
  <si>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</si>
  <si>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</si>
  <si>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</si>
  <si>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</si>
  <si>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</si>
  <si>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</si>
  <si>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</si>
  <si>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</si>
  <si>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</si>
  <si>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</si>
  <si>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</si>
  <si>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</si>
  <si>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</si>
  <si>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</si>
  <si>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</si>
  <si>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</si>
  <si>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</si>
  <si>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</si>
  <si>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</si>
  <si>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</si>
  <si>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</si>
  <si>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</si>
  <si>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</si>
  <si>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</si>
  <si>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</si>
  <si>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</si>
  <si>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</si>
  <si>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</si>
  <si>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</si>
  <si>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</si>
  <si>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</si>
  <si>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</si>
  <si>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</si>
  <si>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</si>
  <si>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</si>
  <si>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</si>
  <si>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</si>
  <si>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</si>
  <si>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</si>
  <si>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</si>
  <si>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</si>
  <si>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</si>
  <si>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</si>
  <si>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</si>
  <si>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</si>
  <si>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</si>
  <si>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</si>
  <si>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</si>
  <si>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</si>
  <si>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</si>
  <si>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</si>
  <si>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</si>
  <si>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</si>
  <si>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</si>
  <si>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</si>
  <si>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</si>
  <si>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</si>
  <si>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</si>
  <si>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</si>
  <si>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</si>
  <si>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</si>
  <si>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</si>
  <si>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</si>
  <si>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</si>
  <si>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</si>
  <si>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</si>
  <si>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</si>
  <si>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</si>
  <si>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</si>
  <si>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</si>
  <si>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</si>
  <si>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</si>
  <si>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</si>
  <si>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</si>
  <si>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</si>
  <si>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</si>
  <si>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</si>
  <si>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</si>
  <si>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</si>
  <si>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</si>
  <si>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</si>
  <si>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</si>
  <si>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</si>
  <si>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</si>
  <si>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</si>
  <si>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</si>
  <si>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</si>
  <si>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</si>
  <si>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</si>
  <si>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</si>
  <si>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</si>
  <si>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</si>
  <si>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</si>
  <si>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</si>
  <si>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</si>
  <si>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</si>
  <si>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</si>
  <si>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</si>
  <si>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</si>
  <si>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</si>
  <si>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</si>
  <si>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</si>
  <si>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</si>
  <si>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</si>
  <si>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</si>
  <si>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</si>
  <si>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</si>
  <si>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</si>
  <si>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</si>
  <si>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</si>
  <si>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</si>
  <si>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</si>
  <si>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</si>
  <si>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</si>
  <si>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</si>
  <si>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</si>
  <si>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</si>
  <si>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</si>
  <si>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</si>
  <si>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</si>
  <si>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</si>
  <si>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</si>
  <si>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</si>
  <si>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</si>
  <si>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</si>
  <si>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</si>
  <si>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</si>
  <si>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</si>
  <si>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</si>
  <si>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</si>
  <si>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</si>
  <si>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</si>
  <si>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</si>
  <si>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</si>
  <si>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</si>
  <si>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</si>
  <si>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</si>
  <si>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</si>
  <si>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</si>
  <si>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</si>
  <si>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</si>
  <si>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</si>
  <si>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</si>
  <si>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</si>
  <si>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</si>
  <si>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</si>
  <si>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</si>
  <si>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</si>
  <si>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</si>
  <si>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</si>
  <si>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</si>
  <si>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</si>
  <si>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</si>
  <si>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</si>
  <si>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</si>
  <si>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</si>
  <si>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</si>
  <si>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</si>
  <si>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</si>
  <si>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</si>
  <si>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</si>
  <si>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</si>
  <si>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</si>
  <si>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</si>
  <si>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</si>
  <si>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</si>
  <si>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</si>
  <si>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</si>
  <si>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</si>
  <si>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</si>
  <si>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</si>
  <si>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</si>
  <si>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</si>
  <si>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</si>
  <si>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</si>
  <si>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</si>
  <si>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</si>
  <si>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</si>
  <si>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</si>
  <si>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</si>
  <si>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</si>
  <si>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</si>
  <si>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</si>
  <si>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</si>
  <si>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</si>
  <si>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</si>
  <si>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</si>
  <si>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</si>
  <si>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</si>
  <si>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</si>
  <si>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</si>
  <si>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</si>
  <si>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</si>
  <si>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</si>
  <si>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</si>
  <si>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</si>
  <si>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</si>
  <si>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</si>
  <si>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</si>
  <si>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</si>
  <si>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</si>
  <si>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</si>
  <si>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</si>
  <si>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</si>
  <si>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</si>
  <si>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</si>
  <si>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</si>
  <si>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</si>
  <si>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</si>
  <si>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</si>
  <si>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</si>
  <si>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</si>
  <si>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</si>
  <si>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</si>
  <si>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</si>
  <si>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</si>
  <si>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</si>
  <si>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</si>
  <si>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</si>
  <si>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</si>
  <si>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</si>
  <si>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</si>
  <si>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</si>
  <si>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</si>
  <si>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</si>
  <si>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</si>
  <si>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</si>
  <si>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</si>
  <si>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</si>
  <si>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</si>
  <si>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</si>
  <si>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</si>
  <si>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</si>
  <si>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</si>
  <si>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</si>
  <si>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</si>
  <si>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</si>
  <si>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</si>
  <si>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</si>
  <si>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</si>
  <si>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</si>
  <si>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</si>
  <si>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</si>
  <si>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</si>
  <si>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</si>
  <si>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</si>
  <si>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</si>
  <si>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</si>
  <si>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</si>
  <si>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</si>
  <si>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</si>
  <si>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</si>
  <si>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</si>
  <si>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</si>
  <si>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</si>
  <si>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</si>
  <si>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</si>
  <si>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</si>
  <si>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</si>
  <si>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</si>
  <si>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</si>
  <si>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</si>
  <si>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</si>
  <si>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</si>
  <si>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</si>
  <si>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</si>
  <si>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</si>
  <si>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</si>
  <si>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</si>
  <si>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</si>
  <si>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</si>
  <si>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</si>
  <si>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</si>
  <si>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</si>
  <si>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</si>
  <si>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</si>
  <si>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</si>
  <si>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</si>
  <si>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</si>
  <si>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</si>
  <si>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</si>
  <si>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</si>
  <si>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</si>
  <si>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</si>
  <si>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</si>
  <si>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</si>
  <si>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</si>
  <si>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</si>
  <si>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</si>
  <si>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</si>
  <si>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</si>
  <si>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</si>
  <si>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</si>
  <si>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</si>
  <si>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</si>
  <si>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</si>
  <si>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</si>
  <si>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</si>
  <si>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</si>
  <si>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</si>
  <si>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</si>
  <si>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</si>
  <si>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</si>
  <si>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</si>
  <si>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</si>
  <si>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</si>
  <si>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</si>
  <si>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</si>
  <si>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</si>
  <si>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</si>
  <si>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</si>
  <si>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</si>
  <si>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</si>
  <si>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</si>
  <si>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</si>
  <si>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</si>
  <si>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</si>
  <si>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</si>
  <si>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</si>
  <si>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</si>
  <si>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</si>
  <si>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</si>
  <si>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</si>
  <si>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</si>
  <si>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</si>
  <si>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</si>
  <si>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</si>
  <si>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</si>
  <si>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</si>
  <si>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</si>
  <si>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</si>
  <si>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</si>
  <si>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</si>
  <si>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</si>
  <si>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</si>
  <si>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</si>
  <si>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</si>
  <si>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</si>
  <si>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</si>
  <si>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</si>
  <si>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</si>
  <si>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</si>
  <si>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</si>
  <si>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</si>
  <si>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</si>
  <si>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</si>
  <si>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</si>
  <si>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</si>
  <si>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</si>
  <si>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</si>
  <si>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</si>
  <si>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</si>
  <si>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</si>
  <si>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</si>
  <si>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</si>
  <si>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</si>
  <si>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</si>
  <si>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</si>
  <si>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</si>
  <si>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</si>
  <si>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</si>
  <si>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</si>
  <si>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</si>
  <si>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</si>
  <si>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</si>
  <si>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</si>
  <si>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</si>
  <si>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</si>
  <si>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</si>
  <si>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</si>
  <si>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</si>
  <si>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</si>
  <si>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</si>
  <si>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</si>
  <si>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</si>
  <si>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</si>
  <si>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</si>
  <si>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</si>
  <si>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</si>
  <si>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</si>
  <si>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</si>
  <si>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</si>
  <si>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</si>
  <si>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</si>
  <si>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</si>
  <si>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</si>
  <si>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</si>
  <si>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</si>
  <si>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</si>
  <si>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</si>
  <si>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</si>
  <si>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</si>
  <si>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</si>
  <si>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</si>
  <si>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</si>
  <si>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</si>
  <si>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</si>
  <si>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</si>
  <si>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</si>
  <si>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</si>
  <si>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</si>
  <si>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</si>
  <si>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</si>
  <si>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</si>
  <si>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</si>
  <si>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</si>
  <si>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</si>
  <si>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</si>
  <si>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</si>
  <si>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</si>
  <si>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</si>
  <si>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</si>
  <si>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</si>
  <si>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</si>
  <si>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</si>
  <si>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</si>
  <si>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</si>
  <si>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</si>
  <si>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</si>
  <si>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</si>
  <si>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</si>
  <si>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</si>
  <si>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</si>
  <si>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</si>
  <si>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</si>
  <si>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</si>
  <si>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</si>
  <si>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</si>
  <si>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</si>
  <si>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</si>
  <si>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</si>
  <si>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</si>
  <si>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</si>
  <si>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</si>
  <si>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</si>
  <si>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</si>
  <si>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</si>
  <si>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</si>
  <si>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</si>
  <si>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</si>
  <si>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</si>
  <si>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</si>
  <si>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</si>
  <si>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</si>
  <si>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</si>
  <si>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</si>
  <si>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</si>
  <si>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</si>
  <si>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</si>
  <si>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</si>
  <si>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</si>
  <si>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</si>
  <si>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</si>
  <si>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</si>
  <si>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</si>
  <si>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</si>
  <si>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</si>
  <si>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</si>
  <si>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</si>
  <si>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</si>
  <si>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</si>
  <si>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</si>
  <si>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</si>
  <si>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</si>
  <si>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</si>
  <si>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</si>
  <si>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</si>
  <si>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</si>
  <si>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</si>
  <si>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</si>
  <si>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</si>
  <si>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</si>
  <si>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</si>
  <si>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</si>
  <si>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</si>
  <si>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</si>
  <si>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</si>
  <si>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</si>
  <si>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</si>
  <si>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</si>
  <si>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</si>
  <si>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</si>
  <si>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</si>
  <si>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</si>
  <si>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</si>
  <si>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</si>
  <si>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</si>
  <si>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</si>
  <si>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</si>
  <si>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</si>
  <si>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</si>
  <si>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</si>
  <si>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</si>
  <si>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</si>
  <si>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</si>
  <si>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</si>
  <si>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</si>
  <si>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</si>
  <si>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</si>
  <si>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</si>
  <si>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</si>
  <si>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</si>
  <si>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</si>
  <si>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</si>
  <si>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</si>
  <si>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</si>
  <si>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</si>
  <si>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</si>
  <si>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</si>
  <si>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</si>
  <si>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</si>
  <si>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</si>
  <si>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</si>
  <si>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</si>
  <si>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</si>
  <si>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</si>
  <si>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</si>
  <si>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</si>
  <si>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</si>
  <si>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</si>
  <si>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</si>
  <si>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</si>
  <si>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</si>
  <si>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</si>
  <si>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</si>
  <si>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</si>
  <si>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</si>
  <si>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</si>
  <si>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</si>
  <si>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</si>
  <si>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</si>
  <si>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</si>
  <si>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</si>
  <si>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</si>
  <si>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</si>
  <si>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</si>
  <si>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</si>
  <si>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</si>
  <si>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</si>
  <si>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</si>
  <si>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</si>
  <si>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</si>
  <si>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</si>
  <si>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</si>
  <si>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</si>
  <si>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</si>
  <si>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</si>
  <si>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</si>
  <si>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</si>
  <si>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</si>
  <si>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</si>
  <si>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</si>
  <si>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</si>
  <si>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</si>
  <si>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</si>
  <si>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</si>
  <si>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</si>
  <si>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</si>
  <si>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</si>
  <si>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</si>
  <si>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</si>
  <si>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</si>
  <si>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</si>
  <si>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</si>
  <si>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</si>
  <si>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</si>
  <si>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</si>
  <si>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</si>
  <si>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</si>
  <si>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</si>
  <si>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</si>
  <si>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</si>
  <si>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</si>
  <si>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</si>
  <si>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</si>
  <si>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</si>
  <si>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</si>
  <si>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</si>
  <si>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</si>
  <si>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</si>
  <si>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</si>
  <si>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</si>
  <si>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</si>
  <si>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</si>
  <si>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</si>
  <si>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</si>
  <si>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</si>
  <si>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</si>
  <si>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</si>
  <si>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</si>
  <si>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</si>
  <si>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</si>
  <si>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</si>
  <si>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</si>
  <si>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</si>
  <si>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</si>
  <si>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</si>
  <si>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</si>
  <si>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</si>
  <si>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</si>
  <si>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</si>
  <si>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</si>
  <si>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</si>
  <si>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</si>
  <si>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</si>
  <si>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</si>
  <si>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</si>
  <si>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</si>
  <si>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</si>
  <si>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</si>
  <si>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</si>
  <si>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</si>
  <si>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</si>
  <si>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</si>
  <si>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</si>
  <si>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</si>
  <si>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</si>
  <si>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</si>
  <si>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</si>
  <si>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</si>
  <si>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</si>
  <si>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</si>
  <si>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</si>
  <si>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</si>
  <si>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</si>
  <si>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</si>
  <si>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</si>
  <si>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</si>
  <si>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</si>
  <si>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</si>
  <si>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</si>
  <si>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</si>
  <si>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</si>
  <si>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</si>
  <si>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</si>
  <si>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</si>
  <si>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</si>
  <si>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</si>
  <si>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</si>
  <si>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</si>
  <si>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</si>
  <si>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</si>
  <si>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</si>
  <si>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</si>
  <si>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</si>
  <si>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</si>
  <si>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</si>
  <si>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</si>
  <si>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</si>
  <si>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</si>
  <si>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</si>
  <si>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</si>
  <si>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</si>
  <si>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</si>
  <si>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</si>
  <si>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</si>
  <si>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</si>
  <si>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</si>
  <si>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</si>
  <si>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</si>
  <si>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</si>
  <si>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</si>
  <si>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</si>
  <si>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</si>
  <si>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</si>
  <si>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</si>
  <si>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</si>
  <si>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</si>
  <si>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</si>
  <si>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</si>
  <si>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</si>
  <si>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</si>
  <si>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</si>
  <si>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</si>
  <si>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</si>
  <si>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</si>
  <si>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</si>
  <si>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</si>
  <si>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</si>
  <si>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</si>
  <si>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</si>
  <si>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</si>
  <si>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</si>
  <si>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</si>
  <si>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</si>
  <si>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</si>
  <si>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</si>
  <si>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</si>
  <si>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</si>
  <si>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</si>
  <si>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</si>
  <si>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</si>
  <si>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</si>
  <si>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</si>
  <si>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</si>
  <si>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</si>
  <si>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</si>
  <si>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</si>
  <si>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</si>
  <si>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</si>
  <si>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</si>
  <si>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</si>
  <si>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</si>
  <si>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</si>
  <si>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</si>
  <si>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</si>
  <si>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</si>
  <si>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</si>
  <si>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</si>
  <si>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</si>
  <si>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</si>
  <si>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</si>
  <si>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</si>
  <si>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</si>
  <si>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</si>
  <si>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</si>
  <si>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</si>
  <si>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</si>
  <si>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</si>
  <si>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</si>
  <si>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</si>
  <si>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</si>
  <si>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</si>
  <si>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</si>
  <si>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</si>
  <si>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</si>
  <si>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</si>
  <si>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</si>
  <si>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</si>
  <si>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</si>
  <si>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</si>
  <si>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</si>
  <si>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</si>
  <si>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</si>
  <si>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</si>
  <si>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</si>
  <si>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</si>
  <si>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</si>
  <si>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</si>
  <si>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</si>
  <si>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</si>
  <si>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</si>
  <si>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</si>
  <si>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</si>
  <si>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</si>
  <si>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</si>
  <si>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</si>
  <si>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</si>
  <si>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</si>
  <si>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</si>
  <si>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</si>
  <si>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</si>
  <si>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</si>
  <si>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</si>
  <si>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</si>
  <si>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</si>
  <si>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</si>
  <si>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</si>
  <si>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</si>
  <si>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</si>
  <si>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</si>
  <si>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</si>
  <si>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</si>
  <si>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</si>
  <si>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</si>
  <si>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</si>
  <si>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</si>
  <si>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</si>
  <si>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</si>
  <si>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</si>
  <si>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</si>
  <si>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</si>
  <si>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</si>
  <si>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</si>
  <si>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</si>
  <si>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</si>
  <si>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</si>
  <si>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</si>
  <si>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</si>
  <si>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</si>
  <si>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</si>
  <si>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</si>
  <si>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</si>
  <si>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</si>
  <si>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</si>
  <si>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</si>
  <si>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</si>
  <si>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</si>
  <si>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</si>
  <si>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</si>
  <si>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</si>
  <si>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</si>
  <si>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</si>
  <si>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</si>
  <si>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</si>
  <si>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</si>
  <si>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</si>
  <si>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</si>
  <si>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</si>
  <si>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</si>
  <si>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</si>
  <si>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</si>
  <si>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</si>
  <si>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</si>
  <si>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</si>
  <si>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</si>
  <si>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</si>
  <si>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</si>
  <si>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</si>
  <si>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</si>
  <si>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</si>
  <si>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</si>
  <si>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</si>
  <si>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</si>
  <si>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</si>
  <si>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</si>
  <si>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</si>
  <si>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</si>
  <si>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</si>
  <si>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</si>
  <si>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</si>
  <si>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</si>
  <si>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</si>
  <si>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</si>
  <si>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</si>
  <si>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</si>
  <si>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</si>
  <si>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</si>
  <si>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</si>
  <si>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</si>
  <si>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</si>
  <si>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</si>
  <si>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</si>
  <si>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</si>
  <si>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</si>
  <si>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</si>
  <si>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</si>
  <si>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</si>
  <si>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</si>
  <si>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</si>
  <si>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</si>
  <si>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</si>
  <si>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</si>
  <si>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</si>
  <si>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</si>
  <si>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</si>
  <si>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</si>
  <si>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</si>
  <si>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</si>
  <si>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</si>
  <si>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</si>
  <si>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</si>
  <si>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</si>
  <si>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</si>
  <si>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</si>
  <si>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</si>
  <si>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</si>
  <si>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</si>
  <si>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</si>
  <si>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</si>
  <si>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</si>
  <si>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</si>
  <si>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</si>
  <si>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</si>
  <si>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</si>
  <si>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</si>
  <si>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</si>
  <si>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</si>
  <si>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</si>
  <si>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</si>
  <si>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</si>
  <si>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</si>
  <si>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</si>
  <si>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</si>
  <si>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</si>
  <si>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</si>
  <si>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</si>
  <si>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</si>
  <si>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</si>
  <si>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</si>
  <si>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</si>
  <si>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</si>
  <si>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</si>
  <si>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</si>
  <si>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</si>
  <si>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</si>
  <si>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</si>
  <si>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</si>
  <si>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</si>
  <si>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</si>
  <si>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</si>
  <si>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</si>
  <si>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</si>
  <si>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</si>
  <si>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</si>
  <si>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</si>
  <si>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</si>
  <si>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</si>
  <si>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</si>
  <si>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</si>
  <si>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</si>
  <si>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</si>
  <si>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</si>
  <si>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</si>
  <si>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</si>
  <si>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</si>
  <si>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</si>
  <si>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</si>
  <si>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</si>
  <si>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</si>
  <si>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</si>
  <si>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</si>
  <si>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</si>
  <si>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</si>
  <si>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</si>
  <si>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</si>
  <si>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</si>
  <si>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</si>
  <si>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</si>
  <si>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</si>
  <si>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</si>
  <si>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</si>
  <si>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</si>
  <si>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</si>
  <si>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</si>
  <si>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</si>
  <si>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</si>
  <si>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</si>
  <si>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</si>
  <si>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</si>
  <si>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</si>
  <si>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</si>
  <si>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</si>
  <si>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</si>
  <si>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</si>
  <si>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</si>
  <si>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</si>
  <si>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Alawi G. Al Alsayed Nassir - 741458 (  )    Mohammed Y. Othman - 781022 (  )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</si>
  <si>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</si>
  <si>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</si>
  <si>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</si>
  <si>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</si>
  <si>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</si>
  <si>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</si>
  <si>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</si>
  <si>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</si>
  <si>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</si>
  <si>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</si>
  <si>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</si>
  <si>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</si>
  <si>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</si>
  <si>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</si>
  <si>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</si>
  <si>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</si>
  <si>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</si>
  <si>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</si>
  <si>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</si>
  <si>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</si>
  <si>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</si>
  <si>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</si>
  <si>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</si>
  <si>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</si>
  <si>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</si>
  <si>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</si>
  <si>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</si>
  <si>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</si>
  <si>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</si>
  <si>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</si>
  <si>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</si>
  <si>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</si>
  <si>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</si>
  <si>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</si>
  <si>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</si>
  <si>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</si>
  <si>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</si>
  <si>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</si>
  <si>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</si>
  <si>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</si>
  <si>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</si>
  <si>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</si>
  <si>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</si>
  <si>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</si>
  <si>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</si>
  <si>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</si>
  <si>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</si>
  <si>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</si>
  <si>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</si>
  <si>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</si>
  <si>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</si>
  <si>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</si>
  <si>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</si>
  <si>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</si>
  <si>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</si>
  <si>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</si>
  <si>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</si>
  <si>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</si>
  <si>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</si>
  <si>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</si>
  <si>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</si>
  <si>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</si>
  <si>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</si>
  <si>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</si>
  <si>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</si>
  <si>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</si>
  <si>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</si>
  <si>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</si>
  <si>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</si>
  <si>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</si>
  <si>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</si>
  <si>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</si>
  <si>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</si>
  <si>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</si>
  <si>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</si>
  <si>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</si>
  <si>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</si>
  <si>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</si>
  <si>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</si>
  <si>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</si>
  <si>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</si>
  <si>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</si>
  <si>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</si>
  <si>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</si>
  <si>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</si>
  <si>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</si>
  <si>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</si>
  <si>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</si>
  <si>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</si>
  <si>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</si>
  <si>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</si>
  <si>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</si>
  <si>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</si>
  <si>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</si>
  <si>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</si>
  <si>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</si>
  <si>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</si>
  <si>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</si>
  <si>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</si>
  <si>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</si>
  <si>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</si>
  <si>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</si>
  <si>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</si>
  <si>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</si>
  <si>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</si>
  <si>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</si>
  <si>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</si>
  <si>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</si>
  <si>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</si>
  <si>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</si>
  <si>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</si>
  <si>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</si>
  <si>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</si>
  <si>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</si>
  <si>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</si>
  <si>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</si>
  <si>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</si>
  <si>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</si>
  <si>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</si>
  <si>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</si>
  <si>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</si>
  <si>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</si>
  <si>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</si>
  <si>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</si>
  <si>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</si>
  <si>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</si>
  <si>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</si>
  <si>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</si>
  <si>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</si>
  <si>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</si>
  <si>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</si>
  <si>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</si>
  <si>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</si>
  <si>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</si>
  <si>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</si>
  <si>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</si>
  <si>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</si>
  <si>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</si>
  <si>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</si>
  <si>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</si>
  <si>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</si>
  <si>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</si>
  <si>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</si>
  <si>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</si>
  <si>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</si>
  <si>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</si>
  <si>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</si>
  <si>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</si>
  <si>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</si>
  <si>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</si>
  <si>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</si>
  <si>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</si>
  <si>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</si>
  <si>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</si>
  <si>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</si>
  <si>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</si>
  <si>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</si>
  <si>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</si>
  <si>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</si>
  <si>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</si>
  <si>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</si>
  <si>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</si>
  <si>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</si>
  <si>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</si>
  <si>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</si>
  <si>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</si>
  <si>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</si>
  <si>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</si>
  <si>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</si>
  <si>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</si>
  <si>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</si>
  <si>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</si>
  <si>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</si>
  <si>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</si>
  <si>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</si>
  <si>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</si>
  <si>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</si>
  <si>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</si>
  <si>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</si>
  <si>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</si>
  <si>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</si>
  <si>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</si>
  <si>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</si>
  <si>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</si>
  <si>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</si>
  <si>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</si>
  <si>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</si>
  <si>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</si>
  <si>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</si>
  <si>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</si>
  <si>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</si>
  <si>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</si>
  <si>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</si>
  <si>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</si>
  <si>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</si>
  <si>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</si>
  <si>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</si>
  <si>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</si>
  <si>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</si>
  <si>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</si>
  <si>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</si>
  <si>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</si>
  <si>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</si>
  <si>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</si>
  <si>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</si>
  <si>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</si>
  <si>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</si>
  <si>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</si>
  <si>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</si>
  <si>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</si>
  <si>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</si>
  <si>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</si>
  <si>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</si>
  <si>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</si>
  <si>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</si>
  <si>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</si>
  <si>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</si>
  <si>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</si>
  <si>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</si>
  <si>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</si>
  <si>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</si>
  <si>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</si>
  <si>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</si>
  <si>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</si>
  <si>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</si>
  <si>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</si>
  <si>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</si>
  <si>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</si>
  <si>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</si>
  <si>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</si>
  <si>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</si>
  <si>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</si>
  <si>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</si>
  <si>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</si>
  <si>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</si>
  <si>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</si>
  <si>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</si>
  <si>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</si>
  <si>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</si>
  <si>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</si>
  <si>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</si>
  <si>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</si>
  <si>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</si>
  <si>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</si>
  <si>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</si>
  <si>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</si>
  <si>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</si>
  <si>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</si>
  <si>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</si>
  <si>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</si>
  <si>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</si>
  <si>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</si>
  <si>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</si>
  <si>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</si>
  <si>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</si>
  <si>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</si>
  <si>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</si>
  <si>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</si>
  <si>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</si>
  <si>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</si>
  <si>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</si>
  <si>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</si>
  <si>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</si>
  <si>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</si>
  <si>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</si>
  <si>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</si>
  <si>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</si>
  <si>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</si>
  <si>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</si>
  <si>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</si>
  <si>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</si>
  <si>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</si>
  <si>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</si>
  <si>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</si>
  <si>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</si>
  <si>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</si>
  <si>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</si>
  <si>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</si>
  <si>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</si>
  <si>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</si>
  <si>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</si>
  <si>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</si>
  <si>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</si>
  <si>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</si>
  <si>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</si>
  <si>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</si>
  <si>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</si>
  <si>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</si>
  <si>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</si>
  <si>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</si>
  <si>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</si>
  <si>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</si>
  <si>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</si>
  <si>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</si>
  <si>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</si>
  <si>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</si>
  <si>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</si>
  <si>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</si>
  <si>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</si>
  <si>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</si>
  <si>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</si>
  <si>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</si>
  <si>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</si>
  <si>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</si>
  <si>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</si>
  <si>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</si>
  <si>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</si>
  <si>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</si>
  <si>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</si>
  <si>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</si>
  <si>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</si>
  <si>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</si>
  <si>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</si>
  <si>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</si>
  <si>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</si>
  <si>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</si>
  <si>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</si>
  <si>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</si>
  <si>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</si>
  <si>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</si>
  <si>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</si>
  <si>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</si>
  <si>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</si>
  <si>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</si>
  <si>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</si>
  <si>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</si>
  <si>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</si>
  <si>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</si>
  <si>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</si>
  <si>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</si>
  <si>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</si>
  <si>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</si>
  <si>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</si>
  <si>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</si>
  <si>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</si>
  <si>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</si>
  <si>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</si>
  <si>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</si>
  <si>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</si>
  <si>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</si>
  <si>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</si>
  <si>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</si>
  <si>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</si>
  <si>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</si>
  <si>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</si>
  <si>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</si>
  <si>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</si>
  <si>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</si>
  <si>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</si>
  <si>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</si>
  <si>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</si>
  <si>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</si>
  <si>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</si>
  <si>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</si>
  <si>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</si>
  <si>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</si>
  <si>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</si>
  <si>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</si>
  <si>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</si>
  <si>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</si>
  <si>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</si>
  <si>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</si>
  <si>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</si>
  <si>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</si>
  <si>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</si>
  <si>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</si>
  <si>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</si>
  <si>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</si>
  <si>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</si>
  <si>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</si>
  <si>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</si>
  <si>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</si>
  <si>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</si>
  <si>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</si>
  <si>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</si>
  <si>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</si>
  <si>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</si>
  <si>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</si>
  <si>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</si>
  <si>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</si>
  <si>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</si>
  <si>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</si>
  <si>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</si>
  <si>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</si>
  <si>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</si>
  <si>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</si>
  <si>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</si>
  <si>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</si>
  <si>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</si>
  <si>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</si>
  <si>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</si>
  <si>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</si>
  <si>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</si>
  <si>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</si>
  <si>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</si>
  <si>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</si>
  <si>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</si>
  <si>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</si>
  <si>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</si>
  <si>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</si>
  <si>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</si>
  <si>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</si>
  <si>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</si>
  <si>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</si>
  <si>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</si>
  <si>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</si>
  <si>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</si>
  <si>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</si>
  <si>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</si>
  <si>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</si>
  <si>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</si>
  <si>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</si>
  <si>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</si>
  <si>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</si>
  <si>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</si>
  <si>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</si>
  <si>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</si>
  <si>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</si>
  <si>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</si>
  <si>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</si>
  <si>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</si>
  <si>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</si>
  <si>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</si>
  <si>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</si>
  <si>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</si>
  <si>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</si>
  <si>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</si>
  <si>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</si>
  <si>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</si>
  <si>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</si>
  <si>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</si>
  <si>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</si>
  <si>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</si>
  <si>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</si>
  <si>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</si>
  <si>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</si>
  <si>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</si>
  <si>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</si>
  <si>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</si>
  <si>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</si>
  <si>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</si>
  <si>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</si>
  <si>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</si>
  <si>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</si>
  <si>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</si>
  <si>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</si>
  <si>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</si>
  <si>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</si>
  <si>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</si>
  <si>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</si>
  <si>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</si>
  <si>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</si>
  <si>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</si>
  <si>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</si>
  <si>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</si>
  <si>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</si>
  <si>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</si>
  <si>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</si>
  <si>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</si>
  <si>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</si>
  <si>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</si>
  <si>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</si>
  <si>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</si>
  <si>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</si>
  <si>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</si>
  <si>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</si>
  <si>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</si>
  <si>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</si>
  <si>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</si>
  <si>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</si>
  <si>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</si>
  <si>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</si>
  <si>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</si>
  <si>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</si>
  <si>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</si>
  <si>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</si>
  <si>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</si>
  <si>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</si>
  <si>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</si>
  <si>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</si>
  <si>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</si>
  <si>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</si>
  <si>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</si>
  <si>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</si>
  <si>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</si>
  <si>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</si>
  <si>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</si>
  <si>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</si>
  <si>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</si>
  <si>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</si>
  <si>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</si>
  <si>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</si>
  <si>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</si>
  <si>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</si>
  <si>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</si>
  <si>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</si>
  <si>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</si>
  <si>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</si>
  <si>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</si>
  <si>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</si>
  <si>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</si>
  <si>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</si>
  <si>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</si>
  <si>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</si>
  <si>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</si>
  <si>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</si>
  <si>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</si>
  <si>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</si>
  <si>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</si>
  <si>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</si>
  <si>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</si>
  <si>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</si>
  <si>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</si>
  <si>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</si>
  <si>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</si>
  <si>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</si>
  <si>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</si>
  <si>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</si>
  <si>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</si>
  <si>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</si>
  <si>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</si>
  <si>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</si>
  <si>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</si>
  <si>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</si>
  <si>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</si>
  <si>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</si>
  <si>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</si>
  <si>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</si>
  <si>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</si>
  <si>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</si>
  <si>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</si>
  <si>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</si>
  <si>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</si>
  <si>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</si>
  <si>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</si>
  <si>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</si>
  <si>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</si>
  <si>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</si>
  <si>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</si>
  <si>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</si>
  <si>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</si>
  <si>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</si>
  <si>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</si>
  <si>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</si>
  <si>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</si>
  <si>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</si>
  <si>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</si>
  <si>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</si>
  <si>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</si>
  <si>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</si>
  <si>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</si>
  <si>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</si>
  <si>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</si>
  <si>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</si>
  <si>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</si>
  <si>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</si>
  <si>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</si>
  <si>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</si>
  <si>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</si>
  <si>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</si>
  <si>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</si>
  <si>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</si>
  <si>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</si>
  <si>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</si>
  <si>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</si>
  <si>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</si>
  <si>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</si>
  <si>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</si>
  <si>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</si>
  <si>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</si>
  <si>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</si>
  <si>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</si>
  <si>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</si>
  <si>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</si>
  <si>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</si>
  <si>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</si>
  <si>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</si>
  <si>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</si>
  <si>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</si>
  <si>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</si>
  <si>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</si>
  <si>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</si>
  <si>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</si>
  <si>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</si>
  <si>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</si>
  <si>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</si>
  <si>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</si>
  <si>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</si>
  <si>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</si>
  <si>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</si>
  <si>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</si>
  <si>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</si>
  <si>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</si>
  <si>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</si>
  <si>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</si>
  <si>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</si>
  <si>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</si>
  <si>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</si>
  <si>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</si>
  <si>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</si>
  <si>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</si>
  <si>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</si>
  <si>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</si>
  <si>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</si>
  <si>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</si>
  <si>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</si>
  <si>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</si>
  <si>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</si>
  <si>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</si>
  <si>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</si>
  <si>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</si>
  <si>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</si>
  <si>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</si>
  <si>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</si>
  <si>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</si>
  <si>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</si>
  <si>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</si>
  <si>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</si>
  <si>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</si>
  <si>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</si>
  <si>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</si>
  <si>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</si>
  <si>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</si>
  <si>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</si>
  <si>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</si>
  <si>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</si>
  <si>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</si>
  <si>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</si>
  <si>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</si>
  <si>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</si>
  <si>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</si>
  <si>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</si>
  <si>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</si>
  <si>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</si>
  <si>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</si>
  <si>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</si>
  <si>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</si>
  <si>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</si>
  <si>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</si>
  <si>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</si>
  <si>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</si>
  <si>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</si>
  <si>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</si>
  <si>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</si>
  <si>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</si>
  <si>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</si>
  <si>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</si>
  <si>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</si>
  <si>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</si>
  <si>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</si>
  <si>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</si>
  <si>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</si>
  <si>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</si>
  <si>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14304769R1</t>
  </si>
  <si>
    <t>R</t>
  </si>
  <si>
    <t>Level 5 is 1251085M2. Pin face erosion.</t>
  </si>
  <si>
    <t>Pin face erosion.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</si>
</sst>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4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0" fillId="9" borderId="60" xfId="0" applyFill="1" applyBorder="1" applyAlignment="1">
      <alignment horizontal="center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/>
    </xf>
    <xf numFmtId="0" fontId="24" fillId="24" borderId="25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left" wrapText="1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84" fillId="0" borderId="42" xfId="8" applyBorder="1" applyAlignment="1">
      <alignment horizontal="center" vertical="center"/>
    </xf>
    <xf numFmtId="0" fontId="84" fillId="0" borderId="43" xfId="8" applyBorder="1" applyAlignment="1">
      <alignment horizontal="center" vertical="center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7" xfId="8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86" fillId="27" borderId="30" xfId="8" applyFont="1" applyFill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13" fillId="0" borderId="0" xfId="8" applyFont="1" applyAlignment="1">
      <alignment horizontal="right" vertical="center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 wrapText="1"/>
    </xf>
    <xf numFmtId="0" fontId="13" fillId="0" borderId="25" xfId="8" applyFont="1" applyBorder="1" applyAlignment="1">
      <alignment horizontal="right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1" xfId="0" applyFont="1" applyBorder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45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8" fillId="0" borderId="0" xfId="0" applyNumberFormat="1" applyFont="1" applyAlignment="1">
      <alignment horizontal="center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0" xfId="9" applyAlignment="1">
      <alignment horizontal="left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164" fontId="16" fillId="0" borderId="84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58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99" fillId="0" borderId="0" xfId="0" applyFont="1" applyAlignment="1">
      <alignment horizontal="center" vertical="top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166" fontId="16" fillId="0" borderId="48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166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0" fontId="8" fillId="0" borderId="49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3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43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0" xfId="4" applyFont="1" applyAlignment="1">
      <alignment horizontal="left"/>
    </xf>
    <xf numFmtId="0" fontId="4" fillId="0" borderId="23" xfId="4" applyFont="1" applyBorder="1" applyAlignment="1">
      <alignment horizontal="left"/>
    </xf>
    <xf numFmtId="0" fontId="4" fillId="0" borderId="0" xfId="4" applyFont="1" applyAlignment="1">
      <alignment horizontal="right"/>
    </xf>
    <xf numFmtId="14" fontId="4" fillId="0" borderId="23" xfId="4" applyNumberFormat="1" applyFont="1" applyBorder="1" applyAlignment="1">
      <alignment horizontal="center"/>
    </xf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12" fillId="0" borderId="10" xfId="4" applyFont="1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12" fillId="0" borderId="2" xfId="4" applyFont="1" applyBorder="1" applyAlignment="1">
      <alignment horizontal="center"/>
    </xf>
    <xf numFmtId="0" fontId="70" fillId="0" borderId="2" xfId="4" applyFont="1" applyBorder="1" applyAlignment="1">
      <alignment horizontal="center"/>
    </xf>
    <xf numFmtId="0" fontId="59" fillId="0" borderId="2" xfId="4" applyBorder="1"/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0" xfId="4" applyFont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4" fillId="0" borderId="25" xfId="4" applyFont="1" applyBorder="1" applyAlignment="1">
      <alignment horizontal="left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31" fillId="5" borderId="0" xfId="0" applyFont="1" applyFill="1" applyAlignment="1">
      <alignment horizontal="left" vertical="center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textRotation="90"/>
    </xf>
    <xf numFmtId="0" fontId="16" fillId="0" borderId="24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68" xfId="0" applyFont="1" applyBorder="1" applyAlignment="1">
      <alignment horizontal="right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6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2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2" xfId="5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02781" y="22098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37391" y="24479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9\Templetes%2009-16-2019\New%20folder\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B1" sqref="B1"/>
    </sheetView>
  </sheetViews>
  <sheetFormatPr defaultColWidth="9.140625" defaultRowHeight="15" x14ac:dyDescent="0.25"/>
  <cols>
    <col min="1" max="1" width="27.85546875" customWidth="1"/>
    <col min="2" max="2" width="22.7109375" style="4" bestFit="1" customWidth="1"/>
    <col min="3" max="3" width="8.28515625" customWidth="1"/>
    <col min="4" max="4" width="7.5703125" customWidth="1"/>
    <col min="5" max="5" width="7.85546875" customWidth="1"/>
    <col min="6" max="6" width="12.140625" customWidth="1"/>
    <col min="7" max="7" width="19.5703125" customWidth="1"/>
    <col min="8" max="8" width="6.42578125" customWidth="1"/>
    <col min="9" max="9" width="21.140625" customWidth="1"/>
    <col min="10" max="10" width="1" customWidth="1"/>
    <col min="11" max="11" width="8.7109375" customWidth="1"/>
    <col min="12" max="12" width="10.85546875" style="10" bestFit="1" customWidth="1"/>
    <col min="13" max="13" width="13.5703125" customWidth="1"/>
    <col min="14" max="14" width="14.7109375" customWidth="1"/>
    <col min="15" max="15" width="17.85546875" customWidth="1"/>
    <col min="16" max="16" width="11" customWidth="1"/>
    <col min="17" max="17" width="10" customWidth="1"/>
    <col min="18" max="18" width="8.7109375" customWidth="1"/>
    <col min="19" max="19" width="35.7109375" bestFit="1" customWidth="1"/>
    <col min="20" max="20" width="10.7109375" customWidth="1"/>
    <col min="21" max="21" width="12" customWidth="1"/>
    <col min="22" max="22" width="3.140625" customWidth="1"/>
    <col min="23" max="23" width="12.5703125" customWidth="1"/>
    <col min="24" max="24" width="8.7109375" customWidth="1"/>
    <col min="25" max="25" width="3.140625" customWidth="1"/>
    <col min="26" max="26" width="7" customWidth="1"/>
    <col min="27" max="31" width="3.140625" customWidth="1"/>
    <col min="32" max="32" width="3" customWidth="1"/>
    <col min="33" max="36" width="3.140625" customWidth="1"/>
    <col min="37" max="37" width="16.42578125" customWidth="1"/>
    <col min="38" max="39" width="3.140625" customWidth="1"/>
    <col min="40" max="40" width="6.5703125" customWidth="1"/>
    <col min="41" max="42" width="3.140625" customWidth="1"/>
    <col min="43" max="53" width="3.85546875" customWidth="1"/>
    <col min="54" max="56" width="4" customWidth="1"/>
    <col min="57" max="57" width="3.85546875" customWidth="1"/>
    <col min="58" max="58" width="5" bestFit="1" customWidth="1"/>
    <col min="59" max="59" width="8.42578125" bestFit="1" customWidth="1"/>
    <col min="60" max="60" width="5" bestFit="1" customWidth="1"/>
    <col min="61" max="61" width="4" customWidth="1"/>
    <col min="62" max="62" width="10.140625" customWidth="1"/>
    <col min="63" max="63" width="9.140625" customWidth="1"/>
    <col min="64" max="64" width="8.85546875" customWidth="1"/>
    <col min="65" max="65" width="10.85546875" customWidth="1"/>
    <col min="66" max="66" width="10.7109375" customWidth="1"/>
    <col min="67" max="68" width="9.140625" customWidth="1"/>
    <col min="69" max="75" width="3.140625" customWidth="1"/>
    <col min="76" max="78" width="3.28515625" customWidth="1"/>
    <col min="79" max="94" width="4.28515625" customWidth="1"/>
    <col min="95" max="95" width="5.5703125" bestFit="1" customWidth="1"/>
    <col min="96" max="96" width="6.85546875" bestFit="1" customWidth="1"/>
    <col min="97" max="97" width="5.42578125" bestFit="1" customWidth="1"/>
    <col min="98" max="100" width="4.28515625" customWidth="1"/>
    <col min="101" max="105" width="9.140625" customWidth="1"/>
    <col min="106" max="106" width="23.5703125" customWidth="1"/>
    <col min="107" max="107" width="10" customWidth="1"/>
    <col min="108" max="108" width="41.7109375" style="10" customWidth="1"/>
    <col min="109" max="109" width="17" style="10" customWidth="1"/>
    <col min="110" max="110" width="35.85546875" style="10" hidden="1" customWidth="1"/>
    <col min="111" max="111" width="38.28515625" style="10" hidden="1" customWidth="1"/>
    <col min="112" max="112" width="24.42578125" style="10" hidden="1" customWidth="1"/>
    <col min="113" max="113" width="19.7109375" style="10" customWidth="1"/>
    <col min="114" max="114" width="14" style="10" hidden="1" customWidth="1"/>
    <col min="115" max="115" width="32.28515625" style="10" hidden="1" customWidth="1"/>
    <col min="116" max="116" width="17.7109375" style="10" hidden="1" customWidth="1"/>
    <col min="117" max="118" width="20.85546875" style="10" hidden="1" customWidth="1"/>
    <col min="119" max="119" width="10.7109375" style="10" hidden="1" customWidth="1"/>
    <col min="120" max="120" width="14" style="10" hidden="1" customWidth="1"/>
    <col min="121" max="121" width="17.7109375" style="10" hidden="1" customWidth="1"/>
    <col min="122" max="122" width="37.710937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703125" style="10" customWidth="1"/>
    <col min="128" max="128" width="22.5703125" style="10" customWidth="1"/>
    <col min="129" max="129" width="41.28515625" style="10" customWidth="1"/>
    <col min="130" max="130" width="8.140625" style="10" customWidth="1"/>
    <col min="131" max="131" width="8.85546875" style="10" customWidth="1"/>
    <col min="132" max="132" width="4.85546875" style="10" customWidth="1"/>
    <col min="133" max="135" width="18" style="10" customWidth="1"/>
    <col min="136" max="136" width="9.140625" customWidth="1"/>
    <col min="137" max="137" width="16.85546875" customWidth="1"/>
    <col min="138" max="139" width="14.7109375" customWidth="1"/>
    <col min="140" max="140" width="16.85546875" customWidth="1"/>
    <col min="141" max="142" width="14.7109375" customWidth="1"/>
    <col min="143" max="143" width="16.85546875" customWidth="1"/>
    <col min="144" max="145" width="14.7109375" customWidth="1"/>
    <col min="146" max="146" width="16.85546875" customWidth="1"/>
    <col min="147" max="148" width="14.7109375" customWidth="1"/>
    <col min="149" max="149" width="16.85546875" customWidth="1"/>
    <col min="150" max="150" width="14.7109375" customWidth="1"/>
    <col min="151" max="151" width="9.140625" customWidth="1"/>
    <col min="152" max="152" width="19.85546875" customWidth="1"/>
    <col min="153" max="153" width="15.42578125" customWidth="1"/>
    <col min="154" max="154" width="9.140625" customWidth="1"/>
    <col min="155" max="155" width="19.85546875" customWidth="1"/>
    <col min="156" max="156" width="15.42578125" customWidth="1"/>
    <col min="157" max="157" width="9.140625" customWidth="1"/>
    <col min="158" max="158" width="19.85546875" customWidth="1"/>
    <col min="159" max="159" width="15.42578125" customWidth="1"/>
    <col min="160" max="160" width="9.140625" customWidth="1"/>
    <col min="161" max="161" width="19.85546875" customWidth="1"/>
    <col min="162" max="162" width="15.42578125" customWidth="1"/>
    <col min="163" max="163" width="9.140625" customWidth="1"/>
    <col min="164" max="164" width="19.85546875" customWidth="1"/>
    <col min="165" max="165" width="15.42578125" customWidth="1"/>
    <col min="166" max="166" width="9.140625" customWidth="1"/>
    <col min="167" max="167" width="17.42578125" bestFit="1" customWidth="1"/>
    <col min="168" max="168" width="13.140625" bestFit="1" customWidth="1"/>
    <col min="169" max="169" width="9.140625" customWidth="1"/>
    <col min="170" max="170" width="17.42578125" bestFit="1" customWidth="1"/>
    <col min="171" max="171" width="13.140625" bestFit="1" customWidth="1"/>
    <col min="172" max="172" width="9.140625" customWidth="1"/>
    <col min="173" max="173" width="17.42578125" bestFit="1" customWidth="1"/>
    <col min="174" max="174" width="13.140625" bestFit="1" customWidth="1"/>
    <col min="175" max="175" width="9.140625" customWidth="1"/>
    <col min="176" max="176" width="17.42578125" bestFit="1" customWidth="1"/>
    <col min="177" max="177" width="13.140625" bestFit="1" customWidth="1"/>
    <col min="178" max="178" width="9.140625" customWidth="1"/>
    <col min="179" max="179" width="17.42578125" bestFit="1" customWidth="1"/>
    <col min="180" max="180" width="13.140625" bestFit="1" customWidth="1"/>
    <col min="181" max="181" width="9.140625" customWidth="1"/>
    <col min="182" max="182" width="17.42578125" bestFit="1" customWidth="1"/>
    <col min="183" max="183" width="13.140625" bestFit="1" customWidth="1"/>
    <col min="184" max="184" width="9.140625" customWidth="1"/>
    <col min="185" max="185" width="17.42578125" bestFit="1" customWidth="1"/>
    <col min="186" max="186" width="13.140625" bestFit="1" customWidth="1"/>
    <col min="187" max="187" width="9.140625" customWidth="1"/>
    <col min="188" max="188" width="48.28515625" bestFit="1" customWidth="1"/>
    <col min="189" max="189" width="16.42578125" customWidth="1"/>
    <col min="190" max="190" width="33.42578125" customWidth="1"/>
    <col min="191" max="191" width="29.85546875" customWidth="1"/>
    <col min="192" max="192" width="87.42578125" customWidth="1"/>
    <col min="193" max="193" width="12" customWidth="1"/>
    <col min="194" max="194" width="21.5703125" customWidth="1"/>
    <col min="195" max="195" width="26.5703125" customWidth="1"/>
    <col min="196" max="196" width="31.140625" customWidth="1"/>
    <col min="197" max="198" width="13.28515625" customWidth="1"/>
    <col min="199" max="199" width="5.85546875" customWidth="1"/>
    <col min="200" max="200" width="4.5703125" customWidth="1"/>
    <col min="201" max="201" width="21" customWidth="1"/>
    <col min="202" max="202" width="21.7109375" style="805" customWidth="1"/>
    <col min="203" max="203" width="23.5703125" style="805" customWidth="1"/>
    <col min="204" max="204" width="22.85546875" style="805" customWidth="1"/>
    <col min="205" max="205" width="43" style="805" customWidth="1"/>
    <col min="206" max="206" width="13.42578125" style="805" customWidth="1"/>
    <col min="207" max="207" width="23.7109375" style="805" customWidth="1"/>
    <col min="208" max="208" width="13.42578125" style="805" customWidth="1"/>
    <col min="209" max="209" width="43" style="805" customWidth="1"/>
    <col min="210" max="210" width="23.42578125" style="805" customWidth="1"/>
    <col min="211" max="211" width="7.28515625" customWidth="1"/>
    <col min="212" max="212" width="27.5703125" customWidth="1"/>
    <col min="213" max="213" width="12.140625" customWidth="1"/>
    <col min="214" max="214" width="34.42578125" customWidth="1"/>
    <col min="215" max="303" width="9.140625" customWidth="1"/>
  </cols>
  <sheetData>
    <row r="1" spans="1:217" ht="15" customHeight="1" thickBot="1" x14ac:dyDescent="0.35">
      <c r="A1" s="125" t="s">
        <v>0</v>
      </c>
      <c r="B1" s="1">
        <v>20261004</v>
      </c>
      <c r="C1" s="67"/>
      <c r="D1" s="126" t="s">
        <v>1110</v>
      </c>
      <c r="E1" s="127"/>
      <c r="F1" s="127"/>
      <c r="G1" s="127"/>
      <c r="H1" s="67"/>
      <c r="I1" s="1150"/>
      <c r="J1" s="1151"/>
      <c r="K1" s="1152"/>
      <c r="L1" s="900" t="s">
        <v>4</v>
      </c>
      <c r="M1" s="67"/>
      <c r="N1" s="1139" t="s">
        <v>792</v>
      </c>
      <c r="O1" s="1139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2499</v>
      </c>
      <c r="FL1" s="56" t="s">
        <v>2500</v>
      </c>
      <c r="FM1" s="57"/>
      <c r="FN1" s="56" t="s">
        <v>2501</v>
      </c>
      <c r="FO1" s="56" t="s">
        <v>2502</v>
      </c>
      <c r="FP1" s="57"/>
      <c r="FQ1" s="56" t="s">
        <v>2503</v>
      </c>
      <c r="FR1" s="56" t="s">
        <v>2504</v>
      </c>
      <c r="FS1" s="57"/>
      <c r="FT1" s="56" t="s">
        <v>2505</v>
      </c>
      <c r="FU1" s="56" t="s">
        <v>2506</v>
      </c>
      <c r="FV1" s="57"/>
      <c r="FW1" s="56" t="s">
        <v>2507</v>
      </c>
      <c r="FX1" s="56" t="s">
        <v>2508</v>
      </c>
      <c r="FY1" s="57"/>
      <c r="FZ1" s="56" t="s">
        <v>2509</v>
      </c>
      <c r="GA1" s="56" t="s">
        <v>2510</v>
      </c>
      <c r="GB1" s="57"/>
      <c r="GC1" s="56" t="s">
        <v>2511</v>
      </c>
      <c r="GD1" s="56" t="s">
        <v>2512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3">
      <c r="A2" s="128" t="s">
        <v>1</v>
      </c>
      <c r="B2" s="1005" t="s">
        <v>2533</v>
      </c>
      <c r="C2" s="1007" t="str">
        <f>IF(COUNTIF(Instructions!$L$1,"*WFD*"),"WFD","")</f>
        <v/>
      </c>
      <c r="D2" s="1157" t="s">
        <v>775</v>
      </c>
      <c r="E2" s="1158"/>
      <c r="F2" s="1158"/>
      <c r="G2" s="1159"/>
      <c r="I2" s="1145" t="s">
        <v>790</v>
      </c>
      <c r="J2" s="1146"/>
      <c r="K2" s="1147"/>
      <c r="L2" s="92"/>
      <c r="N2" s="138" t="s">
        <v>791</v>
      </c>
      <c r="O2" s="138" cm="1">
        <f t="array" ref="O2">IF(AND('Eng. Cutter Entry'!C4="",COUNTIF(B7,"SAUDI ARAMCO")),'Eval &amp; Quot-AR'!Z56:AB56,IF(OR(Data!B7="ARDTS",Data!B7="Halliburton Reg.",Data!B7="Halliburton"),'Qut. HALL.'!AD54,IF('ARDT Cutter Entry'!AS111&lt;&gt;0,'ARDT Cutter Entry'!AS111," ")))</f>
        <v>11191</v>
      </c>
      <c r="R2" s="26"/>
      <c r="DB2" s="37" t="s">
        <v>812</v>
      </c>
      <c r="DD2" s="75">
        <v>0</v>
      </c>
      <c r="DE2" s="37">
        <v>1165785</v>
      </c>
      <c r="DF2" s="37" t="s">
        <v>2146</v>
      </c>
      <c r="DG2" s="37" t="s">
        <v>2146</v>
      </c>
      <c r="DH2" s="37">
        <v>16</v>
      </c>
      <c r="DI2" s="37">
        <v>1608</v>
      </c>
      <c r="DJ2" s="37" t="s">
        <v>2120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170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15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211</v>
      </c>
      <c r="EO2" s="67"/>
      <c r="EP2" s="67" t="str">
        <f t="shared" ref="EP2:EP11" si="3">IF($CY$63&lt;&gt;0,IF($CY$63=DE2,EF2,""),"")</f>
        <v/>
      </c>
      <c r="EQ2" s="67">
        <f>IFERROR(SMALL(EP2:EP500,ROWS($EP$2:EP2)),"")</f>
        <v>249</v>
      </c>
      <c r="ER2" s="67"/>
      <c r="ES2" s="67" t="str">
        <f t="shared" ref="ES2:ES11" si="4">IF($CY$64&lt;&gt;0,IF($CY$64=DE2,EF2,""),"")</f>
        <v/>
      </c>
      <c r="ET2" s="67">
        <f>IFERROR(SMALL(ES2:ES500,ROWS($ES$2:ES2)),"")</f>
        <v>285</v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1145493</v>
      </c>
      <c r="GH2" s="1110" t="str">
        <f>IFERROR(INDEX($DE$2:$DR$500,$EH2,COLUMNS($GF$2:GG2)),"")</f>
        <v>1313 CT427 0.010</v>
      </c>
      <c r="GI2" s="1110" t="str">
        <f>IFERROR(INDEX($DE$2:$DR$500,$EH2,COLUMNS($GF$2:GH2)),"")</f>
        <v>1313 CT427 0.010</v>
      </c>
      <c r="GJ2" s="1110">
        <f>IFERROR(INDEX($DE$2:$DR$500,$EH2,COLUMNS($GF$2:GI2)),"")</f>
        <v>13</v>
      </c>
      <c r="GK2" s="1110">
        <f>IFERROR(INDEX($DE$2:$DR$500,$EH2,COLUMNS($GF$2:GJ2)),"")</f>
        <v>1313</v>
      </c>
      <c r="GL2" s="1110" t="str">
        <f>IFERROR(INDEX($DE$2:$DR$500,$EH2,COLUMNS($GF$2:GK2)),"")</f>
        <v>CT427</v>
      </c>
      <c r="GM2" s="1110">
        <f>IFERROR(INDEX($DE$2:$DR$500,$EH2,COLUMNS($GF$2:GL2)),"")</f>
        <v>0</v>
      </c>
      <c r="GN2" s="1110" t="str">
        <f>IFERROR(INDEX($DE$2:$DR$500,$EH2,COLUMNS($GF$2:GM2)),"")</f>
        <v>0.010"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360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1313 CT427 </v>
      </c>
      <c r="GU2" s="1110">
        <f>IFERROR(INDEX($DE$2:$EC$300,$EH2,COLUMNS($GF$2:GT2)),"")</f>
        <v>0</v>
      </c>
      <c r="GV2" s="1110">
        <f>IFERROR(INDEX($DE$2:$EC$300,$EH2,COLUMNS($GF$2:GU2)),"")</f>
        <v>0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6.3.1</v>
      </c>
      <c r="GZ2" s="1110">
        <f>IFERROR(INDEX($DE$2:$EC$300,$EH2,COLUMNS($GF$2:GY2)),"")</f>
        <v>30</v>
      </c>
      <c r="HA2" s="1110" t="str">
        <f>IFERROR(INDEX($DE$2:$EC$300,$EH2,COLUMNS($GF$2:GZ2)),"")</f>
        <v>13mm Cutter Replacement Super Premium</v>
      </c>
      <c r="HB2" s="1110" t="str">
        <f>IFERROR(INDEX($DE$2:$EC$300,$EH2,COLUMNS($GF$2:HA2)),"")</f>
        <v>13mm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480</v>
      </c>
      <c r="HI2" t="str">
        <f>IF($CY$60&lt;&gt;0,IF($CY$60=DE2,EF2,""),"")</f>
        <v/>
      </c>
    </row>
    <row r="3" spans="1:217" ht="15" customHeight="1" thickBot="1" x14ac:dyDescent="0.3">
      <c r="A3" s="128" t="s">
        <v>6</v>
      </c>
      <c r="B3" s="933">
        <v>6.125</v>
      </c>
      <c r="D3" s="562" t="s">
        <v>108</v>
      </c>
      <c r="E3" s="563" t="s">
        <v>4</v>
      </c>
      <c r="F3" s="563" t="s">
        <v>5</v>
      </c>
      <c r="G3" s="564" t="s">
        <v>950</v>
      </c>
      <c r="I3" s="1145" t="s">
        <v>1111</v>
      </c>
      <c r="J3" s="1146"/>
      <c r="K3" s="1147"/>
      <c r="L3" s="92"/>
      <c r="N3" s="138" t="s">
        <v>793</v>
      </c>
      <c r="O3" s="138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>4171</v>
      </c>
      <c r="R3" s="26"/>
      <c r="DB3" s="37">
        <v>1039058</v>
      </c>
      <c r="DD3" s="75">
        <v>0</v>
      </c>
      <c r="DE3" s="37">
        <v>1163816</v>
      </c>
      <c r="DF3" s="37" t="s">
        <v>2129</v>
      </c>
      <c r="DG3" s="37" t="s">
        <v>2129</v>
      </c>
      <c r="DH3" s="37">
        <v>10</v>
      </c>
      <c r="DI3" s="37">
        <v>1010</v>
      </c>
      <c r="DJ3" s="37" t="s">
        <v>1995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418525</v>
      </c>
      <c r="GH3" s="1110" t="str">
        <f>IFERROR(INDEX($DE$2:$DR$500,$EK2,COLUMNS($GF$2:GG2)),"")</f>
        <v>1308 CT31 Drop in</v>
      </c>
      <c r="GI3" s="1110" t="str">
        <f>IFERROR(INDEX($DE$2:$DR$500,$EK2,COLUMNS($GF$2:GH2)),"")</f>
        <v xml:space="preserve">1308 CT31 Drop in </v>
      </c>
      <c r="GJ3" s="1110">
        <f>IFERROR(INDEX($DE$2:$DR$500,$EK2,COLUMNS($GF$2:GI2)),"")</f>
        <v>13</v>
      </c>
      <c r="GK3" s="1110">
        <f>IFERROR(INDEX($DE$2:$DR$500,$EK2,COLUMNS($GF$2:GJ2)),"")</f>
        <v>1308</v>
      </c>
      <c r="GL3" s="1110" t="str">
        <f>IFERROR(INDEX($DE$2:$DR$500,$EK2,COLUMNS($GF$2:GK2)),"")</f>
        <v>CT31</v>
      </c>
      <c r="GM3" s="1110" t="str">
        <f>IFERROR(INDEX($DE$2:$DR$500,$EK2,COLUMNS($GF$2:GL2)),"")</f>
        <v>Drop in</v>
      </c>
      <c r="GN3" s="1110">
        <f>IFERROR(INDEX($DE$2:$DR$500,$EK2,COLUMNS($GF$2:GM2)),"")</f>
        <v>0</v>
      </c>
      <c r="GO3" s="1110">
        <f>IFERROR(INDEX($DE$2:$DR$500,$EK2,COLUMNS($GF$2:GN2)),"")</f>
        <v>381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100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>1308 CT31 Drop in</v>
      </c>
      <c r="GU3" s="1110">
        <f>IFERROR(INDEX($DE$2:$EC$300,$EK2,COLUMNS($GF$2:GT2)),"")</f>
        <v>26.981066666666667</v>
      </c>
      <c r="GV3" s="1110">
        <f>IFERROR(INDEX($DE$2:$EC$300,$EK2,COLUMNS($GF$2:GU2)),"")</f>
        <v>20.754666666666665</v>
      </c>
      <c r="GW3" s="1110">
        <f>IFERROR(INDEX($DE$2:$EC$300,$EK2,COLUMNS($GF$2:GV2)),"")</f>
        <v>100</v>
      </c>
      <c r="GX3" s="1110" t="str">
        <f>IFERROR(INDEX($DE$2:$EC$300,$EK2,COLUMNS($GF$2:GW2)),"")</f>
        <v>B</v>
      </c>
      <c r="GY3" s="1110" t="str">
        <f>IFERROR(INDEX($DE$2:$EC$300,$EK2,COLUMNS($GF$2:GX2)),"")</f>
        <v>6.3.1</v>
      </c>
      <c r="GZ3" s="1110">
        <f>IFERROR(INDEX($DE$2:$EC$300,$EK2,COLUMNS($GF$2:GY2)),"")</f>
        <v>10</v>
      </c>
      <c r="HA3" s="1110" t="str">
        <f>IFERROR(INDEX($DE$2:$EC$300,$EK2,COLUMNS($GF$2:GZ2)),"")</f>
        <v>13mm Cutter Replacement Standard</v>
      </c>
      <c r="HB3" s="1110" t="str">
        <f>IFERROR(INDEX($DE$2:$EC$300,$EK2,COLUMNS($GF$2:HA2)),"")</f>
        <v>13mm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345</v>
      </c>
    </row>
    <row r="4" spans="1:217" ht="15" customHeight="1" thickBot="1" x14ac:dyDescent="0.3">
      <c r="A4" s="128" t="s">
        <v>7</v>
      </c>
      <c r="B4" s="1" t="s">
        <v>2029</v>
      </c>
      <c r="D4" s="559">
        <f>IF(F4="","",IF(MAX(BI46:BI62)&lt;&gt;0,MAX(BI46:BI62)+1,""))</f>
        <v>4</v>
      </c>
      <c r="E4" s="560"/>
      <c r="F4" s="967">
        <v>1146346</v>
      </c>
      <c r="G4" s="561">
        <v>1</v>
      </c>
      <c r="I4" s="1145" t="s">
        <v>1189</v>
      </c>
      <c r="J4" s="1146"/>
      <c r="K4" s="1147"/>
      <c r="L4" s="92"/>
      <c r="N4" s="138" t="s">
        <v>794</v>
      </c>
      <c r="O4" s="138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>4171</v>
      </c>
      <c r="R4" s="26"/>
      <c r="DB4" s="37">
        <v>1039060</v>
      </c>
      <c r="DD4" s="75">
        <v>0</v>
      </c>
      <c r="DE4" s="37">
        <v>1163818</v>
      </c>
      <c r="DF4" s="37" t="s">
        <v>2130</v>
      </c>
      <c r="DG4" s="37" t="s">
        <v>2130</v>
      </c>
      <c r="DH4" s="37">
        <v>13</v>
      </c>
      <c r="DI4" s="37">
        <v>1313</v>
      </c>
      <c r="DJ4" s="37" t="s">
        <v>1995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1209332</v>
      </c>
      <c r="GH4" s="1110" t="str">
        <f>IFERROR(INDEX($DE$2:$DR$500,$EN2,COLUMNS($GF$2:GG2)),"")</f>
        <v>1313 CT147G U</v>
      </c>
      <c r="GI4" s="1110" t="str">
        <f>IFERROR(INDEX($DE$2:$DR$500,$EN2,COLUMNS($GF$2:GH2)),"")</f>
        <v>1313 CT147G U</v>
      </c>
      <c r="GJ4" s="1110">
        <f>IFERROR(INDEX($DE$2:$DR$500,$EN2,COLUMNS($GF$2:GI2)),"")</f>
        <v>13</v>
      </c>
      <c r="GK4" s="1110">
        <f>IFERROR(INDEX($DE$2:$DR$500,$EN2,COLUMNS($GF$2:GJ2)),"")</f>
        <v>1313</v>
      </c>
      <c r="GL4" s="1110" t="str">
        <f>IFERROR(INDEX($DE$2:$DR$500,$EN2,COLUMNS($GF$2:GK2)),"")</f>
        <v>CT147G</v>
      </c>
      <c r="GM4" s="1110">
        <f>IFERROR(INDEX($DE$2:$DR$500,$EN2,COLUMNS($GF$2:GL2)),"")</f>
        <v>0</v>
      </c>
      <c r="GN4" s="1110" t="str">
        <f>IFERROR(INDEX($DE$2:$DR$500,$EN2,COLUMNS($GF$2:GM2)),"")</f>
        <v>U</v>
      </c>
      <c r="GO4" s="1110">
        <f>IFERROR(INDEX($DE$2:$DR$500,$EN2,COLUMNS($GF$2:GN2)),"")</f>
        <v>0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360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 xml:space="preserve">1313 CT147G </v>
      </c>
      <c r="GU4" s="1110">
        <f>IFERROR(INDEX($DE$2:$EC$300,$EN2,COLUMNS($GF$2:GT2)),"")</f>
        <v>0</v>
      </c>
      <c r="GV4" s="1110">
        <f>IFERROR(INDEX($DE$2:$EC$300,$EN2,COLUMNS($GF$2:GU2)),"")</f>
        <v>0</v>
      </c>
      <c r="GW4" s="1110">
        <f>IFERROR(INDEX($DE$2:$EC$300,$EN2,COLUMNS($GF$2:GV2)),"")</f>
        <v>0</v>
      </c>
      <c r="GX4" s="1110">
        <f>IFERROR(INDEX($DE$2:$EC$300,$EN2,COLUMNS($GF$2:GW2)),"")</f>
        <v>0</v>
      </c>
      <c r="GY4" s="1110">
        <f>IFERROR(INDEX($DE$2:$EC$300,$EN2,COLUMNS($GF$2:GX2)),"")</f>
        <v>0</v>
      </c>
      <c r="GZ4" s="1110">
        <f>IFERROR(INDEX($DE$2:$EC$300,$EN2,COLUMNS($GF$2:GY2)),"")</f>
        <v>0</v>
      </c>
      <c r="HA4" s="1110">
        <f>IFERROR(INDEX($DE$2:$EC$300,$EN2,COLUMNS($GF$2:GZ2)),"")</f>
        <v>0</v>
      </c>
      <c r="HB4" s="1110">
        <f>IFERROR(INDEX($DE$2:$EC$300,$EN2,COLUMNS($GF$2:HA2)),"")</f>
        <v>0</v>
      </c>
      <c r="HC4" s="1110">
        <f>IFERROR(INDEX($DE$2:$EC$300,$EN2,COLUMNS($GF$2:HB2)),"")</f>
        <v>0</v>
      </c>
      <c r="HD4" s="1110">
        <f>IFERROR(INDEX($DE$2:$EC$300,$EN2,COLUMNS($GF$2:HC2)),"")</f>
        <v>0</v>
      </c>
      <c r="HE4" s="1110">
        <f>IFERROR(INDEX($DE$2:$EC$300,$EN2,COLUMNS($GF$2:HD2)),"")</f>
        <v>0</v>
      </c>
    </row>
    <row r="5" spans="1:217" ht="15" customHeight="1" thickBot="1" x14ac:dyDescent="0.35">
      <c r="A5" s="128" t="s">
        <v>2227</v>
      </c>
      <c r="B5" s="1005" t="s">
        <v>2109</v>
      </c>
      <c r="C5" s="1006" t="str">
        <f>IF(F4&lt;&gt;"",IF(COUNTIF(B5,"*M*"),"","Add M"),"")</f>
        <v/>
      </c>
      <c r="D5" s="109">
        <f>IF(F5="","",IFERROR(D4+1,""))</f>
        <v>5</v>
      </c>
      <c r="E5" s="341"/>
      <c r="F5" s="966">
        <v>2001155</v>
      </c>
      <c r="G5" s="343">
        <v>3</v>
      </c>
      <c r="I5" s="1145" t="s">
        <v>1203</v>
      </c>
      <c r="J5" s="1146"/>
      <c r="K5" s="1147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2131</v>
      </c>
      <c r="DG5" s="37" t="s">
        <v>2131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>
        <f>IFERROR(INDEX($DE$2:$DR$500,$EQ2,COLUMNS($GF$2:GF2)),"")</f>
        <v>1146346</v>
      </c>
      <c r="GH5" s="1110" t="str">
        <f>IFERROR(INDEX($DE$2:$DR$500,$EQ2,COLUMNS($GF$2:GG2)),"")</f>
        <v>1313 CT418 18C-60</v>
      </c>
      <c r="GI5" s="1110" t="str">
        <f>IFERROR(INDEX($DE$2:$DR$500,$EQ2,COLUMNS($GF$2:GH2)),"")</f>
        <v>1313 CT418 18C-60</v>
      </c>
      <c r="GJ5" s="1110">
        <f>IFERROR(INDEX($DE$2:$DR$500,$EQ2,COLUMNS($GF$2:GI2)),"")</f>
        <v>13</v>
      </c>
      <c r="GK5" s="1110">
        <f>IFERROR(INDEX($DE$2:$DR$500,$EQ2,COLUMNS($GF$2:GJ2)),"")</f>
        <v>1313</v>
      </c>
      <c r="GL5" s="1110" t="str">
        <f>IFERROR(INDEX($DE$2:$DR$500,$EQ2,COLUMNS($GF$2:GK2)),"")</f>
        <v>CT418</v>
      </c>
      <c r="GM5" s="1110">
        <f>IFERROR(INDEX($DE$2:$DR$500,$EQ2,COLUMNS($GF$2:GL2)),"")</f>
        <v>0</v>
      </c>
      <c r="GN5" s="1110" t="str">
        <f>IFERROR(INDEX($DE$2:$DR$500,$EQ2,COLUMNS($GF$2:GM2)),"")</f>
        <v>18C-60</v>
      </c>
      <c r="GO5" s="1110">
        <f>IFERROR(INDEX($DE$2:$DR$500,$EQ2,COLUMNS($GF$2:GN2)),"")</f>
        <v>0</v>
      </c>
      <c r="GP5" s="1110">
        <f>IFERROR(INDEX($DE$2:$DR$500,$EQ2,COLUMNS($GF$2:GO2)),"")</f>
        <v>0</v>
      </c>
      <c r="GQ5" s="1110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>360</v>
      </c>
      <c r="GR5" s="1110">
        <f>IFERROR(INDEX($DE$2:$DR$500,$EQ2,COLUMNS($GF$2:GQ2)),"")</f>
        <v>0</v>
      </c>
      <c r="GS5" s="1110">
        <f>IFERROR(INDEX($DE$2:$DR$500,$EQ2,COLUMNS($GF$2:GR2)),"")</f>
        <v>0</v>
      </c>
      <c r="GT5" s="1110" t="str">
        <f>IFERROR(INDEX($DE$2:$EC$300,$EQ2,COLUMNS($GF$2:GS2)),"")</f>
        <v xml:space="preserve">1313 CT418 </v>
      </c>
      <c r="GU5" s="1110">
        <f>IFERROR(INDEX($DE$2:$EC$300,$EQ2,COLUMNS($GF$2:GT2)),"")</f>
        <v>202.66133333333335</v>
      </c>
      <c r="GV5" s="1110">
        <f>IFERROR(INDEX($DE$2:$EC$300,$EQ2,COLUMNS($GF$2:GU2)),"")</f>
        <v>155.89333333333335</v>
      </c>
      <c r="GW5" s="1110">
        <f>IFERROR(INDEX($DE$2:$EC$300,$EQ2,COLUMNS($GF$2:GV2)),"")</f>
        <v>0</v>
      </c>
      <c r="GX5" s="1110" t="str">
        <f>IFERROR(INDEX($DE$2:$EC$300,$EQ2,COLUMNS($GF$2:GW2)),"")</f>
        <v>S</v>
      </c>
      <c r="GY5" s="1110" t="str">
        <f>IFERROR(INDEX($DE$2:$EC$300,$EQ2,COLUMNS($GF$2:GX2)),"")</f>
        <v>6.3.1</v>
      </c>
      <c r="GZ5" s="1110">
        <f>IFERROR(INDEX($DE$2:$EC$300,$EQ2,COLUMNS($GF$2:GY2)),"")</f>
        <v>30</v>
      </c>
      <c r="HA5" s="1110" t="str">
        <f>IFERROR(INDEX($DE$2:$EC$300,$EQ2,COLUMNS($GF$2:GZ2)),"")</f>
        <v>13mm Cutter Replacement Super Premium</v>
      </c>
      <c r="HB5" s="1110" t="str">
        <f>IFERROR(INDEX($DE$2:$EC$300,$EQ2,COLUMNS($GF$2:HA2)),"")</f>
        <v>13mm</v>
      </c>
      <c r="HC5" s="1110">
        <f>IFERROR(INDEX($DE$2:$EC$300,$EQ2,COLUMNS($GF$2:HB2)),"")</f>
        <v>1</v>
      </c>
      <c r="HD5" s="1110" t="str">
        <f>IFERROR(INDEX($DE$2:$EC$300,$EQ2,COLUMNS($GF$2:HC2)),"")</f>
        <v>EA</v>
      </c>
      <c r="HE5" s="1110">
        <f>IFERROR(INDEX($DE$2:$EC$300,$EQ2,COLUMNS($GF$2:HD2)),"")</f>
        <v>480</v>
      </c>
    </row>
    <row r="6" spans="1:217" ht="15" customHeight="1" thickBot="1" x14ac:dyDescent="0.3">
      <c r="A6" s="128" t="s">
        <v>940</v>
      </c>
      <c r="B6" s="2">
        <v>46035</v>
      </c>
      <c r="D6" s="109" t="str">
        <f>IF(F6="","",IFERROR(D5+1,""))</f>
        <v/>
      </c>
      <c r="E6" s="341"/>
      <c r="F6" s="342"/>
      <c r="G6" s="343"/>
      <c r="I6" s="1145" t="s">
        <v>1520</v>
      </c>
      <c r="J6" s="1146"/>
      <c r="K6" s="1147"/>
      <c r="L6" s="92"/>
      <c r="R6" s="26"/>
      <c r="DB6" s="37">
        <v>177778</v>
      </c>
      <c r="DD6" s="75">
        <v>0</v>
      </c>
      <c r="DE6" s="37">
        <v>1217967</v>
      </c>
      <c r="DF6" s="37" t="s">
        <v>2132</v>
      </c>
      <c r="DG6" s="37" t="s">
        <v>2132</v>
      </c>
      <c r="DH6" s="37">
        <v>13</v>
      </c>
      <c r="DI6" s="37">
        <v>1308</v>
      </c>
      <c r="DJ6" s="37" t="s">
        <v>2134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>
        <f>IFERROR(INDEX($DE$2:$DR$500,$ET2,COLUMNS($GF$2:GF2)),"")</f>
        <v>2001155</v>
      </c>
      <c r="GH6" s="1110" t="str">
        <f>IFERROR(INDEX($DE$2:$DR$500,$ET2,COLUMNS($GF$2:GG2)),"")</f>
        <v>1313 CT179T U-60</v>
      </c>
      <c r="GI6" s="1110" t="str">
        <f>IFERROR(INDEX($DE$2:$DR$500,$ET2,COLUMNS($GF$2:GH2)),"")</f>
        <v>1313 CT179T U-60</v>
      </c>
      <c r="GJ6" s="1110">
        <f>IFERROR(INDEX($DE$2:$DR$500,$ET2,COLUMNS($GF$2:GI2)),"")</f>
        <v>13</v>
      </c>
      <c r="GK6" s="1110">
        <f>IFERROR(INDEX($DE$2:$DR$500,$ET2,COLUMNS($GF$2:GJ2)),"")</f>
        <v>1313</v>
      </c>
      <c r="GL6" s="1110" t="str">
        <f>IFERROR(INDEX($DE$2:$DR$500,$ET2,COLUMNS($GF$2:GK2)),"")</f>
        <v>CT179T</v>
      </c>
      <c r="GM6" s="1110">
        <f>IFERROR(INDEX($DE$2:$DR$500,$ET2,COLUMNS($GF$2:GL2)),"")</f>
        <v>0</v>
      </c>
      <c r="GN6" s="1110" t="str">
        <f>IFERROR(INDEX($DE$2:$DR$500,$ET2,COLUMNS($GF$2:GM2)),"")</f>
        <v>U-60</v>
      </c>
      <c r="GO6" s="1110">
        <f>IFERROR(INDEX($DE$2:$DR$500,$ET2,COLUMNS($GF$2:GN2)),"")</f>
        <v>0</v>
      </c>
      <c r="GP6" s="1110">
        <f>IFERROR(INDEX($DE$2:$DR$500,$ET2,COLUMNS($GF$2:GO2)),"")</f>
        <v>0</v>
      </c>
      <c r="GQ6" s="1110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>360</v>
      </c>
      <c r="GR6" s="1110">
        <f>IFERROR(INDEX($DE$2:$DR$500,$ET2,COLUMNS($GF$2:GQ2)),"")</f>
        <v>0</v>
      </c>
      <c r="GS6" s="1110">
        <f>IFERROR(INDEX($DE$2:$DR$500,$ET2,COLUMNS($GF$2:GR2)),"")</f>
        <v>0</v>
      </c>
      <c r="GT6" s="1110" t="str">
        <f>IFERROR(INDEX($DE$2:$EC$300,$ET2,COLUMNS($GF$2:GS2)),"")</f>
        <v xml:space="preserve">1313 CT179T </v>
      </c>
      <c r="GU6" s="1110">
        <f>IFERROR(INDEX($DE$2:$EC$300,$ET2,COLUMNS($GF$2:GT2)),"")</f>
        <v>353.30880000000002</v>
      </c>
      <c r="GV6" s="1110">
        <f>IFERROR(INDEX($DE$2:$EC$300,$ET2,COLUMNS($GF$2:GU2)),"")</f>
        <v>271.77600000000001</v>
      </c>
      <c r="GW6" s="1110">
        <f>IFERROR(INDEX($DE$2:$EC$300,$ET2,COLUMNS($GF$2:GV2)),"")</f>
        <v>0</v>
      </c>
      <c r="GX6" s="1110">
        <f>IFERROR(INDEX($DE$2:$EC$300,$ET2,COLUMNS($GF$2:GW2)),"")</f>
        <v>0</v>
      </c>
      <c r="GY6" s="1110">
        <f>IFERROR(INDEX($DE$2:$EC$300,$ET2,COLUMNS($GF$2:GX2)),"")</f>
        <v>0</v>
      </c>
      <c r="GZ6" s="1110">
        <f>IFERROR(INDEX($DE$2:$EC$300,$ET2,COLUMNS($GF$2:GY2)),"")</f>
        <v>0</v>
      </c>
      <c r="HA6" s="1110">
        <f>IFERROR(INDEX($DE$2:$EC$300,$ET2,COLUMNS($GF$2:GZ2)),"")</f>
        <v>0</v>
      </c>
      <c r="HB6" s="1110">
        <f>IFERROR(INDEX($DE$2:$EC$300,$ET2,COLUMNS($GF$2:HA2)),"")</f>
        <v>0</v>
      </c>
      <c r="HC6" s="1110">
        <f>IFERROR(INDEX($DE$2:$EC$300,$ET2,COLUMNS($GF$2:HB2)),"")</f>
        <v>0</v>
      </c>
      <c r="HD6" s="1110">
        <f>IFERROR(INDEX($DE$2:$EC$300,$ET2,COLUMNS($GF$2:HC2)),"")</f>
        <v>0</v>
      </c>
      <c r="HE6" s="1110">
        <f>IFERROR(INDEX($DE$2:$EC$300,$ET2,COLUMNS($GF$2:HD2)),"")</f>
        <v>0</v>
      </c>
    </row>
    <row r="7" spans="1:217" ht="15" customHeight="1" thickBot="1" x14ac:dyDescent="0.3">
      <c r="A7" s="131" t="s">
        <v>11</v>
      </c>
      <c r="B7" s="104" t="s">
        <v>1107</v>
      </c>
      <c r="D7" s="109" t="str">
        <f>IF(F7="","",IFERROR(D6+1,""))</f>
        <v/>
      </c>
      <c r="E7" s="341"/>
      <c r="F7" s="342"/>
      <c r="G7" s="343"/>
      <c r="I7" s="1145" t="str">
        <f>IF(COUNTIF(Data!B4,"S*"),"ARDT Hardfacing","ARDT Matrix Build up")</f>
        <v>ARDT Matrix Build up</v>
      </c>
      <c r="J7" s="1146"/>
      <c r="K7" s="1147"/>
      <c r="L7" s="92"/>
      <c r="M7" s="1170" t="s">
        <v>1534</v>
      </c>
      <c r="N7" s="1171"/>
      <c r="O7" s="895"/>
      <c r="R7" s="26"/>
      <c r="DB7" s="37">
        <v>375538</v>
      </c>
      <c r="DD7" s="75">
        <v>0</v>
      </c>
      <c r="DE7" s="37">
        <v>107348</v>
      </c>
      <c r="DF7" s="37" t="s">
        <v>2133</v>
      </c>
      <c r="DG7" s="37" t="s">
        <v>2133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3">
      <c r="A8" s="1009" t="s">
        <v>2228</v>
      </c>
      <c r="B8" s="1"/>
      <c r="D8" s="109" t="str">
        <f>IF(F8="","",IFERROR(D7+1,""))</f>
        <v/>
      </c>
      <c r="E8" s="341"/>
      <c r="F8" s="342"/>
      <c r="G8" s="343"/>
      <c r="I8" s="1145" t="str">
        <f>IF(COUNTIF(Data!B4,"S*"),"Engineer Hardfacing","Engineer Matrix Build up")</f>
        <v>Engineer Matrix Build up</v>
      </c>
      <c r="J8" s="1146"/>
      <c r="K8" s="1147"/>
      <c r="L8" s="92"/>
      <c r="M8" s="1168" t="s">
        <v>1521</v>
      </c>
      <c r="N8" s="1164"/>
      <c r="O8" s="1165"/>
      <c r="R8" s="26"/>
      <c r="DB8" s="37">
        <v>376826</v>
      </c>
      <c r="DD8" s="75">
        <v>0</v>
      </c>
      <c r="DE8" s="37">
        <v>1165788</v>
      </c>
      <c r="DF8" s="37" t="s">
        <v>2127</v>
      </c>
      <c r="DG8" s="37" t="s">
        <v>2127</v>
      </c>
      <c r="DH8" s="37">
        <v>19</v>
      </c>
      <c r="DI8" s="37">
        <v>1913</v>
      </c>
      <c r="DJ8" s="37" t="s">
        <v>2120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3">
      <c r="A9" s="128" t="s">
        <v>2229</v>
      </c>
      <c r="B9" s="1"/>
      <c r="I9" s="1145" t="s">
        <v>842</v>
      </c>
      <c r="J9" s="1146"/>
      <c r="K9" s="1147"/>
      <c r="L9" s="92"/>
      <c r="M9" s="1169"/>
      <c r="N9" s="1166"/>
      <c r="O9" s="1167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3">
      <c r="A10" s="131" t="s">
        <v>1961</v>
      </c>
      <c r="B10" s="104"/>
      <c r="D10" s="1153" t="s">
        <v>953</v>
      </c>
      <c r="E10" s="1154"/>
      <c r="F10" s="1154"/>
      <c r="G10" s="1154"/>
      <c r="H10" s="1154"/>
      <c r="I10" s="1154"/>
      <c r="J10" s="1155"/>
      <c r="K10" s="1148" t="s">
        <v>44</v>
      </c>
      <c r="L10" s="1149"/>
      <c r="M10" s="620"/>
      <c r="N10" s="1143" t="s">
        <v>964</v>
      </c>
      <c r="O10" s="1144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3">
      <c r="A11" s="131" t="s">
        <v>13</v>
      </c>
      <c r="B11" s="104" t="s">
        <v>2316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156" t="s">
        <v>43</v>
      </c>
      <c r="I11" s="1156"/>
      <c r="J11" s="1156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3">
      <c r="A12" s="128" t="s">
        <v>14</v>
      </c>
      <c r="B12" s="106" t="s">
        <v>2238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0</v>
      </c>
      <c r="F12" s="574">
        <f t="shared" ref="F12:F24" si="20">IF(GK2&gt;0,IF(GK2&lt;&gt;"",GK2," ")," ")</f>
        <v>1313</v>
      </c>
      <c r="G12" s="574">
        <f>IF(B5&lt;&gt;"",IF(GG2&gt;0,IF(GG2&lt;&gt;"",IF(GG2&lt;&gt;"Add the cutter in list",GG2,"Add the cutter"),""),""),"")</f>
        <v>1145493</v>
      </c>
      <c r="H12" s="1126" t="str">
        <f t="shared" ref="H12:H21" si="21">IF(AND(GM2&lt;&gt;"",GM2&lt;&gt;0),GM2,"")&amp;IF(AND(GL2&lt;&gt;"",GL2&lt;&gt;0)," "&amp;GL2,"")&amp;IF(AND(GN2&lt;&gt;"",GN2&lt;&gt;0)," "&amp;GN2,"")</f>
        <v xml:space="preserve"> CT427 0.010"</v>
      </c>
      <c r="I12" s="1126"/>
      <c r="J12" s="141" t="str">
        <f t="shared" ref="J12:J21" si="22">IF(AND(GR2&lt;&gt;"",GR2&lt;&gt;0),GR2,"")</f>
        <v/>
      </c>
      <c r="K12" s="574" t="str">
        <f t="shared" ref="K12:K21" si="23">IF(IFERROR(E12-L12,E12)=0,"",IFERROR(E12-L12,E12))</f>
        <v/>
      </c>
      <c r="L12" s="1121"/>
      <c r="M12" s="893"/>
      <c r="N12" s="135">
        <f t="shared" ref="N12:N21" si="24">BJ46</f>
        <v>1145493</v>
      </c>
      <c r="O12" s="136">
        <f t="shared" ref="O12:O21" si="25">BO46</f>
        <v>16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3">
      <c r="A13" s="132" t="s">
        <v>941</v>
      </c>
      <c r="B13" s="105">
        <v>46035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0</v>
      </c>
      <c r="F13" s="574">
        <f t="shared" si="20"/>
        <v>1308</v>
      </c>
      <c r="G13" s="574">
        <f>IF(B5&lt;&gt;"",IF(GG3&gt;0,IF(GG3&lt;&gt;"",IF(GG3&lt;&gt;"Add the cutter in list",GG3,"Add the cutter"),""),""),"")</f>
        <v>418525</v>
      </c>
      <c r="H13" s="1126" t="str">
        <f t="shared" si="21"/>
        <v>Drop in CT31</v>
      </c>
      <c r="I13" s="1126"/>
      <c r="J13" s="141" t="str">
        <f t="shared" si="22"/>
        <v/>
      </c>
      <c r="K13" s="574" t="str">
        <f t="shared" si="23"/>
        <v/>
      </c>
      <c r="L13" s="904"/>
      <c r="M13" s="893"/>
      <c r="N13" s="135">
        <f t="shared" si="24"/>
        <v>418525</v>
      </c>
      <c r="O13" s="136">
        <f t="shared" si="25"/>
        <v>10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3">
      <c r="A14" s="131" t="str">
        <f>IF(Data!B7="SAUDI ARAMCO","DTD/TSSD:","Reviewed by Eng.:")</f>
        <v>Reviewed by Eng.:</v>
      </c>
      <c r="B14" s="532" t="s">
        <v>2241</v>
      </c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0</v>
      </c>
      <c r="F14" s="574">
        <f t="shared" si="20"/>
        <v>1313</v>
      </c>
      <c r="G14" s="574">
        <f>IF(B5&lt;&gt;"",IF(GG4&gt;0,IF(GG4&lt;&gt;"",IF(GG4&lt;&gt;"Add the cutter in list",GG4,"Add the cutter"),""),""),"")</f>
        <v>1209332</v>
      </c>
      <c r="H14" s="1126" t="str">
        <f t="shared" si="21"/>
        <v xml:space="preserve"> CT147G U</v>
      </c>
      <c r="I14" s="1126"/>
      <c r="J14" s="141" t="str">
        <f t="shared" si="22"/>
        <v/>
      </c>
      <c r="K14" s="574" t="str">
        <f t="shared" si="23"/>
        <v/>
      </c>
      <c r="L14" s="904"/>
      <c r="M14" s="893"/>
      <c r="N14" s="135">
        <f t="shared" si="24"/>
        <v>1209332</v>
      </c>
      <c r="O14" s="136">
        <f t="shared" si="25"/>
        <v>7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3">
      <c r="A15" s="132" t="s">
        <v>942</v>
      </c>
      <c r="B15" s="105">
        <v>46036</v>
      </c>
      <c r="D15" s="145">
        <f t="shared" ref="D15:D21" si="44">IF(TRIM(G15)="","",IF(CX63&gt;0,IF(CX63&lt;&gt;"", CX63, ""),""))</f>
        <v>4</v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0</v>
      </c>
      <c r="F15" s="574">
        <f t="shared" si="20"/>
        <v>1313</v>
      </c>
      <c r="G15" s="574">
        <f>IF(B5&lt;&gt;"",IF(GG5&gt;0,IF(GG5&lt;&gt;"",IF(GG5&lt;&gt;"Add the cutter in list",GG5,"Add the cutter"),""),""),"")</f>
        <v>1146346</v>
      </c>
      <c r="H15" s="1126" t="str">
        <f t="shared" si="21"/>
        <v xml:space="preserve"> CT418 18C-60</v>
      </c>
      <c r="I15" s="1126"/>
      <c r="J15" s="141" t="str">
        <f t="shared" si="22"/>
        <v/>
      </c>
      <c r="K15" s="574" t="str">
        <f t="shared" si="23"/>
        <v/>
      </c>
      <c r="L15" s="904"/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3">
      <c r="A16" s="130" t="s">
        <v>12</v>
      </c>
      <c r="B16" s="1021" t="str">
        <f>IF(Data!B7&lt;&gt;"", Data!B7, " ")</f>
        <v>LSTK</v>
      </c>
      <c r="D16" s="146">
        <f t="shared" si="44"/>
        <v>5</v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>
        <f t="shared" si="20"/>
        <v>1313</v>
      </c>
      <c r="G16" s="574">
        <f>IF(B5&lt;&gt;"",IF(GG6&gt;0,IF(GG6&lt;&gt;"",IF(GG6&lt;&gt;"Add the cutter in list",GG6,"Add the cutter"),""),""),"")</f>
        <v>2001155</v>
      </c>
      <c r="H16" s="1126" t="str">
        <f t="shared" si="21"/>
        <v xml:space="preserve"> CT179T U-60</v>
      </c>
      <c r="I16" s="1126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0</v>
      </c>
      <c r="EF16">
        <f>ROWS($DE$2:DE16)</f>
        <v>15</v>
      </c>
      <c r="EG16" t="str">
        <f t="shared" si="26"/>
        <v/>
      </c>
      <c r="EJ16">
        <f t="shared" si="27"/>
        <v>15</v>
      </c>
      <c r="EM16" t="str">
        <f t="shared" si="28"/>
        <v/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3">
      <c r="A17" s="131" t="s">
        <v>838</v>
      </c>
      <c r="B17" s="104" t="s">
        <v>2238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126" t="str">
        <f t="shared" si="21"/>
        <v/>
      </c>
      <c r="I17" s="1126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3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126" t="str">
        <f t="shared" si="21"/>
        <v/>
      </c>
      <c r="I18" s="1126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3">
      <c r="A19" s="131" t="s">
        <v>839</v>
      </c>
      <c r="B19" s="104" t="s">
        <v>2241</v>
      </c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126" t="str">
        <f t="shared" si="21"/>
        <v/>
      </c>
      <c r="I19" s="1126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3">
      <c r="A20" s="132" t="s">
        <v>840</v>
      </c>
      <c r="B20" s="105">
        <v>46036</v>
      </c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126" t="str">
        <f t="shared" si="21"/>
        <v/>
      </c>
      <c r="I20" s="1126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 t="str">
        <f>IF(COUNTIF(B7,"SAUDI ARAMCO"),$GS$20,"")</f>
        <v/>
      </c>
      <c r="GU20" s="814">
        <f>IFERROR(SMALL($GT$20:$GT$83,ROWS($GT20:GT$20)),"")</f>
        <v>2</v>
      </c>
      <c r="GV20" s="814" t="str">
        <f>IFERROR(INDEX($GF$20:$GR$83,$GU20,COLUMNS(GO20)),"")</f>
        <v>02 - 10</v>
      </c>
      <c r="GW20" s="814" t="str">
        <f>IFERROR(INDEX($GF$20:$GR$83,$GU20,COLUMNS(GP20:GQ20)),"")</f>
        <v>2 10</v>
      </c>
      <c r="GX20" s="805">
        <f>IFERROR(INDEX($GF$20:$GR$83,$GU20,COLUMNS($GP20:GR20)),"")</f>
        <v>2</v>
      </c>
      <c r="GY20" s="805">
        <f>IFERROR(INDEX($GF$20:$GR$83,$GU20,COLUMNS($GP20:GS20)),"")</f>
        <v>10</v>
      </c>
      <c r="GZ20" s="805" t="str">
        <f>IFERROR(INDEX($GF$20:$GR$83,$GU20,COLUMNS($GP20:GT20)),"")</f>
        <v>Up to 6 7/8" Matrix Body PDC Bit Set-up Charge</v>
      </c>
      <c r="HA20" s="805">
        <f>IFERROR(INDEX($GF$20:$GR$83,$GU20,COLUMNS($GP20:GU20)),"")</f>
        <v>1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6075</v>
      </c>
      <c r="HE20" s="805">
        <f>IFERROR(INDEX($GF$20:$GR$83,$GU20,COLUMNS($GP20:GY20)),"")</f>
        <v>1</v>
      </c>
      <c r="HF20" s="805" t="str">
        <f>IFERROR(INDEX($GF$20:$GR$83,$GU20,COLUMNS($GP20:GZ20)),"")</f>
        <v>Up to 6 7/8"</v>
      </c>
      <c r="HG20" s="805" t="str">
        <f>IFERROR(INDEX($GF$20:$GR$83,$GU20,COLUMNS($GP20:HA20)),"")</f>
        <v>Matrix Body PDC Bit Set-up Charge</v>
      </c>
    </row>
    <row r="21" spans="1:215" ht="15.75" customHeight="1" thickBot="1" x14ac:dyDescent="0.3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126" t="str">
        <f t="shared" si="21"/>
        <v/>
      </c>
      <c r="I21" s="1126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>
        <f>IF($O$7&lt;&gt;"",           IF($O$7=$GJ21,$GS21,""),IF(AND($D$53=$GK21,NOT(COUNTIF($B$4,"S*"))),$GS21,""))</f>
        <v>2</v>
      </c>
      <c r="GU21" s="805" t="str">
        <f>IFERROR(SMALL($GT$20:$GT$83,ROWS($GT$20:GT21)),"")</f>
        <v/>
      </c>
      <c r="GV21" s="814" t="str">
        <f t="shared" ref="GV21:GV28" si="47">IFERROR(INDEX($GF$20:$GR$83,$GU21,COLUMNS(GO21)),"")</f>
        <v/>
      </c>
      <c r="GW21" s="814" t="str">
        <f t="shared" ref="GW21:GW28" si="48">IFERROR(INDEX($GF$20:$GR$83,$GU21,COLUMNS(GP21:GQ21)),"")</f>
        <v/>
      </c>
      <c r="GX21" s="805" t="str">
        <f>IFERROR(INDEX($GF$20:$GR$83,$GU21,COLUMNS($GP21:GR21)),"")</f>
        <v/>
      </c>
      <c r="GY21" s="805" t="str">
        <f>IFERROR(INDEX($GF$20:$GR$83,$GU21,COLUMNS($GP21:GS21)),"")</f>
        <v/>
      </c>
      <c r="GZ21" s="805" t="str">
        <f>IFERROR(INDEX($GF$20:$GR$83,$GU21,COLUMNS($GP21:GT21)),"")</f>
        <v/>
      </c>
      <c r="HA21" s="805" t="str">
        <f>IFERROR(INDEX($GF$20:$GR$83,$GU21,COLUMNS($GP21:GU21)),"")</f>
        <v/>
      </c>
      <c r="HB21" s="805" t="str">
        <f>IFERROR(INDEX($GF$20:$GR$83,$GU21,COLUMNS($GP21:GV21)),"")</f>
        <v/>
      </c>
      <c r="HC21" s="805" t="str">
        <f>IFERROR(INDEX($GF$20:$GR$83,$GU21,COLUMNS($GP21:GW21)),"")</f>
        <v/>
      </c>
      <c r="HD21" s="805" t="str">
        <f>IFERROR(INDEX($GF$20:$GR$83,$GU21,COLUMNS($GP21:GX21)),"")</f>
        <v/>
      </c>
      <c r="HE21" s="805" t="str">
        <f>IFERROR(INDEX($GF$20:$GR$83,$GU21,COLUMNS($GP21:GY21)),"")</f>
        <v/>
      </c>
      <c r="HF21" s="805" t="str">
        <f>IFERROR(INDEX($GF$20:$GR$83,$GU21,COLUMNS($GP21:GZ21)),"")</f>
        <v/>
      </c>
      <c r="HG21" s="805" t="str">
        <f>IFERROR(INDEX($GF$20:$GR$83,$GU21,COLUMNS($GP21:HA21)),"")</f>
        <v/>
      </c>
    </row>
    <row r="22" spans="1:215" ht="13.5" customHeight="1" thickBot="1" x14ac:dyDescent="0.3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126" t="str">
        <f t="shared" ref="H22:H28" si="51">IF(AND(GM12&lt;&gt;"",GM12&lt;&gt;0),GM12,"")&amp;IF(AND(GL12&lt;&gt;"",GL12&lt;&gt;0)," "&amp;GL12,"")&amp;IF(AND(GN12&lt;&gt;"",GN12&lt;&gt;0)," "&amp;GN12,"")</f>
        <v/>
      </c>
      <c r="I22" s="1126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 t="str">
        <f>IF($O$7&lt;&gt;"",           IF($O$7=$GJ22,$GS22,""),IF(AND($D$53=$GK22,NOT(COUNTIF($B$4,"S*"))),$GS22,""))</f>
        <v/>
      </c>
      <c r="GU22" s="805" t="str">
        <f>IFERROR(SMALL($GT$20:$GT$83,ROWS($GT$20:GT22)),"")</f>
        <v/>
      </c>
      <c r="GV22" s="814" t="str">
        <f t="shared" si="47"/>
        <v/>
      </c>
      <c r="GW22" s="814" t="str">
        <f t="shared" si="48"/>
        <v/>
      </c>
      <c r="GX22" s="805" t="str">
        <f>IFERROR(INDEX($GF$20:$GR$83,$GU22,COLUMNS($GP22:GR22)),"")</f>
        <v/>
      </c>
      <c r="GY22" s="805" t="str">
        <f>IFERROR(INDEX($GF$20:$GR$83,$GU22,COLUMNS($GP22:GS22)),"")</f>
        <v/>
      </c>
      <c r="GZ22" s="805" t="str">
        <f>IFERROR(INDEX($GF$20:$GR$83,$GU22,COLUMNS($GP22:GT22)),"")</f>
        <v/>
      </c>
      <c r="HA22" s="805" t="str">
        <f>IFERROR(INDEX($GF$20:$GR$83,$GU22,COLUMNS($GP22:GU22)),"")</f>
        <v/>
      </c>
      <c r="HB22" s="805" t="str">
        <f>IFERROR(INDEX($GF$20:$GR$83,$GU22,COLUMNS($GP22:GV22)),"")</f>
        <v/>
      </c>
      <c r="HC22" s="805" t="str">
        <f>IFERROR(INDEX($GF$20:$GR$83,$GU22,COLUMNS($GP22:GW22)),"")</f>
        <v/>
      </c>
      <c r="HD22" s="805" t="str">
        <f>IFERROR(INDEX($GF$20:$GR$83,$GU22,COLUMNS($GP22:GX22)),"")</f>
        <v/>
      </c>
      <c r="HE22" s="805" t="str">
        <f>IFERROR(INDEX($GF$20:$GR$83,$GU22,COLUMNS($GP22:GY22)),"")</f>
        <v/>
      </c>
      <c r="HF22" s="805" t="str">
        <f>IFERROR(INDEX($GF$20:$GR$83,$GU22,COLUMNS($GP22:GZ22)),"")</f>
        <v/>
      </c>
      <c r="HG22" s="805" t="str">
        <f>IFERROR(INDEX($GF$20:$GR$83,$GU22,COLUMNS($GP22:HA22)),"")</f>
        <v/>
      </c>
    </row>
    <row r="23" spans="1:215" ht="17.25" customHeight="1" thickBot="1" x14ac:dyDescent="0.3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126" t="str">
        <f t="shared" si="51"/>
        <v/>
      </c>
      <c r="I23" s="1126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 t="str">
        <f>IFERROR(SMALL($GT$20:$GT$83,ROWS($GT$20:GT23)),"")</f>
        <v/>
      </c>
      <c r="GV23" s="814" t="str">
        <f t="shared" si="47"/>
        <v/>
      </c>
      <c r="GW23" s="814" t="str">
        <f t="shared" si="48"/>
        <v/>
      </c>
      <c r="GX23" s="805" t="str">
        <f>IFERROR(INDEX($GF$20:$GR$83,$GU23,COLUMNS($GP23:GR23)),"")</f>
        <v/>
      </c>
      <c r="GY23" s="805" t="str">
        <f>IFERROR(INDEX($GF$20:$GR$83,$GU23,COLUMNS($GP23:GS23)),"")</f>
        <v/>
      </c>
      <c r="GZ23" s="805" t="str">
        <f>IFERROR(INDEX($GF$20:$GR$83,$GU23,COLUMNS($GP23:GT23)),"")</f>
        <v/>
      </c>
      <c r="HA23" s="805" t="str">
        <f>IFERROR(INDEX($GF$20:$GR$83,$GU23,COLUMNS($GP23:GU23)),"")</f>
        <v/>
      </c>
      <c r="HB23" s="805" t="str">
        <f>IFERROR(INDEX($GF$20:$GR$83,$GU23,COLUMNS($GP23:GV23)),"")</f>
        <v/>
      </c>
      <c r="HC23" s="805" t="str">
        <f>IFERROR(INDEX($GF$20:$GR$83,$GU23,COLUMNS($GP23:GW23)),"")</f>
        <v/>
      </c>
      <c r="HD23" s="805" t="str">
        <f>IFERROR(INDEX($GF$20:$GR$83,$GU23,COLUMNS($GP23:GX23)),"")</f>
        <v/>
      </c>
      <c r="HE23" s="805" t="str">
        <f>IFERROR(INDEX($GF$20:$GR$83,$GU23,COLUMNS($GP23:GY23)),"")</f>
        <v/>
      </c>
      <c r="HF23" s="805" t="str">
        <f>IFERROR(INDEX($GF$20:$GR$83,$GU23,COLUMNS($GP23:GZ23)),"")</f>
        <v/>
      </c>
      <c r="HG23" s="805" t="str">
        <f>IFERROR(INDEX($GF$20:$GR$83,$GU23,COLUMNS($GP23:HA23)),"")</f>
        <v/>
      </c>
    </row>
    <row r="24" spans="1:215" ht="20.25" customHeight="1" thickBot="1" x14ac:dyDescent="0.3">
      <c r="A24" s="129" t="s">
        <v>1518</v>
      </c>
      <c r="B24" s="91">
        <f>IF($B$7="LSTK",960031408,IF($B$7="SAUDI ARAMCO",6600048646,""))</f>
        <v>960031408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126" t="str">
        <f t="shared" si="51"/>
        <v/>
      </c>
      <c r="I24" s="1126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 t="str">
        <f>IFERROR(SMALL($GT$20:$GT$83,ROWS($GT$20:GT24)),"")</f>
        <v/>
      </c>
      <c r="GV24" s="814" t="str">
        <f t="shared" si="47"/>
        <v/>
      </c>
      <c r="GW24" s="814" t="str">
        <f t="shared" si="48"/>
        <v/>
      </c>
      <c r="GX24" s="805" t="str">
        <f>IFERROR(INDEX($GF$20:$GR$83,$GU24,COLUMNS($GP24:GR24)),"")</f>
        <v/>
      </c>
      <c r="GY24" s="805" t="str">
        <f>IFERROR(INDEX($GF$20:$GR$83,$GU24,COLUMNS($GP24:GS24)),"")</f>
        <v/>
      </c>
      <c r="GZ24" s="805" t="str">
        <f>IFERROR(INDEX($GF$20:$GR$83,$GU24,COLUMNS($GP24:GT24)),"")</f>
        <v/>
      </c>
      <c r="HA24" s="805" t="str">
        <f>IFERROR(INDEX($GF$20:$GR$83,$GU24,COLUMNS($GP24:GU24)),"")</f>
        <v/>
      </c>
      <c r="HB24" s="805" t="str">
        <f>IFERROR(INDEX($GF$20:$GR$83,$GU24,COLUMNS($GP24:GV24)),"")</f>
        <v/>
      </c>
      <c r="HC24" s="805" t="str">
        <f>IFERROR(INDEX($GF$20:$GR$83,$GU24,COLUMNS($GP24:GW24)),"")</f>
        <v/>
      </c>
      <c r="HD24" s="805" t="str">
        <f>IFERROR(INDEX($GF$20:$GR$83,$GU24,COLUMNS($GP24:GX24)),"")</f>
        <v/>
      </c>
      <c r="HE24" s="805" t="str">
        <f>IFERROR(INDEX($GF$20:$GR$83,$GU24,COLUMNS($GP24:GY24)),"")</f>
        <v/>
      </c>
      <c r="HF24" s="805" t="str">
        <f>IFERROR(INDEX($GF$20:$GR$83,$GU24,COLUMNS($GP24:GZ24)),"")</f>
        <v/>
      </c>
      <c r="HG24" s="805" t="str">
        <f>IFERROR(INDEX($GF$20:$GR$83,$GU24,COLUMNS($GP24:HA24)),"")</f>
        <v/>
      </c>
    </row>
    <row r="25" spans="1:215" ht="15" customHeight="1" thickBot="1" x14ac:dyDescent="0.3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126" t="str">
        <f t="shared" si="51"/>
        <v/>
      </c>
      <c r="I25" s="1126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.75" thickBot="1" x14ac:dyDescent="0.3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126" t="str">
        <f t="shared" si="51"/>
        <v/>
      </c>
      <c r="I26" s="1126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.75" thickBot="1" x14ac:dyDescent="0.3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126" t="str">
        <f t="shared" si="51"/>
        <v/>
      </c>
      <c r="I27" s="1126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3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126" t="str">
        <f t="shared" si="51"/>
        <v/>
      </c>
      <c r="I28" s="1126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9" thickBot="1" x14ac:dyDescent="0.3">
      <c r="A29" s="619" t="s">
        <v>2115</v>
      </c>
      <c r="B29" s="104"/>
      <c r="D29" s="574" t="s">
        <v>21</v>
      </c>
      <c r="E29" s="574">
        <f>SUM(E12:E28)</f>
        <v>0</v>
      </c>
      <c r="F29" s="1126"/>
      <c r="G29" s="1126"/>
      <c r="H29" s="1126"/>
      <c r="I29" s="1126"/>
      <c r="J29" s="574"/>
      <c r="K29" s="574">
        <f>SUM(K12:K28)</f>
        <v>0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33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3">
      <c r="A30" s="1107"/>
      <c r="B30" s="1108"/>
      <c r="D30" s="1181" t="s">
        <v>954</v>
      </c>
      <c r="E30" s="626" t="s">
        <v>15</v>
      </c>
      <c r="F30" s="625" t="s">
        <v>1452</v>
      </c>
      <c r="G30" s="625" t="s">
        <v>16</v>
      </c>
      <c r="H30" s="1133" t="s">
        <v>965</v>
      </c>
      <c r="I30" s="1134"/>
      <c r="J30" s="1134"/>
      <c r="K30" s="1135"/>
      <c r="L30" s="1132"/>
      <c r="M30" s="1139" t="s">
        <v>1269</v>
      </c>
      <c r="N30" s="1139"/>
      <c r="O30" s="1139"/>
      <c r="P30" s="1139"/>
      <c r="Q30" s="1139"/>
      <c r="R30" s="1139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3">
      <c r="A31" s="1107"/>
      <c r="B31" s="1108"/>
      <c r="D31" s="1182"/>
      <c r="E31" s="551"/>
      <c r="F31" s="551"/>
      <c r="G31" s="981">
        <f>IF(F31&lt;&gt;"",IF($B$7="SAUDI ARAMCO",$F$52,IFERROR(INDEX($A$207:$B$228, MATCH($F$31, A207:A228, 0),2),0)),0)</f>
        <v>0</v>
      </c>
      <c r="H31" s="1136"/>
      <c r="I31" s="1137"/>
      <c r="J31" s="1137"/>
      <c r="K31" s="1138"/>
      <c r="L31" s="1132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3">
      <c r="A32" s="1107"/>
      <c r="B32" s="1108"/>
      <c r="D32" s="1176" t="s">
        <v>1434</v>
      </c>
      <c r="E32" s="1177"/>
      <c r="F32" s="1178"/>
      <c r="G32" s="891"/>
      <c r="H32" s="1179" t="s">
        <v>1202</v>
      </c>
      <c r="I32" s="1180"/>
      <c r="J32" s="1180"/>
      <c r="K32" s="1180"/>
      <c r="L32" s="892">
        <v>1</v>
      </c>
      <c r="M32" s="138">
        <f>L29</f>
        <v>0</v>
      </c>
      <c r="N32" s="138">
        <f>E29</f>
        <v>0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3">
      <c r="A33" s="1107"/>
      <c r="B33" s="1108"/>
      <c r="D33" s="1140" t="s">
        <v>2147</v>
      </c>
      <c r="E33" s="1141"/>
      <c r="F33" s="1142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2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2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2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2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2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2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3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25">
      <c r="A41" s="982"/>
      <c r="B41" s="983" t="str">
        <f>IF(NOT(COUNTIF(B3,"*x*")),IF(B3&lt;&gt;"",TEXT(SUBSTITUTE(SUBSTITUTE(SUBSTITUTE(B3,"-"," "),"""",""),"''",""),"0 0/00")&amp;"""",""),B3)</f>
        <v>6 1/08"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0a</v>
      </c>
      <c r="CA41" t="str">
        <f t="shared" si="59"/>
        <v>0a</v>
      </c>
      <c r="CB41" t="str">
        <f t="shared" si="59"/>
        <v>0a</v>
      </c>
      <c r="CC41" t="str">
        <f t="shared" si="59"/>
        <v>0a</v>
      </c>
      <c r="CD41" t="str">
        <f t="shared" si="59"/>
        <v>0a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3">
      <c r="A42" s="984"/>
      <c r="B42" s="985" t="str">
        <f>IF(NOT(COUNTIF(B3,"*x*")),IF(B3&lt;&gt;"",TEXT(SUBSTITUTE(SUBSTITUTE(SUBSTITUTE(B3,"-"," "),"""",""),"''",""),"0 0/0")&amp;"""",""),B3)</f>
        <v>6 1/8"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0a</v>
      </c>
      <c r="CA42" t="str">
        <f t="shared" si="62"/>
        <v>0a</v>
      </c>
      <c r="CB42" t="str">
        <f t="shared" si="62"/>
        <v>0a</v>
      </c>
      <c r="CC42" t="str">
        <f t="shared" si="62"/>
        <v>0a</v>
      </c>
      <c r="CD42" t="str">
        <f t="shared" si="62"/>
        <v>0a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3">
      <c r="A43" s="984">
        <f>COUNTIF(B42,"*0/*")</f>
        <v>0</v>
      </c>
      <c r="B43" s="986" t="str">
        <f>IF(COUNTIF(B42,"*0/*"),B41,B42)</f>
        <v>6 1/8"</v>
      </c>
      <c r="C43" s="107">
        <f>IFERROR(VALUE(IF(OR(COUNTIF(B43,"*X*"),COUNTIF(B43,"*x*")),LEFT(B43,1),SUBSTITUTE(B43,"""",""))),"")</f>
        <v>6.125</v>
      </c>
      <c r="E43" s="320" t="s">
        <v>766</v>
      </c>
      <c r="F43" s="1130" t="s">
        <v>780</v>
      </c>
      <c r="G43" s="1131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0</v>
      </c>
      <c r="CA43">
        <f t="shared" si="63"/>
        <v>0</v>
      </c>
      <c r="CB43">
        <f t="shared" si="63"/>
        <v>0</v>
      </c>
      <c r="CC43">
        <f t="shared" si="63"/>
        <v>0</v>
      </c>
      <c r="CD43">
        <f t="shared" si="63"/>
        <v>0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3">
      <c r="A44" s="987"/>
      <c r="B44" s="988">
        <f>B6</f>
        <v>46035</v>
      </c>
      <c r="G44" t="s">
        <v>1526</v>
      </c>
      <c r="BF44" s="1127" t="s">
        <v>109</v>
      </c>
      <c r="BG44" s="1128"/>
      <c r="BH44" s="1128"/>
      <c r="BI44" s="1128"/>
      <c r="BJ44" s="1128"/>
      <c r="BK44" s="1128"/>
      <c r="BL44" s="1128"/>
      <c r="BM44" s="1129"/>
      <c r="BQ44">
        <f>MAX(BR44:DA44)</f>
        <v>8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0</v>
      </c>
      <c r="CA44">
        <f t="shared" si="64"/>
        <v>0</v>
      </c>
      <c r="CB44">
        <f t="shared" si="64"/>
        <v>0</v>
      </c>
      <c r="CC44">
        <f t="shared" si="64"/>
        <v>0</v>
      </c>
      <c r="CD44">
        <f t="shared" si="64"/>
        <v>0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4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/>
      </c>
      <c r="CA45" s="140" t="str">
        <f t="shared" si="65"/>
        <v/>
      </c>
      <c r="CB45" s="140" t="str">
        <f t="shared" si="65"/>
        <v/>
      </c>
      <c r="CC45" s="140" t="str">
        <f t="shared" si="65"/>
        <v/>
      </c>
      <c r="CD45" s="140" t="str">
        <f t="shared" si="65"/>
        <v/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0</v>
      </c>
      <c r="GP45" t="s">
        <v>1670</v>
      </c>
      <c r="GQ45" s="26" t="s">
        <v>1766</v>
      </c>
      <c r="GS45">
        <f>ROWS($GJ$20:GJ45)</f>
        <v>26</v>
      </c>
      <c r="GT45" s="63" t="str">
        <f t="shared" si="57"/>
        <v/>
      </c>
      <c r="GU45"/>
      <c r="HC45" s="805"/>
      <c r="HD45" s="805"/>
    </row>
    <row r="46" spans="1:212" ht="15.75" customHeight="1" x14ac:dyDescent="0.2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1526</v>
      </c>
      <c r="BI46" s="170">
        <f>IFERROR(INDEX($O$46:$T$3015,$BH46:$BH57,COLUMNS($BE$46:BE46)),0)</f>
        <v>1</v>
      </c>
      <c r="BJ46" s="170">
        <f>IFERROR(INDEX($O$46:$T$3015,$BH46:$BH57,COLUMNS($BE$46:BF46)),0)</f>
        <v>1145493</v>
      </c>
      <c r="BK46" s="170">
        <f>IFERROR(INDEX($O$46:$T$3015,$BH46:$BH57,COLUMNS($BE$46:BG46)),0)</f>
        <v>16</v>
      </c>
      <c r="BL46" s="170">
        <f>IFERROR(INDEX($O$46:$T$3015,$BH46:$BH57,COLUMNS($BE$46:BH46)),0)</f>
        <v>0</v>
      </c>
      <c r="BM46" s="170" t="str">
        <f>IFERROR(INDEX($O$46:$T$3015,$BH46:$BH57,COLUMNS($BE$46:BI46)),0)</f>
        <v>6 1/8"</v>
      </c>
      <c r="BN46" s="170" t="str">
        <f>IFERROR(INDEX($O$46:$T$3015,$BH46:$BH57,COLUMNS($BE$46:BJ46)),0)</f>
        <v>HD54</v>
      </c>
      <c r="BO46" s="170">
        <f>IFERROR(INDEX($O$46:$T$3015,$BH46:$BH57,COLUMNS($BE$46:BG46)),0)</f>
        <v>16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3</v>
      </c>
      <c r="BV46" s="40">
        <f>IFERROR(INDEX($W$46:$BE$3014,$BH46:$BH56,COLUMNS($BE$46:BI46)),"")</f>
        <v>3</v>
      </c>
      <c r="BW46" s="40">
        <f>IFERROR(INDEX($W$46:$BE$3014,$BH46:$BH56,COLUMNS($BE$46:BJ46)),"")</f>
        <v>1</v>
      </c>
      <c r="BX46" s="40">
        <f>IFERROR(INDEX($W$46:$BE$3014,$BH46:$BH56,COLUMNS($BE$46:BK46)),"")</f>
        <v>2</v>
      </c>
      <c r="BY46" s="40">
        <f>IFERROR(INDEX($W$46:$BE$3014,$BH46:$BH56,COLUMNS($BE$46:BL46)),"")</f>
        <v>2</v>
      </c>
      <c r="BZ46" s="40">
        <f>IFERROR(INDEX($W$46:$BE$3014,$BH46:$BH56,COLUMNS($BE$46:BM46)),"")</f>
        <v>0</v>
      </c>
      <c r="CA46" s="40">
        <f>IFERROR(INDEX($W$46:$BE$3014,$BH46:$BH56,COLUMNS($BE$46:BN46)),"")</f>
        <v>0</v>
      </c>
      <c r="CB46" s="40">
        <f>IFERROR(INDEX($W$46:$BE$3014,$BH46:$BH56,COLUMNS($BE$46:BO46)),"")</f>
        <v>0</v>
      </c>
      <c r="CC46" s="40">
        <f>IFERROR(INDEX($W$46:$BE$3014,$BH46:$BH56,COLUMNS($BE$46:BP46)),"")</f>
        <v>0</v>
      </c>
      <c r="CD46" s="40">
        <f>IFERROR(INDEX($W$46:$BE$3014,$BH46:$BH56,COLUMNS($BE$46:BQ46)),"")</f>
        <v>0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2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1527</v>
      </c>
      <c r="BI47" s="170">
        <f>IFERROR(INDEX($O$46:$T$3015,$BH47:$BH58,COLUMNS($BE$46:BE47)),0)</f>
        <v>2</v>
      </c>
      <c r="BJ47" s="170">
        <f>IFERROR(INDEX($O$46:$T$3015,$BH47:$BH58,COLUMNS($BE$46:BF47)),0)</f>
        <v>418525</v>
      </c>
      <c r="BK47" s="170">
        <f>IFERROR(INDEX($O$46:$T$3015,$BH47:$BH58,COLUMNS($BE$46:BG47)),0)</f>
        <v>10</v>
      </c>
      <c r="BL47" s="170">
        <f>IFERROR(INDEX($O$46:$T$3015,$BH47:$BH58,COLUMNS($BE$46:BH47)),0)</f>
        <v>0</v>
      </c>
      <c r="BM47" s="170" t="str">
        <f>IFERROR(INDEX($O$46:$T$3015,$BH47:$BH58,COLUMNS($BE$46:BI47)),0)</f>
        <v>6 1/8"</v>
      </c>
      <c r="BN47" s="170" t="str">
        <f>IFERROR(INDEX($O$46:$T$3015,$BH47:$BH58,COLUMNS($BE$46:BJ47)),0)</f>
        <v>HD54</v>
      </c>
      <c r="BO47" s="170">
        <f>IFERROR(INDEX($O$46:$T$3015,$BH47:$BH58,COLUMNS($BE$46:BG47)),0)</f>
        <v>10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3</v>
      </c>
      <c r="BT47" s="40">
        <f>IFERROR(INDEX($W$46:$BE$3014,$BH47:$BH57,COLUMNS($BE$46:BG47)),"")</f>
        <v>1</v>
      </c>
      <c r="BU47" s="40">
        <f>IFERROR(INDEX($W$46:$BE$3014,$BH47:$BH57,COLUMNS($BE$46:BH47)),"")</f>
        <v>2</v>
      </c>
      <c r="BV47" s="40">
        <f>IFERROR(INDEX($W$46:$BE$3014,$BH47:$BH57,COLUMNS($BE$46:BI47)),"")</f>
        <v>2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0</v>
      </c>
      <c r="CB47" s="40">
        <f>IFERROR(INDEX($W$46:$BE$3014,$BH47:$BH57,COLUMNS($BE$46:BO47)),"")</f>
        <v>0</v>
      </c>
      <c r="CC47" s="40">
        <f>IFERROR(INDEX($W$46:$BE$3014,$BH47:$BH57,COLUMNS($BE$46:BP47)),"")</f>
        <v>0</v>
      </c>
      <c r="CD47" s="40">
        <f>IFERROR(INDEX($W$46:$BE$3014,$BH47:$BH57,COLUMNS($BE$46:BQ47)),"")</f>
        <v>0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2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1528</v>
      </c>
      <c r="BI48" s="170">
        <f>IFERROR(INDEX($O$46:$T$3015,$BH48:$BH59,COLUMNS($BE$46:BE48)),0)</f>
        <v>3</v>
      </c>
      <c r="BJ48" s="170">
        <f>IFERROR(INDEX($O$46:$T$3015,$BH48:$BH59,COLUMNS($BE$46:BF48)),0)</f>
        <v>1209332</v>
      </c>
      <c r="BK48" s="170">
        <f>IFERROR(INDEX($O$46:$T$3015,$BH48:$BH59,COLUMNS($BE$46:BG48)),0)</f>
        <v>7</v>
      </c>
      <c r="BL48" s="170">
        <f>IFERROR(INDEX($O$46:$T$3015,$BH48:$BH59,COLUMNS($BE$46:BH48)),0)</f>
        <v>0</v>
      </c>
      <c r="BM48" s="170" t="str">
        <f>IFERROR(INDEX($O$46:$T$3015,$BH48:$BH59,COLUMNS($BE$46:BI48)),0)</f>
        <v>6 1/8"</v>
      </c>
      <c r="BN48" s="170" t="str">
        <f>IFERROR(INDEX($O$46:$T$3015,$BH48:$BH59,COLUMNS($BE$46:BJ48)),0)</f>
        <v>HD54</v>
      </c>
      <c r="BO48" s="170">
        <f>IFERROR(INDEX($O$46:$T$3015,$BH48:$BH59,COLUMNS($BE$46:BG48)),0)</f>
        <v>7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3</v>
      </c>
      <c r="BV48" s="40">
        <f>IFERROR(INDEX($W$46:$BE$3014,$BH48:$BH58,COLUMNS($BE$46:BI48)),"")</f>
        <v>1</v>
      </c>
      <c r="BW48" s="40">
        <f>IFERROR(INDEX($W$46:$BE$3014,$BH48:$BH58,COLUMNS($BE$46:BJ48)),"")</f>
        <v>2</v>
      </c>
      <c r="BX48" s="40">
        <f>IFERROR(INDEX($W$46:$BE$3014,$BH48:$BH58,COLUMNS($BE$46:BK48)),"")</f>
        <v>2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0</v>
      </c>
      <c r="CB48" s="40">
        <f>IFERROR(INDEX($W$46:$BE$3014,$BH48:$BH58,COLUMNS($BE$46:BO48)),"")</f>
        <v>0</v>
      </c>
      <c r="CC48" s="40">
        <f>IFERROR(INDEX($W$46:$BE$3014,$BH48:$BH58,COLUMNS($BE$46:BP48)),"")</f>
        <v>0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2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1529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6 1/8"</v>
      </c>
      <c r="BN49" s="170" t="str">
        <f>IFERROR(INDEX($O$46:$T$3015,$BH49:$BH60,COLUMNS($BE$46:BJ49)),0)</f>
        <v>HD54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3</v>
      </c>
      <c r="BV49" s="40">
        <f>IFERROR(INDEX($W$46:$BE$3014,$BH49:$BH59,COLUMNS($BE$46:BI49)),"")</f>
        <v>1</v>
      </c>
      <c r="BW49" s="40">
        <f>IFERROR(INDEX($W$46:$BE$3014,$BH49:$BH59,COLUMNS($BE$46:BJ49)),"")</f>
        <v>1</v>
      </c>
      <c r="BX49" s="40">
        <f>IFERROR(INDEX($W$46:$BE$3014,$BH49:$BH59,COLUMNS($BE$46:BK49)),"")</f>
        <v>2</v>
      </c>
      <c r="BY49" s="40">
        <f>IFERROR(INDEX($W$46:$BE$3014,$BH49:$BH59,COLUMNS($BE$46:BL49)),"")</f>
        <v>2</v>
      </c>
      <c r="BZ49" s="40">
        <f>IFERROR(INDEX($W$46:$BE$3014,$BH49:$BH59,COLUMNS($BE$46:BM49)),"")</f>
        <v>0</v>
      </c>
      <c r="CA49" s="40">
        <f>IFERROR(INDEX($W$46:$BE$3014,$BH49:$BH59,COLUMNS($BE$46:BN49)),"")</f>
        <v>0</v>
      </c>
      <c r="CB49" s="40">
        <f>IFERROR(INDEX($W$46:$BE$3014,$BH49:$BH59,COLUMNS($BE$46:BO49)),"")</f>
        <v>0</v>
      </c>
      <c r="CC49" s="40">
        <f>IFERROR(INDEX($W$46:$BE$3014,$BH49:$BH59,COLUMNS($BE$46:BP49)),"")</f>
        <v>0</v>
      </c>
      <c r="CD49" s="40">
        <f>IFERROR(INDEX($W$46:$BE$3014,$BH49:$BH59,COLUMNS($BE$46:BQ49)),"")</f>
        <v>0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3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1530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6 1/8"</v>
      </c>
      <c r="BN50" s="170" t="str">
        <f>IFERROR(INDEX($O$46:$T$3015,$BH50:$BH61,COLUMNS($BE$46:BJ50)),0)</f>
        <v>HD54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3</v>
      </c>
      <c r="BS50" s="40">
        <f>IFERROR(INDEX($W$46:$BE$3014,$BH50:$BH60,COLUMNS($BE$46:BF50)),"")</f>
        <v>3</v>
      </c>
      <c r="BT50" s="40">
        <f>IFERROR(INDEX($W$46:$BE$3014,$BH50:$BH60,COLUMNS($BE$46:BG50)),"")</f>
        <v>1</v>
      </c>
      <c r="BU50" s="40">
        <f>IFERROR(INDEX($W$46:$BE$3014,$BH50:$BH60,COLUMNS($BE$46:BH50)),"")</f>
        <v>2</v>
      </c>
      <c r="BV50" s="40">
        <f>IFERROR(INDEX($W$46:$BE$3014,$BH50:$BH60,COLUMNS($BE$46:BI50)),"")</f>
        <v>2</v>
      </c>
      <c r="BW50" s="40">
        <f>IFERROR(INDEX($W$46:$BE$3014,$BH50:$BH60,COLUMNS($BE$46:BJ50)),"")</f>
        <v>0</v>
      </c>
      <c r="BX50" s="40">
        <f>IFERROR(INDEX($W$46:$BE$3014,$BH50:$BH60,COLUMNS($BE$46:BK50)),"")</f>
        <v>0</v>
      </c>
      <c r="BY50" s="40">
        <f>IFERROR(INDEX($W$46:$BE$3014,$BH50:$BH60,COLUMNS($BE$46:BL50)),"")</f>
        <v>0</v>
      </c>
      <c r="BZ50" s="40">
        <f>IFERROR(INDEX($W$46:$BE$3014,$BH50:$BH60,COLUMNS($BE$46:BM50)),"")</f>
        <v>0</v>
      </c>
      <c r="CA50" s="40">
        <f>IFERROR(INDEX($W$46:$BE$3014,$BH50:$BH60,COLUMNS($BE$46:BN50)),"")</f>
        <v>0</v>
      </c>
      <c r="CB50" s="40">
        <f>IFERROR(INDEX($W$46:$BE$3014,$BH50:$BH60,COLUMNS($BE$46:BO50)),"")</f>
        <v>0</v>
      </c>
      <c r="CC50" s="40">
        <f>IFERROR(INDEX($W$46:$BE$3014,$BH50:$BH60,COLUMNS($BE$46:BP50)),"")</f>
        <v>0</v>
      </c>
      <c r="CD50" s="40">
        <f>IFERROR(INDEX($W$46:$BE$3014,$BH50:$BH60,COLUMNS($BE$46:BQ50)),"")</f>
        <v>0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3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 t="str">
        <f>IFERROR(SMALL($BG$46:$BG$3014,ROWS($BG$46:BG51)),"")</f>
        <v/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>
        <f>IFERROR(INDEX($O$46:$T$3015,$BH51:$BH62,COLUMNS($BE$46:BI51)),0)</f>
        <v>0</v>
      </c>
      <c r="BN51" s="170">
        <f>IFERROR(INDEX($O$46:$T$3015,$BH51:$BH62,COLUMNS($BE$46:BJ51)),0)</f>
        <v>0</v>
      </c>
      <c r="BO51" s="170">
        <f>IFERROR(INDEX($O$46:$T$3015,$BH51:$BH62,COLUMNS($BE$46:BG51)),0)</f>
        <v>0</v>
      </c>
      <c r="BP51" s="44"/>
      <c r="BQ51" s="140" t="s">
        <v>92</v>
      </c>
      <c r="BR51" s="40" t="str">
        <f>IFERROR(INDEX($W$46:$BE$3014,$BH51:$BH61,COLUMNS($BE$46:BE51)),"")</f>
        <v/>
      </c>
      <c r="BS51" s="40" t="str">
        <f>IFERROR(INDEX($W$46:$BE$3014,$BH51:$BH61,COLUMNS($BE$46:BF51)),"")</f>
        <v/>
      </c>
      <c r="BT51" s="40" t="str">
        <f>IFERROR(INDEX($W$46:$BE$3014,$BH51:$BH61,COLUMNS($BE$46:BG51)),"")</f>
        <v/>
      </c>
      <c r="BU51" s="40" t="str">
        <f>IFERROR(INDEX($W$46:$BE$3014,$BH51:$BH61,COLUMNS($BE$46:BH51)),"")</f>
        <v/>
      </c>
      <c r="BV51" s="40" t="str">
        <f>IFERROR(INDEX($W$46:$BE$3014,$BH51:$BH61,COLUMNS($BE$46:BI51)),"")</f>
        <v/>
      </c>
      <c r="BW51" s="40" t="str">
        <f>IFERROR(INDEX($W$46:$BE$3014,$BH51:$BH61,COLUMNS($BE$46:BJ51)),"")</f>
        <v/>
      </c>
      <c r="BX51" s="40" t="str">
        <f>IFERROR(INDEX($W$46:$BE$3014,$BH51:$BH61,COLUMNS($BE$46:BK51)),"")</f>
        <v/>
      </c>
      <c r="BY51" s="40" t="str">
        <f>IFERROR(INDEX($W$46:$BE$3014,$BH51:$BH61,COLUMNS($BE$46:BL51)),"")</f>
        <v/>
      </c>
      <c r="BZ51" s="40" t="str">
        <f>IFERROR(INDEX($W$46:$BE$3014,$BH51:$BH61,COLUMNS($BE$46:BM51)),"")</f>
        <v/>
      </c>
      <c r="CA51" s="40" t="str">
        <f>IFERROR(INDEX($W$46:$BE$3014,$BH51:$BH61,COLUMNS($BE$46:BN51)),"")</f>
        <v/>
      </c>
      <c r="CB51" s="40" t="str">
        <f>IFERROR(INDEX($W$46:$BE$3014,$BH51:$BH61,COLUMNS($BE$46:BO51)),"")</f>
        <v/>
      </c>
      <c r="CC51" s="40" t="str">
        <f>IFERROR(INDEX($W$46:$BE$3014,$BH51:$BH61,COLUMNS($BE$46:BP51)),"")</f>
        <v/>
      </c>
      <c r="CD51" s="40" t="str">
        <f>IFERROR(INDEX($W$46:$BE$3014,$BH51:$BH61,COLUMNS($BE$46:BQ51)),"")</f>
        <v/>
      </c>
      <c r="CE51" s="40" t="str">
        <f>IFERROR(INDEX($W$46:$BE$3014,$BH51:$BH61,COLUMNS($BE$46:BR51)),"")</f>
        <v/>
      </c>
      <c r="CF51" s="40" t="str">
        <f>IFERROR(INDEX($W$46:$BE$3014,$BH51:$BH61,COLUMNS($BE$46:BS51)),"")</f>
        <v/>
      </c>
      <c r="CG51" s="40" t="str">
        <f>IFERROR(INDEX($W$46:$BE$3014,$BH51:$BH61,COLUMNS($BE$46:BT51)),"")</f>
        <v/>
      </c>
      <c r="CH51" s="40" t="str">
        <f>IFERROR(INDEX($W$46:$BE$3014,$BH51:$BH61,COLUMNS($BE$46:BU51)),"")</f>
        <v/>
      </c>
      <c r="CI51" s="40" t="str">
        <f>IFERROR(INDEX($W$46:$BE$3014,$BH51:$BH61,COLUMNS($BE$46:BV51)),"")</f>
        <v/>
      </c>
      <c r="CJ51" s="40" t="str">
        <f>IFERROR(INDEX($W$46:$BE$3014,$BH51:$BH61,COLUMNS($BE$46:BW51)),"")</f>
        <v/>
      </c>
      <c r="CK51" s="40" t="str">
        <f>IFERROR(INDEX($W$46:$BE$3014,$BH51:$BH61,COLUMNS($BE$46:BX51)),"")</f>
        <v/>
      </c>
      <c r="CL51" s="40" t="str">
        <f>IFERROR(INDEX($W$46:$BE$3014,$BH51:$BH61,COLUMNS($BE$46:BY51)),"")</f>
        <v/>
      </c>
      <c r="CM51" s="40" t="str">
        <f>IFERROR(INDEX($W$46:$BE$3014,$BH51:$BH61,COLUMNS($BE$46:BZ51)),"")</f>
        <v/>
      </c>
      <c r="CN51" s="40" t="str">
        <f>IFERROR(INDEX($W$46:$BE$3014,$BH51:$BH61,COLUMNS($BE$46:CA51)),"")</f>
        <v/>
      </c>
      <c r="CO51" s="40" t="str">
        <f>IFERROR(INDEX($W$46:$BE$3014,$BH51:$BH61,COLUMNS($BE$46:CB51)),"")</f>
        <v/>
      </c>
      <c r="CP51" s="40" t="str">
        <f>IFERROR(INDEX($W$46:$BE$3014,$BH51:$BH61,COLUMNS($BE$46:CC51)),"")</f>
        <v/>
      </c>
      <c r="CQ51" s="40" t="str">
        <f>IFERROR(INDEX($W$46:$BE$3014,$BH51:$BH61,COLUMNS($BE$46:CD51)),"")</f>
        <v/>
      </c>
      <c r="CR51" s="40" t="str">
        <f>IFERROR(INDEX($W$46:$BE$3014,$BH51:$BH61,COLUMNS($BE$46:CE51)),"")</f>
        <v/>
      </c>
      <c r="CS51" s="40" t="str">
        <f>IFERROR(INDEX($W$46:$BE$3014,$BH51:$BH61,COLUMNS($BE$46:CF51)),"")</f>
        <v/>
      </c>
      <c r="CT51" s="40" t="str">
        <f>IFERROR(INDEX($W$46:$BE$3014,$BH51:$BH61,COLUMNS($BE$46:CG51)),"")</f>
        <v/>
      </c>
      <c r="CU51" s="40" t="str">
        <f>IFERROR(INDEX($W$46:$BE$3014,$BH51:$BH61,COLUMNS($BE$46:CH51)),"")</f>
        <v/>
      </c>
      <c r="CV51" s="40" t="str">
        <f>IFERROR(INDEX($W$46:$BE$3014,$BH51:$BH61,COLUMNS($BE$46:CI51)),"")</f>
        <v/>
      </c>
      <c r="CW51" s="40" t="str">
        <f>IFERROR(INDEX($W$46:$BE$3014,$BH51:$BH61,COLUMNS($BE$46:CJ51)),"")</f>
        <v/>
      </c>
      <c r="CX51" s="40" t="str">
        <f>IFERROR(INDEX($W$46:$BE$3014,$BH51:$BH61,COLUMNS($BE$46:CK51)),"")</f>
        <v/>
      </c>
      <c r="CY51" s="40" t="str">
        <f>IFERROR(INDEX($W$46:$BE$3014,$BH51:$BH61,COLUMNS($BE$46:CL51)),"")</f>
        <v/>
      </c>
      <c r="CZ51" s="40" t="str">
        <f>IFERROR(INDEX($W$46:$BE$3014,$BH51:$BH61,COLUMNS($BE$46:CM51)),"")</f>
        <v/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0</v>
      </c>
      <c r="GP51" t="s">
        <v>1668</v>
      </c>
      <c r="GQ51" s="26" t="s">
        <v>1766</v>
      </c>
      <c r="GS51">
        <f>ROWS($GJ$20:GJ51)</f>
        <v>32</v>
      </c>
      <c r="GT51" s="63" t="str">
        <f t="shared" si="57"/>
        <v/>
      </c>
      <c r="GU51"/>
      <c r="HC51" s="805"/>
      <c r="HD51" s="805"/>
    </row>
    <row r="52" spans="1:212" ht="15.75" customHeight="1" thickBot="1" x14ac:dyDescent="0.3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3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4121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1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0</v>
      </c>
      <c r="GP53" t="s">
        <v>1668</v>
      </c>
      <c r="GQ53" s="26" t="s">
        <v>1768</v>
      </c>
      <c r="GS53">
        <f>ROWS($GJ$20:GJ53)</f>
        <v>34</v>
      </c>
      <c r="GT53" s="63" t="str">
        <f t="shared" si="57"/>
        <v/>
      </c>
      <c r="GU53"/>
      <c r="HC53" s="805"/>
      <c r="HD53" s="805"/>
    </row>
    <row r="54" spans="1:212" ht="12.75" customHeight="1" x14ac:dyDescent="0.2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2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2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3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2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3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3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1145493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3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418525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3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1209332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25">
      <c r="B63" s="118">
        <f>IF(D4&lt;&gt;"",INDEX(D12:F21,MATCH(D4,D12:D21,2),3),"")</f>
        <v>1313</v>
      </c>
      <c r="C63" s="119">
        <f>IF(G4&lt;&gt;"",INDEX(D12:F21,MATCH(G4,D12:D21,2),3),"")</f>
        <v>1313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1146346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33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>1146346</v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25">
      <c r="B64" s="3">
        <f>IF(D5&lt;&gt;"",INDEX(D12:F21,MATCH(D5,D12:D21,2),3),"")</f>
        <v>1313</v>
      </c>
      <c r="C64" s="27">
        <f>IF(G5&lt;&gt;"",INDEX(D12:F21,MATCH(G5,D12:D21,2),3),"")</f>
        <v>1313</v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2001155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>2001155</v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2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2223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2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2220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3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3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3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2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3">
      <c r="B71" s="93" t="s">
        <v>947</v>
      </c>
      <c r="C71" s="93" t="s">
        <v>949</v>
      </c>
      <c r="F71" s="64" t="s">
        <v>2312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25">
      <c r="B72" s="1008" t="s">
        <v>2230</v>
      </c>
      <c r="C72" s="93" t="s">
        <v>2238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3">
      <c r="B73" s="93" t="s">
        <v>2316</v>
      </c>
      <c r="C73" t="s">
        <v>2230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3">
      <c r="B74" s="93" t="s">
        <v>2336</v>
      </c>
      <c r="C74" s="93" t="s">
        <v>2316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25">
      <c r="B75" s="93" t="s">
        <v>2241</v>
      </c>
      <c r="C75" s="93" t="s">
        <v>2336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25">
      <c r="B76" s="93" t="s">
        <v>2233</v>
      </c>
      <c r="C76" s="93" t="s">
        <v>2231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25">
      <c r="B77" s="93" t="s">
        <v>2232</v>
      </c>
      <c r="C77" s="93" t="s">
        <v>2236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25">
      <c r="B78" s="93" t="s">
        <v>2231</v>
      </c>
      <c r="C78" s="93" t="s">
        <v>2240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3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3">
      <c r="B80" s="93" t="s">
        <v>2235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3">
      <c r="B81" s="93" t="s">
        <v>2234</v>
      </c>
      <c r="C81" s="1023" t="s">
        <v>2241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3">
      <c r="B82" s="93" t="s">
        <v>2237</v>
      </c>
      <c r="C82" s="1023" t="s">
        <v>2337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3">
      <c r="B83" s="93" t="s">
        <v>2236</v>
      </c>
      <c r="C83" s="1023" t="s">
        <v>2338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25">
      <c r="B84" s="93" t="s">
        <v>2238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3">
      <c r="B85" s="93" t="s">
        <v>2239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25">
      <c r="B86" s="93" t="s">
        <v>2240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2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2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2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3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2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2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2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3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2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3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2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3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3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3">
      <c r="B100" s="1172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3">
      <c r="B101" s="1173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3">
      <c r="B102" s="1173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3">
      <c r="A103" s="1004">
        <f>VALUE(LEFT($B$2,8))</f>
        <v>14304769</v>
      </c>
      <c r="B103" s="1174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3">
      <c r="B104" s="1173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3">
      <c r="B105" s="1173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3">
      <c r="B106" s="1173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3">
      <c r="B107" s="1175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3">
      <c r="B108" s="25"/>
      <c r="C108" s="26" t="s">
        <v>1277</v>
      </c>
      <c r="E108" s="26" t="s">
        <v>1276</v>
      </c>
      <c r="F108" s="581" t="s">
        <v>1279</v>
      </c>
      <c r="G108">
        <f>G109*340*1.1</f>
        <v>187.00000000000003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3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466.33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9</v>
      </c>
      <c r="F109" s="26">
        <f>IF(OR(L4=1,L5=1),F113,IFERROR(IF($C$43&lt;2,0,IF($C$43="",0,IF(AND($C$43&gt;=C101,$C$43&lt;C102),F111,IF(AND($C$43&gt;=C102,$C$43&lt;C103),F112,0)))),0))</f>
        <v>830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0.5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3">
      <c r="B110" s="1161" t="s">
        <v>1274</v>
      </c>
      <c r="C110" s="1162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3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3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3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3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3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3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3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2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2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1920</v>
      </c>
      <c r="DG119" s="37" t="s">
        <v>1920</v>
      </c>
      <c r="DH119" s="37">
        <v>16</v>
      </c>
      <c r="DI119" s="37">
        <v>1613</v>
      </c>
      <c r="DJ119" s="37" t="s">
        <v>1412</v>
      </c>
      <c r="DK119" s="37"/>
      <c r="DL119" s="37" t="s">
        <v>1921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3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2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25">
      <c r="A122" s="946"/>
      <c r="B122" s="947" t="str">
        <f>IFERROR(INDEX(A124:B133,MATCH(B3,B124:B132,0),1),"")</f>
        <v xml:space="preserve">3 1/2" </v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2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2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2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3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2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 t="str">
        <f t="shared" si="72"/>
        <v/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2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2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2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2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3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3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2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2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2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2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2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3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2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2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2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2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2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3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2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2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2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2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3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2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2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2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2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2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2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3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2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2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2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2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3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2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2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2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2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2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2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3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3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3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>
        <f t="shared" si="94"/>
        <v>170</v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2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2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2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2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2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2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2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2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3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2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2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2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2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2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1918</v>
      </c>
      <c r="DG185" t="s">
        <v>1918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2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1993</v>
      </c>
      <c r="DG186" t="s">
        <v>1993</v>
      </c>
      <c r="DH186" s="10">
        <v>16</v>
      </c>
      <c r="DI186" s="10">
        <v>1608</v>
      </c>
      <c r="DJ186" t="s">
        <v>1984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3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1994</v>
      </c>
      <c r="DG187" t="s">
        <v>1994</v>
      </c>
      <c r="DH187" s="10">
        <v>13</v>
      </c>
      <c r="DI187" s="10">
        <v>1308</v>
      </c>
      <c r="DJ187" t="s">
        <v>1984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2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1919</v>
      </c>
      <c r="DG188" t="s">
        <v>1919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2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1936</v>
      </c>
      <c r="DG189" t="s">
        <v>1936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2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1943</v>
      </c>
      <c r="DG190" t="s">
        <v>1943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2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1944</v>
      </c>
      <c r="DG191" t="s">
        <v>1944</v>
      </c>
      <c r="DH191" s="10">
        <v>16</v>
      </c>
      <c r="DI191" s="10">
        <v>1613</v>
      </c>
      <c r="DJ191" t="s">
        <v>1951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2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1946</v>
      </c>
      <c r="DG192" t="s">
        <v>1946</v>
      </c>
      <c r="DH192" s="10">
        <v>16</v>
      </c>
      <c r="DI192" s="10">
        <v>1613</v>
      </c>
      <c r="DJ192" t="s">
        <v>1952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2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1953</v>
      </c>
      <c r="DG193" t="s">
        <v>1953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2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1965</v>
      </c>
      <c r="DG194" t="s">
        <v>1966</v>
      </c>
      <c r="DH194" s="10">
        <v>13</v>
      </c>
      <c r="DI194" s="10">
        <v>13</v>
      </c>
      <c r="DJ194" t="s">
        <v>1967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2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1968</v>
      </c>
      <c r="DG195" t="s">
        <v>1969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3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1975</v>
      </c>
      <c r="DG196" t="s">
        <v>1976</v>
      </c>
      <c r="DH196" s="10">
        <v>13</v>
      </c>
      <c r="DI196" s="10">
        <v>1308</v>
      </c>
      <c r="DJ196" t="s">
        <v>1977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1978</v>
      </c>
    </row>
    <row r="197" spans="1:188" ht="15" customHeight="1" x14ac:dyDescent="0.2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1979</v>
      </c>
      <c r="DG197" t="s">
        <v>1979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2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1983</v>
      </c>
      <c r="DG198" t="s">
        <v>1983</v>
      </c>
      <c r="DH198" s="10">
        <v>16</v>
      </c>
      <c r="DI198" s="10">
        <v>1613</v>
      </c>
      <c r="DJ198" t="s">
        <v>1984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2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1985</v>
      </c>
      <c r="DG199" t="s">
        <v>1985</v>
      </c>
      <c r="DH199" s="10">
        <v>16</v>
      </c>
      <c r="DI199" s="10">
        <v>1608</v>
      </c>
      <c r="DJ199" t="s">
        <v>1984</v>
      </c>
      <c r="DK199"/>
      <c r="DL199" t="s">
        <v>1986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2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1987</v>
      </c>
      <c r="DG200" t="s">
        <v>1987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2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1988</v>
      </c>
      <c r="DG201" t="s">
        <v>1988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3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1989</v>
      </c>
      <c r="DG202" t="s">
        <v>1989</v>
      </c>
      <c r="DH202" s="10">
        <v>13</v>
      </c>
      <c r="DI202" s="10">
        <v>1308</v>
      </c>
      <c r="DJ202" t="s">
        <v>1991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2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1990</v>
      </c>
      <c r="DG203" t="s">
        <v>1990</v>
      </c>
      <c r="DH203" s="10">
        <v>16</v>
      </c>
      <c r="DI203" s="10">
        <v>1608</v>
      </c>
      <c r="DJ203" t="s">
        <v>1991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2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2000</v>
      </c>
      <c r="DG204" t="s">
        <v>2000</v>
      </c>
      <c r="DH204" s="10">
        <v>16</v>
      </c>
      <c r="DI204">
        <v>1613</v>
      </c>
      <c r="DJ204" t="s">
        <v>1995</v>
      </c>
      <c r="DK204"/>
      <c r="DL204" t="s">
        <v>1986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2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2001</v>
      </c>
      <c r="DG205" t="s">
        <v>2001</v>
      </c>
      <c r="DH205" s="10">
        <v>13</v>
      </c>
      <c r="DI205" t="s">
        <v>1997</v>
      </c>
      <c r="DJ205" t="s">
        <v>1996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2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2002</v>
      </c>
      <c r="DG206" t="s">
        <v>2002</v>
      </c>
      <c r="DH206" s="10">
        <v>16</v>
      </c>
      <c r="DI206">
        <v>1613</v>
      </c>
      <c r="DJ206" t="s">
        <v>1231</v>
      </c>
      <c r="DK206"/>
      <c r="DL206" t="s">
        <v>1986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2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2007</v>
      </c>
      <c r="DG207" t="s">
        <v>2007</v>
      </c>
      <c r="DH207" s="10">
        <v>10</v>
      </c>
      <c r="DI207">
        <v>1010</v>
      </c>
      <c r="DJ207" t="s">
        <v>2008</v>
      </c>
      <c r="DK207"/>
      <c r="DL207" t="s">
        <v>1986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2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2021</v>
      </c>
      <c r="DG208" t="s">
        <v>2021</v>
      </c>
      <c r="DH208" s="10">
        <v>19</v>
      </c>
      <c r="DI208">
        <v>1913</v>
      </c>
      <c r="DJ208" t="s">
        <v>2017</v>
      </c>
      <c r="DK208"/>
      <c r="DL208" t="s">
        <v>1986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2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2022</v>
      </c>
      <c r="DG209" t="s">
        <v>2022</v>
      </c>
      <c r="DH209" s="10">
        <v>16</v>
      </c>
      <c r="DI209">
        <v>1613</v>
      </c>
      <c r="DJ209" t="s">
        <v>2017</v>
      </c>
      <c r="DK209"/>
      <c r="DL209" t="s">
        <v>1986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3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2025</v>
      </c>
      <c r="DG210" t="s">
        <v>2025</v>
      </c>
      <c r="DH210" s="10">
        <v>19</v>
      </c>
      <c r="DI210">
        <v>1913</v>
      </c>
      <c r="DJ210" t="s">
        <v>2026</v>
      </c>
      <c r="DK210"/>
      <c r="DL210" t="s">
        <v>1986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2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2028</v>
      </c>
      <c r="DG211" t="s">
        <v>2028</v>
      </c>
      <c r="DH211" s="10">
        <v>13</v>
      </c>
      <c r="DI211">
        <v>1313</v>
      </c>
      <c r="DJ211" t="s">
        <v>2008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2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2031</v>
      </c>
      <c r="DG212" t="s">
        <v>2031</v>
      </c>
      <c r="DH212" s="10">
        <v>13</v>
      </c>
      <c r="DI212">
        <v>1313</v>
      </c>
      <c r="DJ212" t="s">
        <v>2032</v>
      </c>
      <c r="DK212"/>
      <c r="DL212" t="s">
        <v>1986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>
        <f t="shared" si="117"/>
        <v>211</v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2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2033</v>
      </c>
      <c r="DG213" t="s">
        <v>2033</v>
      </c>
      <c r="DH213" s="10">
        <v>10</v>
      </c>
      <c r="DI213">
        <v>1010</v>
      </c>
      <c r="DJ213" t="s">
        <v>1232</v>
      </c>
      <c r="DK213"/>
      <c r="DL213" t="s">
        <v>1986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2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2037</v>
      </c>
      <c r="DG214" t="s">
        <v>2037</v>
      </c>
      <c r="DH214" s="10">
        <v>16</v>
      </c>
      <c r="DI214">
        <v>1613</v>
      </c>
      <c r="DJ214" t="s">
        <v>2039</v>
      </c>
      <c r="DK214"/>
      <c r="DL214" t="s">
        <v>1986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2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2038</v>
      </c>
      <c r="DG215" t="s">
        <v>2038</v>
      </c>
      <c r="DH215" s="10">
        <v>16</v>
      </c>
      <c r="DI215">
        <v>1613</v>
      </c>
      <c r="DJ215" t="s">
        <v>2026</v>
      </c>
      <c r="DK215"/>
      <c r="DL215" t="s">
        <v>1986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3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2047</v>
      </c>
      <c r="DG216" s="10" t="s">
        <v>2047</v>
      </c>
      <c r="DH216" s="10">
        <v>19</v>
      </c>
      <c r="DI216">
        <v>1913</v>
      </c>
      <c r="DJ216" t="s">
        <v>2041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2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2048</v>
      </c>
      <c r="DG217" s="10" t="s">
        <v>2048</v>
      </c>
      <c r="DH217" s="10">
        <v>19</v>
      </c>
      <c r="DI217">
        <v>1913</v>
      </c>
      <c r="DJ217" t="s">
        <v>1231</v>
      </c>
      <c r="DK217"/>
      <c r="DL217" t="s">
        <v>1986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2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2049</v>
      </c>
      <c r="DG218" t="s">
        <v>2049</v>
      </c>
      <c r="DH218" s="10">
        <v>19</v>
      </c>
      <c r="DI218">
        <v>1913</v>
      </c>
      <c r="DJ218" t="s">
        <v>2042</v>
      </c>
      <c r="DK218"/>
      <c r="DL218" t="s">
        <v>1986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2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2050</v>
      </c>
      <c r="DG219" t="s">
        <v>2050</v>
      </c>
      <c r="DH219" s="10">
        <v>8</v>
      </c>
      <c r="DI219" t="s">
        <v>2043</v>
      </c>
      <c r="DJ219" t="s">
        <v>1996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2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2051</v>
      </c>
      <c r="DG220" t="s">
        <v>2051</v>
      </c>
      <c r="DH220" s="10">
        <v>13</v>
      </c>
      <c r="DI220" t="s">
        <v>2044</v>
      </c>
      <c r="DJ220" t="s">
        <v>2045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2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2054</v>
      </c>
      <c r="DG221" t="s">
        <v>2054</v>
      </c>
      <c r="DH221" s="10">
        <v>16</v>
      </c>
      <c r="DI221">
        <v>1613</v>
      </c>
      <c r="DJ221" t="s">
        <v>2042</v>
      </c>
      <c r="DK221"/>
      <c r="DL221" t="s">
        <v>1986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2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2064</v>
      </c>
      <c r="DG222" t="s">
        <v>2064</v>
      </c>
      <c r="DH222" s="10">
        <v>13</v>
      </c>
      <c r="DI222">
        <v>1313</v>
      </c>
      <c r="DJ222" t="s">
        <v>2063</v>
      </c>
      <c r="DK222"/>
      <c r="DL222" t="s">
        <v>2062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3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2072</v>
      </c>
      <c r="DG223" t="s">
        <v>2072</v>
      </c>
      <c r="DH223" s="10">
        <v>13</v>
      </c>
      <c r="DI223">
        <v>1313</v>
      </c>
      <c r="DJ223" t="s">
        <v>2068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2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2082</v>
      </c>
      <c r="DG224" t="s">
        <v>2082</v>
      </c>
      <c r="DH224" s="10">
        <v>10</v>
      </c>
      <c r="DI224">
        <v>1010</v>
      </c>
      <c r="DJ224" t="s">
        <v>2017</v>
      </c>
      <c r="DK224"/>
      <c r="DL224" t="s">
        <v>1986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2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2083</v>
      </c>
      <c r="DG225" t="s">
        <v>2083</v>
      </c>
      <c r="DH225" s="10">
        <v>13</v>
      </c>
      <c r="DI225">
        <v>1308</v>
      </c>
      <c r="DJ225" t="s">
        <v>2017</v>
      </c>
      <c r="DK225"/>
      <c r="DL225" t="s">
        <v>1986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2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2086</v>
      </c>
      <c r="DG226" t="s">
        <v>2086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2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2087</v>
      </c>
      <c r="DG227" t="s">
        <v>2087</v>
      </c>
      <c r="DH227" s="10">
        <v>8</v>
      </c>
      <c r="DI227">
        <v>808</v>
      </c>
      <c r="DJ227" t="s">
        <v>2089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2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2088</v>
      </c>
      <c r="DG228" t="s">
        <v>2088</v>
      </c>
      <c r="DH228" s="10">
        <v>13</v>
      </c>
      <c r="DI228">
        <v>1308</v>
      </c>
      <c r="DJ228" t="s">
        <v>2090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3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2091</v>
      </c>
      <c r="DG229" t="s">
        <v>2091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3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2098</v>
      </c>
      <c r="DG230" t="s">
        <v>2098</v>
      </c>
      <c r="DH230" s="10">
        <v>16</v>
      </c>
      <c r="DI230">
        <v>13</v>
      </c>
      <c r="DJ230" t="s">
        <v>2032</v>
      </c>
      <c r="DK230"/>
      <c r="DL230" t="s">
        <v>1986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3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2105</v>
      </c>
      <c r="DG231" t="s">
        <v>2105</v>
      </c>
      <c r="DH231" s="10">
        <v>16</v>
      </c>
      <c r="DI231">
        <v>1613</v>
      </c>
      <c r="DJ231" t="s">
        <v>2108</v>
      </c>
      <c r="DK231"/>
      <c r="DL231" t="s">
        <v>1986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3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2106</v>
      </c>
      <c r="DG232" t="s">
        <v>2106</v>
      </c>
      <c r="DH232" s="10">
        <v>16</v>
      </c>
      <c r="DI232">
        <v>1613</v>
      </c>
      <c r="DJ232" t="s">
        <v>2107</v>
      </c>
      <c r="DK232"/>
      <c r="DL232" t="s">
        <v>1986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3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2112</v>
      </c>
      <c r="DG233" t="s">
        <v>2112</v>
      </c>
      <c r="DH233" s="10">
        <v>13</v>
      </c>
      <c r="DI233">
        <v>1313</v>
      </c>
      <c r="DJ233" t="s">
        <v>1231</v>
      </c>
      <c r="DK233"/>
      <c r="DL233" t="s">
        <v>1986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3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2113</v>
      </c>
      <c r="DG234" t="s">
        <v>2113</v>
      </c>
      <c r="DH234" s="10">
        <v>16</v>
      </c>
      <c r="DI234">
        <v>1613</v>
      </c>
      <c r="DJ234" t="s">
        <v>2114</v>
      </c>
      <c r="DK234"/>
      <c r="DL234" t="s">
        <v>1986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3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2119</v>
      </c>
      <c r="DG235" t="s">
        <v>2119</v>
      </c>
      <c r="DH235" s="10">
        <v>16</v>
      </c>
      <c r="DI235">
        <v>1613</v>
      </c>
      <c r="DJ235" t="s">
        <v>2120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3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2122</v>
      </c>
      <c r="DG236" t="s">
        <v>2122</v>
      </c>
      <c r="DH236" s="10">
        <v>16</v>
      </c>
      <c r="DI236">
        <v>1613</v>
      </c>
      <c r="DJ236" t="s">
        <v>2123</v>
      </c>
      <c r="DK236"/>
      <c r="DL236" t="s">
        <v>1986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2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2124</v>
      </c>
      <c r="DG237" t="s">
        <v>2124</v>
      </c>
      <c r="DH237" s="10">
        <v>19</v>
      </c>
      <c r="DI237">
        <v>1913</v>
      </c>
      <c r="DJ237" t="s">
        <v>2123</v>
      </c>
      <c r="DK237"/>
      <c r="DL237" t="s">
        <v>1986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2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2144</v>
      </c>
      <c r="DG238" t="s">
        <v>2144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2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2149</v>
      </c>
      <c r="DG239" t="s">
        <v>2149</v>
      </c>
      <c r="DH239">
        <v>16</v>
      </c>
      <c r="DI239">
        <v>1613</v>
      </c>
      <c r="DJ239" t="s">
        <v>2042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2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2151</v>
      </c>
      <c r="DG240" t="s">
        <v>2151</v>
      </c>
      <c r="DH240">
        <v>13</v>
      </c>
      <c r="DI240">
        <v>1313</v>
      </c>
      <c r="DJ240" t="s">
        <v>1231</v>
      </c>
      <c r="DK240"/>
      <c r="DL240" t="s">
        <v>2152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2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2153</v>
      </c>
      <c r="DG241" t="s">
        <v>2153</v>
      </c>
      <c r="DH241">
        <v>16</v>
      </c>
      <c r="DI241">
        <v>1613</v>
      </c>
      <c r="DJ241" t="s">
        <v>1231</v>
      </c>
      <c r="DK241"/>
      <c r="DL241" t="s">
        <v>2152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3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2156</v>
      </c>
      <c r="DG242" t="s">
        <v>2156</v>
      </c>
      <c r="DH242">
        <v>13</v>
      </c>
      <c r="DI242">
        <v>1308</v>
      </c>
      <c r="DJ242" t="s">
        <v>1984</v>
      </c>
      <c r="DK242"/>
      <c r="DL242" t="s">
        <v>2160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2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2206</v>
      </c>
      <c r="DG243" t="s">
        <v>2206</v>
      </c>
      <c r="DH243">
        <v>16</v>
      </c>
      <c r="DI243">
        <v>1618</v>
      </c>
      <c r="DJ243" t="s">
        <v>1232</v>
      </c>
      <c r="DK243"/>
      <c r="DL243" t="s">
        <v>2160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2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2157</v>
      </c>
      <c r="DG244" t="s">
        <v>2157</v>
      </c>
      <c r="DH244">
        <v>13</v>
      </c>
      <c r="DI244">
        <v>1313</v>
      </c>
      <c r="DJ244" t="s">
        <v>1984</v>
      </c>
      <c r="DK244"/>
      <c r="DL244" t="s">
        <v>2160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2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2158</v>
      </c>
      <c r="DG245" t="s">
        <v>2158</v>
      </c>
      <c r="DH245">
        <v>16</v>
      </c>
      <c r="DI245">
        <v>1613</v>
      </c>
      <c r="DJ245" t="s">
        <v>1984</v>
      </c>
      <c r="DK245"/>
      <c r="DL245" t="s">
        <v>2160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2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2163</v>
      </c>
      <c r="DG246" t="s">
        <v>2163</v>
      </c>
      <c r="DH246">
        <v>13</v>
      </c>
      <c r="DI246">
        <v>1313</v>
      </c>
      <c r="DJ246" t="s">
        <v>2161</v>
      </c>
      <c r="DK246"/>
      <c r="DL246" t="s">
        <v>1986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2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2165</v>
      </c>
      <c r="DG247" t="s">
        <v>2165</v>
      </c>
      <c r="DH247">
        <v>16</v>
      </c>
      <c r="DI247">
        <v>1613</v>
      </c>
      <c r="DJ247" t="s">
        <v>2042</v>
      </c>
      <c r="DK247"/>
      <c r="DL247" t="s">
        <v>2166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2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2167</v>
      </c>
      <c r="DG248" t="s">
        <v>2167</v>
      </c>
      <c r="DH248">
        <v>16</v>
      </c>
      <c r="DI248">
        <v>1613</v>
      </c>
      <c r="DJ248" t="s">
        <v>1231</v>
      </c>
      <c r="DK248"/>
      <c r="DL248" t="s">
        <v>2166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2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2167</v>
      </c>
      <c r="DG249" t="s">
        <v>2167</v>
      </c>
      <c r="DH249">
        <v>16</v>
      </c>
      <c r="DI249">
        <v>1613</v>
      </c>
      <c r="DJ249" t="s">
        <v>1231</v>
      </c>
      <c r="DK249"/>
      <c r="DL249" t="s">
        <v>2166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2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2178</v>
      </c>
      <c r="DG250" t="s">
        <v>2178</v>
      </c>
      <c r="DH250">
        <v>13</v>
      </c>
      <c r="DI250">
        <v>1313</v>
      </c>
      <c r="DJ250" t="s">
        <v>1231</v>
      </c>
      <c r="DK250"/>
      <c r="DL250" t="s">
        <v>2166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>
        <f t="shared" si="118"/>
        <v>249</v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2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2180</v>
      </c>
      <c r="DG251" t="s">
        <v>2180</v>
      </c>
      <c r="DH251">
        <v>16</v>
      </c>
      <c r="DI251">
        <v>1613</v>
      </c>
      <c r="DJ251" t="s">
        <v>2174</v>
      </c>
      <c r="DK251"/>
      <c r="DL251" t="s">
        <v>2166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2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2181</v>
      </c>
      <c r="DG252" t="s">
        <v>2181</v>
      </c>
      <c r="DH252">
        <v>16</v>
      </c>
      <c r="DI252">
        <v>1613</v>
      </c>
      <c r="DJ252" t="s">
        <v>1488</v>
      </c>
      <c r="DK252"/>
      <c r="DL252" t="s">
        <v>1986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2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2182</v>
      </c>
      <c r="DG253" t="s">
        <v>2182</v>
      </c>
      <c r="DH253">
        <v>8</v>
      </c>
      <c r="DI253" t="s">
        <v>2043</v>
      </c>
      <c r="DJ253" t="s">
        <v>2176</v>
      </c>
      <c r="DK253"/>
      <c r="DL253" t="s">
        <v>2062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2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2183</v>
      </c>
      <c r="DG254" t="s">
        <v>2183</v>
      </c>
      <c r="DH254">
        <v>13</v>
      </c>
      <c r="DI254" t="s">
        <v>2044</v>
      </c>
      <c r="DJ254" t="s">
        <v>2176</v>
      </c>
      <c r="DK254"/>
      <c r="DL254" t="s">
        <v>2062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2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2191</v>
      </c>
      <c r="DG255" t="s">
        <v>2191</v>
      </c>
      <c r="DH255">
        <v>19</v>
      </c>
      <c r="DI255">
        <v>1913</v>
      </c>
      <c r="DJ255" t="s">
        <v>2192</v>
      </c>
      <c r="DK255"/>
      <c r="DL255" t="s">
        <v>1986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2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2193</v>
      </c>
      <c r="DG256" t="s">
        <v>2193</v>
      </c>
      <c r="DH256">
        <v>16</v>
      </c>
      <c r="DI256">
        <v>1613</v>
      </c>
      <c r="DJ256" t="s">
        <v>2192</v>
      </c>
      <c r="DK256"/>
      <c r="DL256" t="s">
        <v>1986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2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2194</v>
      </c>
      <c r="DG257" t="s">
        <v>2194</v>
      </c>
      <c r="DH257" s="805">
        <v>16</v>
      </c>
      <c r="DI257" s="805">
        <v>1613</v>
      </c>
      <c r="DJ257" s="805" t="s">
        <v>1231</v>
      </c>
      <c r="DK257" s="805"/>
      <c r="DL257" s="805" t="s">
        <v>2197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2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2195</v>
      </c>
      <c r="DG258" t="s">
        <v>2195</v>
      </c>
      <c r="DH258" s="805">
        <v>16</v>
      </c>
      <c r="DI258" s="805">
        <v>1613</v>
      </c>
      <c r="DJ258" s="805" t="s">
        <v>2196</v>
      </c>
      <c r="DK258" s="805"/>
      <c r="DL258" s="805" t="s">
        <v>1986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2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2198</v>
      </c>
      <c r="DG259" s="10" t="s">
        <v>2198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2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2199</v>
      </c>
      <c r="DG260" s="10" t="s">
        <v>2199</v>
      </c>
      <c r="DH260" s="10">
        <v>13</v>
      </c>
      <c r="DI260" s="10">
        <v>1313</v>
      </c>
      <c r="DJ260" s="10" t="s">
        <v>2200</v>
      </c>
      <c r="DL260" s="10" t="s">
        <v>1986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2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2205</v>
      </c>
      <c r="DG261" s="10" t="s">
        <v>2205</v>
      </c>
      <c r="DH261" s="10">
        <v>13</v>
      </c>
      <c r="DI261" s="10">
        <v>1313</v>
      </c>
      <c r="DJ261" t="s">
        <v>2123</v>
      </c>
      <c r="DL261" s="10" t="s">
        <v>2160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2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2225</v>
      </c>
      <c r="DG262" s="10" t="s">
        <v>2225</v>
      </c>
      <c r="DH262" s="10">
        <v>16</v>
      </c>
      <c r="DI262" s="10">
        <v>1613</v>
      </c>
      <c r="DJ262" s="10" t="s">
        <v>1488</v>
      </c>
      <c r="DL262" s="10" t="s">
        <v>2226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2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2249</v>
      </c>
      <c r="DG263" s="10" t="s">
        <v>2249</v>
      </c>
      <c r="DH263" s="10">
        <v>16</v>
      </c>
      <c r="DI263" s="10">
        <v>1608</v>
      </c>
      <c r="DJ263" s="10" t="s">
        <v>1488</v>
      </c>
      <c r="DL263" s="10" t="s">
        <v>2073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2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2252</v>
      </c>
      <c r="DG264" s="10" t="s">
        <v>2252</v>
      </c>
      <c r="DH264" s="10">
        <v>10</v>
      </c>
      <c r="DI264" s="10">
        <v>1005</v>
      </c>
      <c r="DJ264" s="10" t="s">
        <v>1984</v>
      </c>
      <c r="DL264" s="10" t="s">
        <v>2160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2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2268</v>
      </c>
      <c r="DG265" s="10" t="s">
        <v>2268</v>
      </c>
      <c r="DH265" s="10">
        <v>12</v>
      </c>
      <c r="DI265" s="10" t="s">
        <v>2269</v>
      </c>
      <c r="DJ265" s="10" t="s">
        <v>2270</v>
      </c>
      <c r="DL265" s="10" t="s">
        <v>2062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2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2271</v>
      </c>
      <c r="DG266" s="10" t="s">
        <v>2271</v>
      </c>
      <c r="DH266" s="10">
        <v>13</v>
      </c>
      <c r="DI266" s="10">
        <v>1313</v>
      </c>
      <c r="DJ266" s="10" t="s">
        <v>2272</v>
      </c>
      <c r="DL266" s="10" t="s">
        <v>1986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2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2273</v>
      </c>
      <c r="DG267" s="10" t="s">
        <v>2273</v>
      </c>
      <c r="DH267" s="10">
        <v>13</v>
      </c>
      <c r="DI267" s="10">
        <v>1313</v>
      </c>
      <c r="DJ267" s="10" t="s">
        <v>2026</v>
      </c>
      <c r="DL267" s="10" t="s">
        <v>1986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2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2274</v>
      </c>
      <c r="DG268" s="10" t="s">
        <v>2274</v>
      </c>
      <c r="DH268" s="10">
        <v>13</v>
      </c>
      <c r="DI268" s="10">
        <v>1308</v>
      </c>
      <c r="DJ268" s="10" t="s">
        <v>2275</v>
      </c>
      <c r="DL268" s="10" t="s">
        <v>2067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2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2289</v>
      </c>
      <c r="DG269" s="10" t="s">
        <v>2289</v>
      </c>
      <c r="DH269" s="10">
        <v>19</v>
      </c>
      <c r="DI269" s="10">
        <v>1913</v>
      </c>
      <c r="DJ269" s="10" t="s">
        <v>1231</v>
      </c>
      <c r="DL269" s="10" t="s">
        <v>2279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2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2291</v>
      </c>
      <c r="DG270" s="10" t="s">
        <v>2291</v>
      </c>
      <c r="DH270" s="10">
        <v>16</v>
      </c>
      <c r="DI270" s="10">
        <v>1608</v>
      </c>
      <c r="DJ270" s="10" t="s">
        <v>1231</v>
      </c>
      <c r="DL270" s="10" t="s">
        <v>2073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2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2294</v>
      </c>
      <c r="DG271" s="10" t="s">
        <v>2294</v>
      </c>
      <c r="DH271" s="10">
        <v>16</v>
      </c>
      <c r="DI271" s="10">
        <v>1613</v>
      </c>
      <c r="DJ271" s="10" t="s">
        <v>2295</v>
      </c>
      <c r="DL271" s="10" t="s">
        <v>1986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2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2296</v>
      </c>
      <c r="DG272" s="10" t="s">
        <v>2296</v>
      </c>
      <c r="DH272" s="10">
        <v>16</v>
      </c>
      <c r="DI272" s="10">
        <v>1613</v>
      </c>
      <c r="DJ272" s="10" t="s">
        <v>1995</v>
      </c>
      <c r="DL272" s="10" t="s">
        <v>2073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2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2305</v>
      </c>
      <c r="DG273" s="10" t="s">
        <v>2305</v>
      </c>
      <c r="DH273" s="10">
        <v>13</v>
      </c>
      <c r="DI273" s="10" t="s">
        <v>2044</v>
      </c>
      <c r="DJ273" s="10" t="s">
        <v>101</v>
      </c>
      <c r="DL273" s="10" t="s">
        <v>2073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2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2314</v>
      </c>
      <c r="DG274" s="10" t="s">
        <v>2314</v>
      </c>
      <c r="DH274" s="10">
        <v>16</v>
      </c>
      <c r="DI274" s="10">
        <v>1613</v>
      </c>
      <c r="DJ274" s="10" t="s">
        <v>2315</v>
      </c>
      <c r="DL274" s="10" t="s">
        <v>2226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2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2319</v>
      </c>
      <c r="DG275" s="10" t="s">
        <v>2319</v>
      </c>
      <c r="DH275" s="10">
        <v>16</v>
      </c>
      <c r="DI275" s="10">
        <v>1613</v>
      </c>
      <c r="DJ275" s="10" t="s">
        <v>2320</v>
      </c>
      <c r="DL275" s="10" t="s">
        <v>1986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2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2321</v>
      </c>
      <c r="DG276" s="10" t="s">
        <v>2321</v>
      </c>
      <c r="DH276" s="10">
        <v>16</v>
      </c>
      <c r="DI276" s="10">
        <v>1613</v>
      </c>
      <c r="DJ276" s="10" t="s">
        <v>2322</v>
      </c>
      <c r="DL276" s="10" t="s">
        <v>2226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2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2363</v>
      </c>
      <c r="DG277" s="10" t="s">
        <v>2363</v>
      </c>
      <c r="DH277" s="10">
        <v>16</v>
      </c>
      <c r="DI277" s="10">
        <v>1613</v>
      </c>
      <c r="DJ277" s="10" t="s">
        <v>2342</v>
      </c>
      <c r="DL277" s="10" t="s">
        <v>2160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2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2341</v>
      </c>
      <c r="DG278" s="10" t="s">
        <v>2341</v>
      </c>
      <c r="DH278" s="10">
        <v>16</v>
      </c>
      <c r="DI278" s="10">
        <v>1613</v>
      </c>
      <c r="DJ278" s="10" t="s">
        <v>2343</v>
      </c>
      <c r="DL278" s="10" t="s">
        <v>2166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2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2347</v>
      </c>
      <c r="DG279" s="10" t="s">
        <v>2347</v>
      </c>
      <c r="DH279" s="10">
        <v>13</v>
      </c>
      <c r="DI279" s="10">
        <v>1313</v>
      </c>
      <c r="DJ279" s="10" t="s">
        <v>2348</v>
      </c>
      <c r="DL279" s="10" t="s">
        <v>2160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2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2349</v>
      </c>
      <c r="DG280" s="10" t="s">
        <v>2349</v>
      </c>
      <c r="DH280" s="10">
        <v>13</v>
      </c>
      <c r="DI280" s="10">
        <v>1313</v>
      </c>
      <c r="DJ280" s="10" t="s">
        <v>2350</v>
      </c>
      <c r="DL280" s="10" t="s">
        <v>2351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25">
      <c r="D281" s="671"/>
      <c r="L281" s="10" t="s">
        <v>1929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2353</v>
      </c>
      <c r="DG281" s="10" t="s">
        <v>2353</v>
      </c>
      <c r="DH281" s="10">
        <v>19</v>
      </c>
      <c r="DI281" s="10">
        <v>1913</v>
      </c>
      <c r="DJ281" s="10" t="s">
        <v>2174</v>
      </c>
      <c r="DL281" s="10" t="s">
        <v>2226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2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2368</v>
      </c>
      <c r="DG282" s="10" t="s">
        <v>2355</v>
      </c>
      <c r="DH282" s="10">
        <v>16</v>
      </c>
      <c r="DI282" s="10">
        <v>1613</v>
      </c>
      <c r="DJ282" s="10" t="s">
        <v>1991</v>
      </c>
      <c r="DL282" s="10" t="s">
        <v>2356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2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2357</v>
      </c>
      <c r="DG283" s="10" t="s">
        <v>2357</v>
      </c>
      <c r="DH283" s="10">
        <v>16</v>
      </c>
      <c r="DI283" s="10">
        <v>1613</v>
      </c>
      <c r="DJ283" s="10" t="s">
        <v>2358</v>
      </c>
      <c r="DL283" s="10" t="s">
        <v>2166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2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2359</v>
      </c>
      <c r="DG284" s="10" t="s">
        <v>2359</v>
      </c>
      <c r="DH284" s="10">
        <v>12</v>
      </c>
      <c r="DI284" s="10">
        <v>12</v>
      </c>
      <c r="DJ284" s="10" t="s">
        <v>2360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25">
      <c r="D285" s="671"/>
      <c r="L285" s="10" t="s">
        <v>2075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2367</v>
      </c>
      <c r="DG285" s="10" t="s">
        <v>2361</v>
      </c>
      <c r="DH285" s="10">
        <v>16</v>
      </c>
      <c r="DI285" s="10">
        <v>1613</v>
      </c>
      <c r="DJ285" s="10" t="s">
        <v>2362</v>
      </c>
      <c r="DL285" s="10" t="s">
        <v>1986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25">
      <c r="D286" s="671"/>
      <c r="L286" s="10" t="s">
        <v>1930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2369</v>
      </c>
      <c r="DG286" s="10" t="s">
        <v>2369</v>
      </c>
      <c r="DH286" s="10">
        <v>13</v>
      </c>
      <c r="DI286" s="10">
        <v>1313</v>
      </c>
      <c r="DJ286" s="10" t="s">
        <v>2342</v>
      </c>
      <c r="DL286" s="10" t="s">
        <v>2160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>
        <f t="shared" si="148"/>
        <v>285</v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2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2370</v>
      </c>
      <c r="DG287" s="10" t="s">
        <v>2370</v>
      </c>
      <c r="DH287" s="10">
        <v>13</v>
      </c>
      <c r="DI287" s="10">
        <v>1308</v>
      </c>
      <c r="DJ287" s="10" t="s">
        <v>1231</v>
      </c>
      <c r="DL287" s="10" t="s">
        <v>2067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2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2372</v>
      </c>
      <c r="DG288" s="10" t="s">
        <v>2372</v>
      </c>
      <c r="DH288" s="10">
        <v>13</v>
      </c>
      <c r="DI288" s="10">
        <v>1313</v>
      </c>
      <c r="DJ288" s="10" t="s">
        <v>2373</v>
      </c>
      <c r="DL288" s="10" t="s">
        <v>2166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2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2374</v>
      </c>
      <c r="DG289" s="10" t="s">
        <v>2374</v>
      </c>
      <c r="DH289" s="10">
        <v>16</v>
      </c>
      <c r="DI289" s="10">
        <v>1613</v>
      </c>
      <c r="DJ289" s="10" t="s">
        <v>2375</v>
      </c>
      <c r="DL289" s="10" t="s">
        <v>2377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2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2376</v>
      </c>
      <c r="DG290" s="10" t="s">
        <v>2376</v>
      </c>
      <c r="DH290" s="10">
        <v>12</v>
      </c>
      <c r="DI290" s="10" t="s">
        <v>2269</v>
      </c>
      <c r="DJ290" s="10" t="s">
        <v>2176</v>
      </c>
      <c r="DL290" s="10" t="s">
        <v>2062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2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2416</v>
      </c>
      <c r="DG291" s="10" t="s">
        <v>2416</v>
      </c>
      <c r="DH291" s="10">
        <v>16</v>
      </c>
      <c r="DI291" s="10">
        <v>1613</v>
      </c>
      <c r="DJ291" s="10" t="s">
        <v>2417</v>
      </c>
      <c r="DL291" s="10" t="s">
        <v>2160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2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2420</v>
      </c>
      <c r="DG292" s="10" t="s">
        <v>2420</v>
      </c>
      <c r="DH292" s="10">
        <v>13</v>
      </c>
      <c r="DI292" s="10">
        <v>1308</v>
      </c>
      <c r="DJ292" s="10" t="s">
        <v>2418</v>
      </c>
      <c r="DL292" s="10" t="s">
        <v>2160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25">
      <c r="D293" s="671"/>
      <c r="L293" s="10" t="s">
        <v>1931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2421</v>
      </c>
      <c r="DG293" s="10" t="s">
        <v>2421</v>
      </c>
      <c r="DH293" s="10">
        <v>13</v>
      </c>
      <c r="DI293" s="10">
        <v>1308</v>
      </c>
      <c r="DJ293" s="10" t="s">
        <v>2419</v>
      </c>
      <c r="DL293" s="10" t="s">
        <v>2160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2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2422</v>
      </c>
      <c r="DG294" s="10" t="s">
        <v>2422</v>
      </c>
      <c r="DH294" s="10">
        <v>16</v>
      </c>
      <c r="DI294" s="10">
        <v>1613</v>
      </c>
      <c r="DJ294" s="10" t="s">
        <v>2419</v>
      </c>
      <c r="DL294" s="10" t="s">
        <v>2160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25">
      <c r="D295" s="671"/>
      <c r="L295" s="10" t="s">
        <v>1932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2426</v>
      </c>
      <c r="DG295" s="10" t="s">
        <v>2426</v>
      </c>
      <c r="DH295" s="10">
        <v>13</v>
      </c>
      <c r="DI295" s="10">
        <v>1313</v>
      </c>
      <c r="DJ295" s="10" t="s">
        <v>2418</v>
      </c>
      <c r="DL295" s="10" t="s">
        <v>2160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2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2428</v>
      </c>
      <c r="DG296" s="10" t="s">
        <v>2428</v>
      </c>
      <c r="DH296" s="10">
        <v>16</v>
      </c>
      <c r="DI296" s="10">
        <v>1618</v>
      </c>
      <c r="DJ296" s="10" t="s">
        <v>1232</v>
      </c>
      <c r="DL296" s="10" t="s">
        <v>2160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2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2516</v>
      </c>
      <c r="DG297" s="10" t="s">
        <v>2516</v>
      </c>
      <c r="DH297" s="10">
        <v>16</v>
      </c>
      <c r="DI297" s="10">
        <v>1613</v>
      </c>
      <c r="DJ297" s="10" t="s">
        <v>2134</v>
      </c>
      <c r="DL297" s="10" t="s">
        <v>2073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2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2517</v>
      </c>
      <c r="DG298" s="10" t="s">
        <v>2517</v>
      </c>
      <c r="DH298" s="10">
        <v>16</v>
      </c>
      <c r="DI298" s="10">
        <v>1613</v>
      </c>
      <c r="DJ298" s="10" t="s">
        <v>1231</v>
      </c>
      <c r="DL298" s="10" t="s">
        <v>2067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2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2519</v>
      </c>
      <c r="DG299" s="10" t="s">
        <v>2519</v>
      </c>
      <c r="DH299" s="10">
        <v>13</v>
      </c>
      <c r="DI299" s="10">
        <v>1313</v>
      </c>
      <c r="DJ299" s="10" t="s">
        <v>2419</v>
      </c>
      <c r="DL299" s="10" t="s">
        <v>2160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2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2524</v>
      </c>
      <c r="DG300" s="10" t="s">
        <v>2524</v>
      </c>
      <c r="DH300" s="10">
        <v>13</v>
      </c>
      <c r="DI300" s="10">
        <v>13</v>
      </c>
      <c r="DJ300" s="10" t="s">
        <v>2523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2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2529</v>
      </c>
      <c r="DG301" s="10" t="s">
        <v>2529</v>
      </c>
      <c r="DH301" s="10">
        <v>12</v>
      </c>
      <c r="DI301" s="10">
        <v>12</v>
      </c>
      <c r="DJ301" s="10" t="s">
        <v>2530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25">
      <c r="L302" s="10" t="s">
        <v>1933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2531</v>
      </c>
      <c r="DG302" s="10" t="s">
        <v>2531</v>
      </c>
      <c r="DH302" s="10">
        <v>16</v>
      </c>
      <c r="DI302" s="10">
        <v>1613</v>
      </c>
      <c r="DJ302" s="10" t="s">
        <v>1231</v>
      </c>
      <c r="DL302" s="10" t="s">
        <v>2226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2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2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25">
      <c r="L305" s="10" t="s">
        <v>1934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2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2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2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2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2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2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2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2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2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2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2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2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2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2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2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2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2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2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25">
      <c r="L324" s="10" t="s">
        <v>1981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2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3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2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2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2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2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2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25">
      <c r="L332" s="10" t="s">
        <v>2140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2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3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25">
      <c r="L335" s="10" t="s">
        <v>2102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2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2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2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2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2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2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3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2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2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2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2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25">
      <c r="L347" s="10" t="s">
        <v>1947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3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2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2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2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2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3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2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2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2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2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2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2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3">
      <c r="L360" s="10" t="s">
        <v>1963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25">
      <c r="L361" s="10" t="s">
        <v>1948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25">
      <c r="L362" s="10" t="s">
        <v>1923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25">
      <c r="L363" s="10" t="s">
        <v>2100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25">
      <c r="L364" s="10" t="s">
        <v>1950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2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2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2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3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2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25">
      <c r="L370" s="10" t="s">
        <v>2024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25">
      <c r="L371" s="10" t="s">
        <v>2136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2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25">
      <c r="L373" s="10" t="s">
        <v>2078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2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3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2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2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2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2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2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3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2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25">
      <c r="L383" s="10" t="s">
        <v>1992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2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25">
      <c r="L385" s="10" t="s">
        <v>1925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2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3">
      <c r="L387" s="10" t="s">
        <v>1970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2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25">
      <c r="L389" s="10" t="s">
        <v>2016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2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25">
      <c r="L391" s="10" t="s">
        <v>2020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2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25">
      <c r="L393" s="10" t="s">
        <v>1949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25">
      <c r="L394" s="10" t="s">
        <v>1972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3">
      <c r="L395" s="10" t="s">
        <v>1964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25">
      <c r="L396" s="10" t="s">
        <v>1973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25">
      <c r="L397" s="10" t="s">
        <v>1999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25">
      <c r="L398" s="10" t="s">
        <v>2139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25">
      <c r="L399" s="10" t="s">
        <v>1980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25">
      <c r="L400" s="10" t="s">
        <v>2003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25">
      <c r="L401" s="10" t="s">
        <v>1982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25">
      <c r="L402" s="10" t="s">
        <v>2004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3">
      <c r="L403" s="10" t="s">
        <v>2104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25">
      <c r="L404" s="10" t="s">
        <v>2027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25">
      <c r="L405" s="10" t="s">
        <v>2012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25">
      <c r="L406" s="10" t="s">
        <v>2053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25">
      <c r="L407" s="10" t="s">
        <v>2013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25">
      <c r="L408" s="10" t="s">
        <v>2014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25">
      <c r="L409" s="10" t="s">
        <v>2061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3">
      <c r="L410" s="10" t="s">
        <v>2046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25">
      <c r="L411" s="10" t="s">
        <v>2095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25">
      <c r="L412" s="10" t="s">
        <v>2055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25">
      <c r="L413" s="10" t="s">
        <v>2058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25">
      <c r="L414" s="10" t="s">
        <v>2034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25">
      <c r="L415" s="10" t="s">
        <v>2071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3">
      <c r="L416" s="10" t="s">
        <v>2117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25">
      <c r="L417" s="10" t="s">
        <v>2066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25">
      <c r="L418" s="10" t="s">
        <v>2030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25">
      <c r="L419" s="10" t="s">
        <v>2168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25">
      <c r="L420" s="10" t="s">
        <v>2094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25">
      <c r="L421" s="10" t="s">
        <v>2137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25">
      <c r="L422" s="10" t="s">
        <v>2097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25">
      <c r="L423" s="10" t="s">
        <v>2111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3">
      <c r="L424" s="10" t="s">
        <v>2169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25">
      <c r="L425" s="10" t="s">
        <v>2138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25">
      <c r="L426" s="10" t="s">
        <v>2109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25">
      <c r="L427" s="10" t="s">
        <v>2135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25">
      <c r="L428" s="10" t="s">
        <v>2121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25">
      <c r="L429" s="10" t="s">
        <v>2118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3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2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25">
      <c r="L432" s="10" t="s">
        <v>2085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2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2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2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2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3">
      <c r="L437" s="10" t="s">
        <v>2092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2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2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2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2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25">
      <c r="L442" s="10" t="s">
        <v>2081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2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2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3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2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25">
      <c r="L447" s="10" t="s">
        <v>1928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2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2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2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2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3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2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2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2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25">
      <c r="L456" s="10" t="s">
        <v>2080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25">
      <c r="L457" s="10" t="s">
        <v>1937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2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25">
      <c r="L459" s="10" t="s">
        <v>1935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2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3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2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2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2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2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2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2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2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3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2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2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2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2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2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25">
      <c r="L475" s="10" t="s">
        <v>1926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2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3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2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2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2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2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2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2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2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3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2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2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2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2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2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3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2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2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2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2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2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3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25">
      <c r="L498" s="10" t="s">
        <v>1927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2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2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2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3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25">
      <c r="L503" s="10" t="s">
        <v>2141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2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25">
      <c r="L505" s="10" t="s">
        <v>2143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2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25">
      <c r="L507" s="10" t="s">
        <v>2145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2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3">
      <c r="L509" s="10" t="s">
        <v>2171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2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25">
      <c r="L511" s="10" t="s">
        <v>2150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2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25">
      <c r="L513" s="10" t="s">
        <v>2154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2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25">
      <c r="L515" s="10" t="s">
        <v>2159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2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3">
      <c r="L517" s="10" t="s">
        <v>2162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2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25">
      <c r="L519" s="10" t="s">
        <v>2164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2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25">
      <c r="L521" s="10" t="s">
        <v>2170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2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25">
      <c r="L523" s="10" t="s">
        <v>2172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2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25">
      <c r="L525" s="10" t="s">
        <v>2179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3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25">
      <c r="L527" s="10" t="s">
        <v>2184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2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25">
      <c r="L529" s="10" t="s">
        <v>2187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2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25">
      <c r="L531" s="10" t="s">
        <v>2188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2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3">
      <c r="L533" s="10" t="s">
        <v>2190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2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25">
      <c r="L535" s="10" t="s">
        <v>2203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2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25">
      <c r="L537" s="10" t="s">
        <v>2204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2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25">
      <c r="L539" s="10" t="s">
        <v>2218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2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25">
      <c r="L541" s="10" t="s">
        <v>2246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3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25">
      <c r="L543" s="10" t="s">
        <v>2247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2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25">
      <c r="L545" s="10" t="s">
        <v>2251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2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25">
      <c r="L547" s="10" t="s">
        <v>2257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3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25">
      <c r="L549" s="10" t="s">
        <v>2258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2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25">
      <c r="L551" s="10" t="s">
        <v>2259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2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25">
      <c r="L553" s="10" t="s">
        <v>2260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3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25">
      <c r="L555" s="10" t="s">
        <v>2261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2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25">
      <c r="L557" s="10" t="s">
        <v>2276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2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25">
      <c r="L559" s="10" t="s">
        <v>2278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3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25">
      <c r="L561" s="10" t="s">
        <v>2285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3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25">
      <c r="L563" s="10" t="s">
        <v>2286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3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25">
      <c r="L565" s="10" t="s">
        <v>2287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3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25">
      <c r="L567" s="10" t="s">
        <v>2288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2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25">
      <c r="L569" s="10" t="s">
        <v>2290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2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25">
      <c r="H571" s="10"/>
      <c r="J571" s="10"/>
      <c r="K571" s="10"/>
      <c r="L571" s="10" t="s">
        <v>2292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2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3">
      <c r="H573" s="10"/>
      <c r="J573" s="10"/>
      <c r="K573" s="10"/>
      <c r="L573" s="10" t="s">
        <v>2293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2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25">
      <c r="H575" s="240"/>
      <c r="I575" s="568"/>
      <c r="J575" s="240"/>
      <c r="K575" s="240"/>
      <c r="L575" s="240" t="s">
        <v>2299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2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25">
      <c r="H577" s="240"/>
      <c r="I577" s="568"/>
      <c r="J577" s="240"/>
      <c r="K577" s="240"/>
      <c r="L577" s="240" t="s">
        <v>2300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2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25">
      <c r="H579" s="10"/>
      <c r="J579" s="10"/>
      <c r="K579" s="10"/>
      <c r="L579" s="10" t="s">
        <v>2301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3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25">
      <c r="H581" s="10"/>
      <c r="J581" s="10"/>
      <c r="K581" s="10"/>
      <c r="L581" s="10" t="s">
        <v>2302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2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25">
      <c r="H583" s="240"/>
      <c r="I583" s="568"/>
      <c r="J583" s="240"/>
      <c r="K583" s="240"/>
      <c r="L583" s="240" t="s">
        <v>2304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2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25">
      <c r="H585" s="240"/>
      <c r="I585" s="568"/>
      <c r="J585" s="240"/>
      <c r="K585" s="240"/>
      <c r="L585" s="240" t="s">
        <v>2306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2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25">
      <c r="H587" s="10"/>
      <c r="J587" s="10"/>
      <c r="K587" s="240"/>
      <c r="L587" s="10" t="s">
        <v>2311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3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25">
      <c r="H589" s="10"/>
      <c r="J589" s="10"/>
      <c r="K589" s="240"/>
      <c r="L589" s="10" t="s">
        <v>2318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2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25">
      <c r="H591" s="10"/>
      <c r="J591" s="10"/>
      <c r="K591" s="240"/>
      <c r="L591" s="10" t="s">
        <v>2324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2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25">
      <c r="H593" s="10"/>
      <c r="J593" s="10"/>
      <c r="K593" s="10"/>
      <c r="L593" s="10" t="s">
        <v>2340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2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3">
      <c r="H595" s="10"/>
      <c r="J595" s="10"/>
      <c r="K595" s="10"/>
      <c r="L595" s="10" t="s">
        <v>2345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2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25">
      <c r="H597" s="10"/>
      <c r="J597" s="10"/>
      <c r="K597" s="10"/>
      <c r="L597" s="10" t="s">
        <v>2352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2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25">
      <c r="H599" s="10"/>
      <c r="J599" s="10"/>
      <c r="K599" s="10"/>
      <c r="L599" s="10" t="s">
        <v>2354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3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25">
      <c r="H601" s="10"/>
      <c r="J601" s="10"/>
      <c r="K601" s="10"/>
      <c r="L601" s="10" t="s">
        <v>2366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2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25">
      <c r="H603" s="240"/>
      <c r="I603" s="568"/>
      <c r="J603" s="240"/>
      <c r="K603" s="240"/>
      <c r="L603" s="1027" t="s">
        <v>2371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2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25">
      <c r="H605" s="240"/>
      <c r="I605" s="568"/>
      <c r="J605" s="240"/>
      <c r="K605" s="240"/>
      <c r="L605" s="10" t="s">
        <v>2414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3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25">
      <c r="H607" s="10"/>
      <c r="J607" s="10"/>
      <c r="K607" s="10"/>
      <c r="L607" s="10" t="s">
        <v>2423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2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25">
      <c r="H609" s="10"/>
      <c r="J609" s="10"/>
      <c r="K609" s="10"/>
      <c r="L609" s="10" t="s">
        <v>2425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2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25">
      <c r="H611" s="10"/>
      <c r="J611" s="10"/>
      <c r="K611" s="240"/>
      <c r="L611" s="1064" t="s">
        <v>2432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2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25">
      <c r="H613" s="10"/>
      <c r="J613" s="10"/>
      <c r="K613" s="240"/>
      <c r="L613" s="10" t="s">
        <v>2483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3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25">
      <c r="H615" s="10"/>
      <c r="J615" s="10"/>
      <c r="K615" s="240"/>
      <c r="L615" s="10" t="s">
        <v>2484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2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25">
      <c r="L617" s="10" t="s">
        <v>2486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2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25">
      <c r="L619" s="10" t="s">
        <v>2518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2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25">
      <c r="L621" s="10" t="s">
        <v>2520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3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25">
      <c r="L623" s="10" t="s">
        <v>2522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25">
      <c r="L624" s="10" t="s">
        <v>2526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2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2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2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2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3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2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2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2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2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2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2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3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2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2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2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2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2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2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2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3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2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2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2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2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2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2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3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2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2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2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2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2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3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2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2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2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2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2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2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3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2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2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2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2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2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2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3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2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2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2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2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2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3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2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2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2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2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2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3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2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2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2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2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2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3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2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2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2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2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2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3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2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2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2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2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2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3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2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2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2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2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2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3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2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2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2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2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2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2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3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2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2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2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2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2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3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2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str">
        <f t="shared" si="214"/>
        <v/>
      </c>
    </row>
    <row r="722" spans="15:59" ht="15" customHeight="1" x14ac:dyDescent="0.2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str">
        <f t="shared" si="214"/>
        <v/>
      </c>
    </row>
    <row r="723" spans="15:59" ht="15" customHeight="1" x14ac:dyDescent="0.2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str">
        <f t="shared" si="214"/>
        <v/>
      </c>
    </row>
    <row r="724" spans="15:59" ht="15" customHeight="1" x14ac:dyDescent="0.2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str">
        <f t="shared" si="214"/>
        <v/>
      </c>
    </row>
    <row r="725" spans="15:59" ht="15" customHeight="1" x14ac:dyDescent="0.2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str">
        <f t="shared" si="214"/>
        <v/>
      </c>
    </row>
    <row r="726" spans="15:59" ht="15" customHeight="1" thickBot="1" x14ac:dyDescent="0.3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str">
        <f t="shared" si="214"/>
        <v/>
      </c>
    </row>
    <row r="727" spans="15:59" ht="15" customHeight="1" x14ac:dyDescent="0.2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2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2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2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2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3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2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2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2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2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2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3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2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2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2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2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2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2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3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2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2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2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2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2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2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3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2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2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2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2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2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3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2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2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2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2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2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3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2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2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2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2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3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2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2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2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2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2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3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2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2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2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2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2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3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2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2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2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2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2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3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2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2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2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2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2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3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2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2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2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2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2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2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2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3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2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2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2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2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2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2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2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3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2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2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2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2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2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2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2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3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2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2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2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2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2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2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2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2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3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2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2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2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2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3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2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2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2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2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2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3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2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2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2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2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3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2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2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2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2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2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3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2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2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2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2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2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2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2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2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3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2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2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2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2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3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2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2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2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2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2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2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2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3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2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2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2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2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2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2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3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2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2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2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2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2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2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3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2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2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2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2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2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3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2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2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2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2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2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2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3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2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2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2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2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2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2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3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3">
      <c r="N905" s="934" t="s">
        <v>1938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2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2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2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2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2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2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3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2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2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2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2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2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2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2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3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2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2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2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2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2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2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2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3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2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2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2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2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2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2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2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3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2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2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2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2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2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2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2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3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2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2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2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2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2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3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2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2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2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2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2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3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2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2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2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2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2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2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3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2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2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2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2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2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2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2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3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2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2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2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2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2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2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3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2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2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2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2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2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2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2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2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3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2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2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2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2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2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3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2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2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2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2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2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2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3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2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2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2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2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.75" thickBot="1" x14ac:dyDescent="0.3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25">
      <c r="E1006" s="1160"/>
      <c r="F1006" s="1160"/>
      <c r="M1006" s="1160"/>
      <c r="N1006" s="1163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2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2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2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2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.75" thickBot="1" x14ac:dyDescent="0.3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2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2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2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2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2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2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2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.75" thickBot="1" x14ac:dyDescent="0.3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2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2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2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2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2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.75" thickBot="1" x14ac:dyDescent="0.3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2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2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2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2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2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.75" thickBot="1" x14ac:dyDescent="0.3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2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2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2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2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2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2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2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.75" thickBot="1" x14ac:dyDescent="0.3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2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2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2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2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2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2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.75" thickBot="1" x14ac:dyDescent="0.3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2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2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2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2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.75" thickBot="1" x14ac:dyDescent="0.3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2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2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2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2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2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2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2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.75" thickBot="1" x14ac:dyDescent="0.3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2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2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2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2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2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2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.75" thickBot="1" x14ac:dyDescent="0.3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2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2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2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2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2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2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.75" thickBot="1" x14ac:dyDescent="0.3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2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2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2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2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.75" thickBot="1" x14ac:dyDescent="0.3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2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2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2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2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.75" thickBot="1" x14ac:dyDescent="0.3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2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2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2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2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2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.75" thickBot="1" x14ac:dyDescent="0.3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2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2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2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2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.75" thickBot="1" x14ac:dyDescent="0.3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2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2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2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2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2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2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.75" thickBot="1" x14ac:dyDescent="0.3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2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2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2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2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2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.75" thickBot="1" x14ac:dyDescent="0.3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2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2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2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2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2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.75" thickBot="1" x14ac:dyDescent="0.3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2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2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2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2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.75" thickBot="1" x14ac:dyDescent="0.3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2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2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2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2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2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2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2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2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.75" thickBot="1" x14ac:dyDescent="0.3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2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2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2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2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2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2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2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.75" thickBot="1" x14ac:dyDescent="0.3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2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2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2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2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2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.75" thickBot="1" x14ac:dyDescent="0.3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2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2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2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2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2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.75" thickBot="1" x14ac:dyDescent="0.3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2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2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2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2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2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.75" thickBot="1" x14ac:dyDescent="0.3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2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2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2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2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2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.75" thickBot="1" x14ac:dyDescent="0.3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2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2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2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2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2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.75" thickBot="1" x14ac:dyDescent="0.3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2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2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2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2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2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2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2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2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.75" thickBot="1" x14ac:dyDescent="0.3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2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2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2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2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2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2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.75" thickBot="1" x14ac:dyDescent="0.3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2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1922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2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1922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2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1922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2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1922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2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1922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2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1922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2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1922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.75" thickBot="1" x14ac:dyDescent="0.3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1922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2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2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2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2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2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2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2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2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.75" thickBot="1" x14ac:dyDescent="0.3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2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2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2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2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2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2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2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.75" thickBot="1" x14ac:dyDescent="0.3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2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2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2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2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2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2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.75" thickBot="1" x14ac:dyDescent="0.3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2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2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2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2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2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.75" thickBot="1" x14ac:dyDescent="0.3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2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2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2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2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2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2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2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.75" thickBot="1" x14ac:dyDescent="0.3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2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2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2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2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2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.75" thickBot="1" x14ac:dyDescent="0.3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2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1924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2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1924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2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1924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.75" thickBot="1" x14ac:dyDescent="0.3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1924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2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2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2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2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2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.75" thickBot="1" x14ac:dyDescent="0.3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2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2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2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2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2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.75" thickBot="1" x14ac:dyDescent="0.3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2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2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2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2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2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.75" thickBot="1" x14ac:dyDescent="0.3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2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2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2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2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2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.75" thickBot="1" x14ac:dyDescent="0.3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2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2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2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2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2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.75" thickBot="1" x14ac:dyDescent="0.3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2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2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2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2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2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.75" thickBot="1" x14ac:dyDescent="0.3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2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2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2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2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2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.75" thickBot="1" x14ac:dyDescent="0.3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2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2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2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2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2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.75" thickBot="1" x14ac:dyDescent="0.3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2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1941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2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1941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2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1941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25">
      <c r="O1289" s="330"/>
      <c r="P1289" s="36"/>
      <c r="Q1289" s="36"/>
      <c r="R1289" s="36"/>
      <c r="S1289" s="36">
        <v>8.5</v>
      </c>
      <c r="T1289" s="36" t="s">
        <v>1941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25">
      <c r="O1290" s="330"/>
      <c r="P1290" s="36"/>
      <c r="Q1290" s="36"/>
      <c r="R1290" s="36"/>
      <c r="S1290" s="36">
        <v>8.5</v>
      </c>
      <c r="T1290" s="36" t="s">
        <v>1941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.75" thickBot="1" x14ac:dyDescent="0.3">
      <c r="O1291" s="331"/>
      <c r="P1291" s="328"/>
      <c r="Q1291" s="328"/>
      <c r="R1291" s="328"/>
      <c r="S1291" s="328">
        <v>8.5</v>
      </c>
      <c r="T1291" s="328" t="s">
        <v>1941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25">
      <c r="O1292" s="329">
        <v>1</v>
      </c>
      <c r="P1292" s="320">
        <v>1130198</v>
      </c>
      <c r="Q1292" s="320">
        <v>40</v>
      </c>
      <c r="R1292" s="320"/>
      <c r="S1292" s="320" t="s">
        <v>1939</v>
      </c>
      <c r="T1292" s="320" t="s">
        <v>1942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25">
      <c r="O1293" s="330">
        <v>2</v>
      </c>
      <c r="P1293" s="36">
        <v>1130196</v>
      </c>
      <c r="Q1293" s="36">
        <v>18</v>
      </c>
      <c r="R1293" s="36"/>
      <c r="S1293" s="36" t="s">
        <v>1939</v>
      </c>
      <c r="T1293" s="36" t="s">
        <v>1942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25">
      <c r="O1294" s="330">
        <v>3</v>
      </c>
      <c r="P1294" s="36">
        <v>1209410</v>
      </c>
      <c r="Q1294" s="36">
        <v>10</v>
      </c>
      <c r="R1294" s="36"/>
      <c r="S1294" s="36" t="s">
        <v>1939</v>
      </c>
      <c r="T1294" s="36" t="s">
        <v>1942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25">
      <c r="O1295" s="330">
        <v>4</v>
      </c>
      <c r="P1295" s="36">
        <v>871781</v>
      </c>
      <c r="Q1295" s="36">
        <v>3</v>
      </c>
      <c r="R1295" s="36"/>
      <c r="S1295" s="36" t="s">
        <v>1939</v>
      </c>
      <c r="T1295" s="36" t="s">
        <v>1942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.75" thickBot="1" x14ac:dyDescent="0.3">
      <c r="O1296" s="331">
        <v>5</v>
      </c>
      <c r="P1296" s="328">
        <v>418525</v>
      </c>
      <c r="Q1296" s="328">
        <v>2</v>
      </c>
      <c r="R1296" s="328"/>
      <c r="S1296" s="328" t="s">
        <v>1939</v>
      </c>
      <c r="T1296" s="328" t="s">
        <v>1942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2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1940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2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1940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25">
      <c r="L1299"/>
      <c r="O1299" s="330"/>
      <c r="P1299" s="36"/>
      <c r="Q1299" s="36"/>
      <c r="R1299" s="36"/>
      <c r="S1299" s="36">
        <v>6.125</v>
      </c>
      <c r="T1299" s="36" t="s">
        <v>1940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25">
      <c r="L1300"/>
      <c r="O1300" s="330"/>
      <c r="P1300" s="36"/>
      <c r="Q1300" s="36"/>
      <c r="R1300" s="36"/>
      <c r="S1300" s="36">
        <v>6.125</v>
      </c>
      <c r="T1300" s="36" t="s">
        <v>1940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25">
      <c r="L1301"/>
      <c r="O1301" s="330"/>
      <c r="P1301" s="36"/>
      <c r="Q1301" s="36"/>
      <c r="R1301" s="36"/>
      <c r="S1301" s="36">
        <v>6.125</v>
      </c>
      <c r="T1301" s="36" t="s">
        <v>1940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.75" thickBot="1" x14ac:dyDescent="0.3">
      <c r="L1302"/>
      <c r="O1302" s="331"/>
      <c r="P1302" s="328"/>
      <c r="Q1302" s="328"/>
      <c r="R1302" s="328"/>
      <c r="S1302" s="328">
        <v>6.125</v>
      </c>
      <c r="T1302" s="328" t="s">
        <v>1940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2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1945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2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1945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2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1945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2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1945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.75" thickBot="1" x14ac:dyDescent="0.3">
      <c r="L1307"/>
      <c r="O1307" s="331"/>
      <c r="P1307" s="328"/>
      <c r="Q1307" s="328"/>
      <c r="R1307" s="328"/>
      <c r="S1307" s="328">
        <v>8.375</v>
      </c>
      <c r="T1307" s="328" t="s">
        <v>1945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2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1941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2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1941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2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1941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25">
      <c r="O1311" s="330"/>
      <c r="P1311" s="36"/>
      <c r="Q1311" s="36"/>
      <c r="R1311" s="36"/>
      <c r="S1311" s="36">
        <v>8.5</v>
      </c>
      <c r="T1311" s="36" t="s">
        <v>1941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25">
      <c r="O1312" s="330"/>
      <c r="P1312" s="36"/>
      <c r="Q1312" s="36"/>
      <c r="R1312" s="36"/>
      <c r="S1312" s="36">
        <v>8.5</v>
      </c>
      <c r="T1312" s="36" t="s">
        <v>1941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.75" thickBot="1" x14ac:dyDescent="0.3">
      <c r="O1313" s="331"/>
      <c r="P1313" s="328"/>
      <c r="Q1313" s="328"/>
      <c r="R1313" s="328"/>
      <c r="S1313" s="328">
        <v>8.5</v>
      </c>
      <c r="T1313" s="328" t="s">
        <v>1941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2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1962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2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1962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2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1962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2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1962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.75" thickBot="1" x14ac:dyDescent="0.3">
      <c r="L1318"/>
      <c r="O1318" s="331"/>
      <c r="P1318" s="328"/>
      <c r="Q1318" s="328"/>
      <c r="R1318" s="328"/>
      <c r="S1318" s="328">
        <v>6.125</v>
      </c>
      <c r="T1318" s="328" t="s">
        <v>1962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2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2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2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2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2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2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.75" thickBot="1" x14ac:dyDescent="0.3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2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1971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2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1971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2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1971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25">
      <c r="O1329" s="330"/>
      <c r="P1329" s="36"/>
      <c r="Q1329" s="36"/>
      <c r="R1329" s="36"/>
      <c r="S1329" s="553">
        <v>16</v>
      </c>
      <c r="T1329" s="36" t="s">
        <v>1971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25">
      <c r="L1330"/>
      <c r="O1330" s="330"/>
      <c r="P1330" s="36"/>
      <c r="Q1330" s="36"/>
      <c r="R1330" s="36"/>
      <c r="S1330" s="553">
        <v>16</v>
      </c>
      <c r="T1330" s="36" t="s">
        <v>1971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25">
      <c r="L1331"/>
      <c r="O1331" s="330"/>
      <c r="P1331" s="36"/>
      <c r="Q1331" s="36"/>
      <c r="R1331" s="36"/>
      <c r="S1331" s="553">
        <v>16</v>
      </c>
      <c r="T1331" s="36" t="s">
        <v>1971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.75" thickBot="1" x14ac:dyDescent="0.3">
      <c r="L1332"/>
      <c r="O1332" s="331"/>
      <c r="P1332" s="328"/>
      <c r="Q1332" s="328"/>
      <c r="R1332" s="328"/>
      <c r="S1332" s="554">
        <v>16</v>
      </c>
      <c r="T1332" s="328" t="s">
        <v>1971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.75" thickBot="1" x14ac:dyDescent="0.3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1974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.75" thickBot="1" x14ac:dyDescent="0.3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1974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.75" thickBot="1" x14ac:dyDescent="0.3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1974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.75" thickBot="1" x14ac:dyDescent="0.3">
      <c r="L1336"/>
      <c r="O1336" s="330"/>
      <c r="P1336" s="36"/>
      <c r="Q1336" s="36"/>
      <c r="R1336" s="36"/>
      <c r="S1336" s="36">
        <v>6.125</v>
      </c>
      <c r="T1336" s="320" t="s">
        <v>1974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.75" thickBot="1" x14ac:dyDescent="0.3">
      <c r="L1337"/>
      <c r="O1337" s="331"/>
      <c r="P1337" s="328"/>
      <c r="Q1337" s="328"/>
      <c r="R1337" s="328"/>
      <c r="S1337" s="328">
        <v>6.125</v>
      </c>
      <c r="T1337" s="320" t="s">
        <v>1974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.75" thickBot="1" x14ac:dyDescent="0.3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.75" thickBot="1" x14ac:dyDescent="0.3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.75" thickBot="1" x14ac:dyDescent="0.3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.75" thickBot="1" x14ac:dyDescent="0.3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.75" thickBot="1" x14ac:dyDescent="0.3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.75" thickBot="1" x14ac:dyDescent="0.3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.75" thickBot="1" x14ac:dyDescent="0.3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.75" thickBot="1" x14ac:dyDescent="0.3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.75" thickBot="1" x14ac:dyDescent="0.3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.75" thickBot="1" x14ac:dyDescent="0.3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.75" thickBot="1" x14ac:dyDescent="0.3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.75" thickBot="1" x14ac:dyDescent="0.3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.75" thickBot="1" x14ac:dyDescent="0.3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.75" thickBot="1" x14ac:dyDescent="0.3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2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2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2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2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2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2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2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2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.75" thickBot="1" x14ac:dyDescent="0.3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2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1922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2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1922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2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1922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2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1922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25">
      <c r="O1365" s="330"/>
      <c r="P1365" s="36"/>
      <c r="Q1365" s="36"/>
      <c r="R1365" s="36"/>
      <c r="S1365" s="969" t="s">
        <v>1198</v>
      </c>
      <c r="T1365" s="36" t="s">
        <v>1922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25">
      <c r="O1366" s="330"/>
      <c r="P1366" s="36"/>
      <c r="Q1366" s="36"/>
      <c r="R1366" s="36"/>
      <c r="S1366" s="969" t="s">
        <v>1198</v>
      </c>
      <c r="T1366" s="36" t="s">
        <v>1922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.75" thickBot="1" x14ac:dyDescent="0.3">
      <c r="O1367" s="485"/>
      <c r="P1367" s="486"/>
      <c r="Q1367" s="486"/>
      <c r="R1367" s="486"/>
      <c r="S1367" s="970" t="s">
        <v>1198</v>
      </c>
      <c r="T1367" s="486" t="s">
        <v>1922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2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1998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2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1998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2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1998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2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1998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2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1998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2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1998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25">
      <c r="O1374" s="330"/>
      <c r="P1374" s="36"/>
      <c r="Q1374" s="36"/>
      <c r="R1374" s="36"/>
      <c r="S1374" s="972" t="s">
        <v>1126</v>
      </c>
      <c r="T1374" s="36" t="s">
        <v>1998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.75" thickBot="1" x14ac:dyDescent="0.3">
      <c r="O1375" s="331"/>
      <c r="P1375" s="328"/>
      <c r="Q1375" s="328"/>
      <c r="R1375" s="328"/>
      <c r="S1375" s="973" t="s">
        <v>1126</v>
      </c>
      <c r="T1375" s="328" t="s">
        <v>1998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2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2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2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2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2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.75" thickBot="1" x14ac:dyDescent="0.3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.75" thickBot="1" x14ac:dyDescent="0.3">
      <c r="O1382" s="329">
        <v>1</v>
      </c>
      <c r="P1382" s="320">
        <v>1177229</v>
      </c>
      <c r="Q1382" s="320">
        <v>19</v>
      </c>
      <c r="R1382" s="320"/>
      <c r="S1382" s="320" t="s">
        <v>2005</v>
      </c>
      <c r="T1382" s="320" t="s">
        <v>2006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.75" thickBot="1" x14ac:dyDescent="0.3">
      <c r="O1383" s="330">
        <v>2</v>
      </c>
      <c r="P1383" s="36">
        <v>882800</v>
      </c>
      <c r="Q1383" s="36">
        <v>5</v>
      </c>
      <c r="R1383" s="36"/>
      <c r="S1383" s="320" t="s">
        <v>2005</v>
      </c>
      <c r="T1383" s="320" t="s">
        <v>2006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.75" thickBot="1" x14ac:dyDescent="0.3">
      <c r="O1384" s="330"/>
      <c r="P1384" s="36"/>
      <c r="Q1384" s="36"/>
      <c r="R1384" s="36"/>
      <c r="S1384" s="320" t="s">
        <v>2005</v>
      </c>
      <c r="T1384" s="320" t="s">
        <v>2006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.75" thickBot="1" x14ac:dyDescent="0.3">
      <c r="O1385" s="330"/>
      <c r="P1385" s="36"/>
      <c r="Q1385" s="36"/>
      <c r="R1385" s="36"/>
      <c r="S1385" s="320" t="s">
        <v>2005</v>
      </c>
      <c r="T1385" s="320" t="s">
        <v>2006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.75" thickBot="1" x14ac:dyDescent="0.3">
      <c r="O1386" s="485"/>
      <c r="P1386" s="486"/>
      <c r="Q1386" s="486"/>
      <c r="R1386" s="486"/>
      <c r="S1386" s="965" t="s">
        <v>2005</v>
      </c>
      <c r="T1386" s="965" t="s">
        <v>2006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2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2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25">
      <c r="N1389" t="s">
        <v>2015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2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2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.75" thickBot="1" x14ac:dyDescent="0.3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.75" thickBot="1" x14ac:dyDescent="0.3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2010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.75" thickBot="1" x14ac:dyDescent="0.3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2010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.75" thickBot="1" x14ac:dyDescent="0.3">
      <c r="N1395" t="s">
        <v>2015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2010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.75" thickBot="1" x14ac:dyDescent="0.3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2010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.75" thickBot="1" x14ac:dyDescent="0.3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2010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.75" thickBot="1" x14ac:dyDescent="0.3">
      <c r="O1398" s="331"/>
      <c r="P1398" s="328"/>
      <c r="Q1398" s="328"/>
      <c r="R1398" s="328"/>
      <c r="S1398" s="328" t="s">
        <v>1319</v>
      </c>
      <c r="T1398" s="320" t="s">
        <v>2010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.75" thickBot="1" x14ac:dyDescent="0.3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2011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.75" thickBot="1" x14ac:dyDescent="0.3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2011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.75" thickBot="1" x14ac:dyDescent="0.3">
      <c r="O1401" s="330"/>
      <c r="P1401" s="36"/>
      <c r="Q1401" s="36"/>
      <c r="R1401" s="36"/>
      <c r="S1401" s="36" t="s">
        <v>1319</v>
      </c>
      <c r="T1401" s="320" t="s">
        <v>2011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.75" thickBot="1" x14ac:dyDescent="0.3">
      <c r="O1402" s="330"/>
      <c r="P1402" s="36"/>
      <c r="Q1402" s="36"/>
      <c r="R1402" s="36"/>
      <c r="S1402" s="36" t="s">
        <v>1319</v>
      </c>
      <c r="T1402" s="320" t="s">
        <v>2011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.75" thickBot="1" x14ac:dyDescent="0.3">
      <c r="O1403" s="330"/>
      <c r="P1403" s="36"/>
      <c r="Q1403" s="36"/>
      <c r="R1403" s="36"/>
      <c r="S1403" s="36" t="s">
        <v>1319</v>
      </c>
      <c r="T1403" s="320" t="s">
        <v>2011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.75" thickBot="1" x14ac:dyDescent="0.3">
      <c r="O1404" s="331"/>
      <c r="P1404" s="328"/>
      <c r="Q1404" s="328"/>
      <c r="R1404" s="328"/>
      <c r="S1404" s="328" t="s">
        <v>1319</v>
      </c>
      <c r="T1404" s="320" t="s">
        <v>2011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.75" thickBot="1" x14ac:dyDescent="0.3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.75" thickBot="1" x14ac:dyDescent="0.3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.75" thickBot="1" x14ac:dyDescent="0.3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.75" thickBot="1" x14ac:dyDescent="0.3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.75" thickBot="1" x14ac:dyDescent="0.3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.75" thickBot="1" x14ac:dyDescent="0.3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25">
      <c r="O1411" s="329">
        <v>1</v>
      </c>
      <c r="P1411" s="320">
        <v>179734</v>
      </c>
      <c r="Q1411" s="320">
        <v>98</v>
      </c>
      <c r="R1411" s="320"/>
      <c r="S1411" s="968" t="s">
        <v>2018</v>
      </c>
      <c r="T1411" s="320" t="s">
        <v>2019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25">
      <c r="O1412" s="330">
        <v>2</v>
      </c>
      <c r="P1412" s="36">
        <v>1165884</v>
      </c>
      <c r="Q1412" s="36">
        <v>84</v>
      </c>
      <c r="R1412" s="36"/>
      <c r="S1412" s="969" t="s">
        <v>2018</v>
      </c>
      <c r="T1412" s="36" t="s">
        <v>2019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25">
      <c r="O1413" s="330">
        <v>3</v>
      </c>
      <c r="P1413" s="36">
        <v>1165882</v>
      </c>
      <c r="Q1413" s="36">
        <v>14</v>
      </c>
      <c r="R1413" s="36"/>
      <c r="S1413" s="969" t="s">
        <v>2018</v>
      </c>
      <c r="T1413" s="36" t="s">
        <v>2019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25">
      <c r="O1414" s="330">
        <v>4</v>
      </c>
      <c r="P1414" s="36">
        <v>418525</v>
      </c>
      <c r="Q1414" s="36">
        <v>7</v>
      </c>
      <c r="R1414" s="36"/>
      <c r="S1414" s="969" t="s">
        <v>2018</v>
      </c>
      <c r="T1414" s="36" t="s">
        <v>2019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25">
      <c r="O1415" s="330"/>
      <c r="P1415" s="36"/>
      <c r="Q1415" s="36"/>
      <c r="R1415" s="36"/>
      <c r="S1415" s="969" t="s">
        <v>2018</v>
      </c>
      <c r="T1415" s="36" t="s">
        <v>2019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25">
      <c r="O1416" s="330"/>
      <c r="P1416" s="36"/>
      <c r="Q1416" s="36"/>
      <c r="R1416" s="36"/>
      <c r="S1416" s="969" t="s">
        <v>2018</v>
      </c>
      <c r="T1416" s="36" t="s">
        <v>2019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.75" thickBot="1" x14ac:dyDescent="0.3">
      <c r="O1417" s="331"/>
      <c r="P1417" s="328"/>
      <c r="Q1417" s="328"/>
      <c r="R1417" s="328"/>
      <c r="S1417" s="975" t="s">
        <v>2018</v>
      </c>
      <c r="T1417" s="328" t="s">
        <v>2019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25">
      <c r="O1418" s="329">
        <v>1</v>
      </c>
      <c r="P1418" s="320">
        <v>1165842</v>
      </c>
      <c r="Q1418" s="320">
        <v>48</v>
      </c>
      <c r="R1418" s="320"/>
      <c r="S1418" s="320" t="s">
        <v>2018</v>
      </c>
      <c r="T1418" s="320" t="s">
        <v>2023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25">
      <c r="O1419" s="330">
        <v>2</v>
      </c>
      <c r="P1419" s="36">
        <v>647436</v>
      </c>
      <c r="Q1419" s="36">
        <v>22</v>
      </c>
      <c r="R1419" s="36"/>
      <c r="S1419" s="36" t="s">
        <v>2018</v>
      </c>
      <c r="T1419" s="36" t="s">
        <v>2023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25">
      <c r="O1420" s="330">
        <v>3</v>
      </c>
      <c r="P1420" s="36">
        <v>708306</v>
      </c>
      <c r="Q1420" s="36">
        <v>12</v>
      </c>
      <c r="R1420" s="36"/>
      <c r="S1420" s="36" t="s">
        <v>2018</v>
      </c>
      <c r="T1420" s="36" t="s">
        <v>2023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25">
      <c r="O1421" s="330">
        <v>4</v>
      </c>
      <c r="P1421" s="36">
        <v>179734</v>
      </c>
      <c r="Q1421" s="36">
        <v>18</v>
      </c>
      <c r="R1421" s="36"/>
      <c r="S1421" s="36" t="s">
        <v>2018</v>
      </c>
      <c r="T1421" s="36" t="s">
        <v>2023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25">
      <c r="O1422" s="330">
        <v>5</v>
      </c>
      <c r="P1422" s="36">
        <v>418525</v>
      </c>
      <c r="Q1422" s="36">
        <v>6</v>
      </c>
      <c r="R1422" s="36"/>
      <c r="S1422" s="36" t="s">
        <v>2018</v>
      </c>
      <c r="T1422" s="36" t="s">
        <v>2023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.75" thickBot="1" x14ac:dyDescent="0.3">
      <c r="O1423" s="331"/>
      <c r="P1423" s="328"/>
      <c r="Q1423" s="328"/>
      <c r="R1423" s="328"/>
      <c r="S1423" s="328" t="s">
        <v>2018</v>
      </c>
      <c r="T1423" s="328" t="s">
        <v>2023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.75" thickBot="1" x14ac:dyDescent="0.3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1974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.75" thickBot="1" x14ac:dyDescent="0.3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1974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.75" thickBot="1" x14ac:dyDescent="0.3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1974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.75" thickBot="1" x14ac:dyDescent="0.3">
      <c r="O1427" s="330"/>
      <c r="P1427" s="36"/>
      <c r="Q1427" s="36"/>
      <c r="R1427" s="36"/>
      <c r="S1427" s="36">
        <v>6.125</v>
      </c>
      <c r="T1427" s="320" t="s">
        <v>1974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.75" thickBot="1" x14ac:dyDescent="0.3">
      <c r="O1428" s="330"/>
      <c r="P1428" s="36"/>
      <c r="Q1428" s="36"/>
      <c r="R1428" s="36"/>
      <c r="S1428" s="36">
        <v>6.125</v>
      </c>
      <c r="T1428" s="320" t="s">
        <v>1974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.75" thickBot="1" x14ac:dyDescent="0.3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2029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.75" thickBot="1" x14ac:dyDescent="0.3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2029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.75" thickBot="1" x14ac:dyDescent="0.3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2029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.75" thickBot="1" x14ac:dyDescent="0.3">
      <c r="O1432" s="330"/>
      <c r="P1432" s="36"/>
      <c r="Q1432" s="36"/>
      <c r="R1432" s="36"/>
      <c r="S1432" s="36" t="s">
        <v>1319</v>
      </c>
      <c r="T1432" s="320" t="s">
        <v>2029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.75" thickBot="1" x14ac:dyDescent="0.3">
      <c r="O1433" s="330"/>
      <c r="P1433" s="36"/>
      <c r="Q1433" s="36"/>
      <c r="R1433" s="36"/>
      <c r="S1433" s="36" t="s">
        <v>1319</v>
      </c>
      <c r="T1433" s="320" t="s">
        <v>2029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.75" thickBot="1" x14ac:dyDescent="0.3">
      <c r="O1434" s="329">
        <v>1</v>
      </c>
      <c r="P1434" s="320">
        <v>1165796</v>
      </c>
      <c r="Q1434" s="320">
        <v>19</v>
      </c>
      <c r="R1434" s="320"/>
      <c r="S1434" s="320" t="s">
        <v>2005</v>
      </c>
      <c r="T1434" s="320" t="s">
        <v>2035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.75" thickBot="1" x14ac:dyDescent="0.3">
      <c r="O1435" s="330"/>
      <c r="P1435" s="36"/>
      <c r="Q1435" s="36"/>
      <c r="R1435" s="36"/>
      <c r="S1435" s="36"/>
      <c r="T1435" s="320" t="s">
        <v>2035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.75" thickBot="1" x14ac:dyDescent="0.3">
      <c r="O1436" s="330"/>
      <c r="P1436" s="36"/>
      <c r="Q1436" s="36"/>
      <c r="R1436" s="36"/>
      <c r="S1436" s="36"/>
      <c r="T1436" s="320" t="s">
        <v>2035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.75" thickBot="1" x14ac:dyDescent="0.3">
      <c r="O1437" s="330"/>
      <c r="P1437" s="36"/>
      <c r="Q1437" s="36"/>
      <c r="R1437" s="36"/>
      <c r="S1437" s="36"/>
      <c r="T1437" s="320" t="s">
        <v>2035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.75" thickBot="1" x14ac:dyDescent="0.3">
      <c r="O1438" s="330"/>
      <c r="P1438" s="36"/>
      <c r="Q1438" s="36"/>
      <c r="R1438" s="36"/>
      <c r="S1438" s="36"/>
      <c r="T1438" s="320" t="s">
        <v>2035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2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2036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2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2036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2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2036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2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2036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2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2036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.75" thickBot="1" x14ac:dyDescent="0.3">
      <c r="O1444" s="331"/>
      <c r="P1444" s="328"/>
      <c r="Q1444" s="328"/>
      <c r="R1444" s="328"/>
      <c r="S1444" s="328" t="s">
        <v>1130</v>
      </c>
      <c r="T1444" s="328" t="s">
        <v>2036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2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2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2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2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2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2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2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.75" thickBot="1" x14ac:dyDescent="0.3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2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2040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2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2040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2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2040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2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2040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2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2040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2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2040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2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2040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2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2040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2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2040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.75" thickBot="1" x14ac:dyDescent="0.3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2040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2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2052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2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2052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2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2052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2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2052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2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2052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2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2052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.75" thickBot="1" x14ac:dyDescent="0.3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2052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2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2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2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2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2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2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2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.75" thickBot="1" x14ac:dyDescent="0.3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25">
      <c r="O1478" s="1015">
        <v>1</v>
      </c>
      <c r="P1478" s="38">
        <v>717748</v>
      </c>
      <c r="Q1478" s="38">
        <v>19</v>
      </c>
      <c r="R1478" s="38"/>
      <c r="S1478" s="1017" t="s">
        <v>2059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25">
      <c r="O1479" s="330"/>
      <c r="P1479" s="36"/>
      <c r="Q1479" s="36"/>
      <c r="R1479" s="36"/>
      <c r="S1479" s="972" t="s">
        <v>2059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25">
      <c r="O1480" s="3"/>
      <c r="P1480" s="36"/>
      <c r="Q1480" s="36"/>
      <c r="R1480" s="36"/>
      <c r="S1480" s="972" t="s">
        <v>2059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25">
      <c r="O1481" s="3"/>
      <c r="P1481" s="36"/>
      <c r="Q1481" s="36"/>
      <c r="R1481" s="36"/>
      <c r="S1481" s="972" t="s">
        <v>2059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.75" thickBot="1" x14ac:dyDescent="0.3">
      <c r="O1482" s="3"/>
      <c r="P1482" s="36"/>
      <c r="Q1482" s="36"/>
      <c r="R1482" s="36"/>
      <c r="S1482" s="972" t="s">
        <v>2059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2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2060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2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2060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25">
      <c r="O1485" s="3"/>
      <c r="P1485" s="36"/>
      <c r="Q1485" s="36"/>
      <c r="R1485" s="36"/>
      <c r="S1485" s="36" t="s">
        <v>1319</v>
      </c>
      <c r="T1485" s="36" t="s">
        <v>2060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25">
      <c r="O1486" s="3"/>
      <c r="P1486" s="36"/>
      <c r="Q1486" s="36"/>
      <c r="R1486" s="36"/>
      <c r="S1486" s="36" t="s">
        <v>1319</v>
      </c>
      <c r="T1486" s="36" t="s">
        <v>2060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.75" thickBot="1" x14ac:dyDescent="0.3">
      <c r="O1487" s="3"/>
      <c r="P1487" s="36"/>
      <c r="Q1487" s="36"/>
      <c r="R1487" s="36"/>
      <c r="S1487" s="36" t="s">
        <v>1319</v>
      </c>
      <c r="T1487" s="36" t="s">
        <v>2060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2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2065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2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2065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2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2065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2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2065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2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2065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.75" thickBot="1" x14ac:dyDescent="0.3">
      <c r="O1493" s="331"/>
      <c r="P1493" s="328"/>
      <c r="Q1493" s="328"/>
      <c r="R1493" s="328"/>
      <c r="S1493" s="328" t="s">
        <v>1319</v>
      </c>
      <c r="T1493" s="328" t="s">
        <v>2065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2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2070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2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2070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2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2070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2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2070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2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2070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.75" thickBot="1" x14ac:dyDescent="0.3">
      <c r="O1499" s="331"/>
      <c r="P1499" s="328"/>
      <c r="Q1499" s="328"/>
      <c r="R1499" s="328"/>
      <c r="S1499" s="328" t="s">
        <v>1319</v>
      </c>
      <c r="T1499" s="328" t="s">
        <v>2070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2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2074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2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2074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2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2074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25">
      <c r="O1503" s="3"/>
      <c r="P1503" s="36"/>
      <c r="Q1503" s="36"/>
      <c r="R1503" s="36"/>
      <c r="S1503" s="36" t="s">
        <v>1421</v>
      </c>
      <c r="T1503" s="36" t="s">
        <v>2074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.75" thickBot="1" x14ac:dyDescent="0.3">
      <c r="O1504" s="3"/>
      <c r="P1504" s="36"/>
      <c r="Q1504" s="36"/>
      <c r="R1504" s="36"/>
      <c r="S1504" s="36" t="s">
        <v>1421</v>
      </c>
      <c r="T1504" s="36" t="s">
        <v>2074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25">
      <c r="O1505" s="329">
        <v>1</v>
      </c>
      <c r="P1505" s="320">
        <v>1130217</v>
      </c>
      <c r="Q1505" s="320">
        <v>37</v>
      </c>
      <c r="R1505" s="320"/>
      <c r="S1505" s="320" t="s">
        <v>2076</v>
      </c>
      <c r="T1505" s="320" t="s">
        <v>2077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25">
      <c r="O1506" s="330">
        <v>2</v>
      </c>
      <c r="P1506" s="36">
        <v>773383</v>
      </c>
      <c r="Q1506" s="36">
        <v>14</v>
      </c>
      <c r="R1506" s="36"/>
      <c r="S1506" s="36" t="s">
        <v>2076</v>
      </c>
      <c r="T1506" s="36" t="s">
        <v>2077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25">
      <c r="O1507" s="3">
        <v>3</v>
      </c>
      <c r="P1507" s="36">
        <v>418525</v>
      </c>
      <c r="Q1507" s="36">
        <v>7</v>
      </c>
      <c r="R1507" s="36"/>
      <c r="S1507" s="36" t="s">
        <v>2076</v>
      </c>
      <c r="T1507" s="36" t="s">
        <v>2077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25">
      <c r="O1508" s="3">
        <v>4</v>
      </c>
      <c r="P1508" s="36">
        <v>1101509</v>
      </c>
      <c r="Q1508" s="36">
        <v>7</v>
      </c>
      <c r="R1508" s="36"/>
      <c r="S1508" s="36" t="s">
        <v>2076</v>
      </c>
      <c r="T1508" s="36" t="s">
        <v>2077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25">
      <c r="O1509" s="3"/>
      <c r="P1509" s="36"/>
      <c r="Q1509" s="36"/>
      <c r="R1509" s="36"/>
      <c r="S1509" s="36" t="s">
        <v>2076</v>
      </c>
      <c r="T1509" s="36" t="s">
        <v>2077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25">
      <c r="O1510" s="3"/>
      <c r="P1510" s="36"/>
      <c r="Q1510" s="36"/>
      <c r="R1510" s="36"/>
      <c r="S1510" s="36" t="s">
        <v>2076</v>
      </c>
      <c r="T1510" s="36" t="s">
        <v>2077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.75" thickBot="1" x14ac:dyDescent="0.3">
      <c r="O1511" s="76"/>
      <c r="P1511" s="328"/>
      <c r="Q1511" s="328"/>
      <c r="R1511" s="328"/>
      <c r="S1511" s="328" t="s">
        <v>2076</v>
      </c>
      <c r="T1511" s="328" t="s">
        <v>2077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2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2079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2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2079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2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2079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2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2079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25">
      <c r="O1516" s="3"/>
      <c r="P1516" s="36"/>
      <c r="Q1516" s="36"/>
      <c r="R1516" s="36"/>
      <c r="S1516" s="36" t="s">
        <v>872</v>
      </c>
      <c r="T1516" s="36" t="s">
        <v>2079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25">
      <c r="O1517" s="3"/>
      <c r="P1517" s="36"/>
      <c r="Q1517" s="36"/>
      <c r="R1517" s="36"/>
      <c r="S1517" s="36" t="s">
        <v>872</v>
      </c>
      <c r="T1517" s="36" t="s">
        <v>2079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.75" thickBot="1" x14ac:dyDescent="0.3">
      <c r="O1518" s="76"/>
      <c r="P1518" s="328"/>
      <c r="Q1518" s="328"/>
      <c r="R1518" s="328"/>
      <c r="S1518" s="328" t="s">
        <v>872</v>
      </c>
      <c r="T1518" s="328" t="s">
        <v>2079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2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2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2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2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2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.75" thickBot="1" x14ac:dyDescent="0.3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2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2084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2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2084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2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2084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2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2084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25">
      <c r="O1529" s="330"/>
      <c r="P1529" s="36"/>
      <c r="Q1529" s="36"/>
      <c r="R1529" s="36"/>
      <c r="S1529" s="36" t="s">
        <v>1390</v>
      </c>
      <c r="T1529" s="36" t="s">
        <v>2084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.75" thickBot="1" x14ac:dyDescent="0.3">
      <c r="O1530" s="331"/>
      <c r="P1530" s="328"/>
      <c r="Q1530" s="328"/>
      <c r="R1530" s="328"/>
      <c r="S1530" s="328" t="s">
        <v>1390</v>
      </c>
      <c r="T1530" s="328" t="s">
        <v>2084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2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2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2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2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2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2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.75" thickBot="1" x14ac:dyDescent="0.3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2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2093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2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2093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2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2093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25">
      <c r="O1541" s="3"/>
      <c r="P1541" s="36"/>
      <c r="Q1541" s="36"/>
      <c r="R1541" s="36"/>
      <c r="S1541" s="36" t="s">
        <v>1319</v>
      </c>
      <c r="T1541" s="36" t="s">
        <v>2093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.75" thickBot="1" x14ac:dyDescent="0.3">
      <c r="O1542" s="3"/>
      <c r="P1542" s="36"/>
      <c r="Q1542" s="36"/>
      <c r="R1542" s="36"/>
      <c r="S1542" s="36" t="s">
        <v>1319</v>
      </c>
      <c r="T1542" s="36" t="s">
        <v>2093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2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2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2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2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.75" thickBot="1" x14ac:dyDescent="0.3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2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2096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2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2096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2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2096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2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2096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25">
      <c r="O1552" s="330"/>
      <c r="P1552" s="36"/>
      <c r="Q1552" s="36"/>
      <c r="R1552" s="36"/>
      <c r="S1552" s="36" t="s">
        <v>1200</v>
      </c>
      <c r="T1552" s="36" t="s">
        <v>2096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.75" thickBot="1" x14ac:dyDescent="0.3">
      <c r="O1553" s="331"/>
      <c r="P1553" s="328"/>
      <c r="Q1553" s="328"/>
      <c r="R1553" s="328"/>
      <c r="S1553" s="328" t="s">
        <v>1200</v>
      </c>
      <c r="T1553" s="328" t="s">
        <v>2096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2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2099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2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2099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2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2099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25">
      <c r="O1557" s="330"/>
      <c r="P1557" s="36"/>
      <c r="Q1557" s="36"/>
      <c r="R1557" s="36"/>
      <c r="S1557" s="36" t="s">
        <v>1209</v>
      </c>
      <c r="T1557" s="36" t="s">
        <v>2099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25">
      <c r="O1558" s="330"/>
      <c r="P1558" s="36"/>
      <c r="Q1558" s="36"/>
      <c r="R1558" s="36"/>
      <c r="S1558" s="36" t="s">
        <v>1209</v>
      </c>
      <c r="T1558" s="36" t="s">
        <v>2099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.75" thickBot="1" x14ac:dyDescent="0.3">
      <c r="O1559" s="331"/>
      <c r="P1559" s="328"/>
      <c r="Q1559" s="328"/>
      <c r="R1559" s="328"/>
      <c r="S1559" s="328" t="s">
        <v>1209</v>
      </c>
      <c r="T1559" s="328" t="s">
        <v>2099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2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2101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2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2101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2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2101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25">
      <c r="O1563" s="3"/>
      <c r="P1563" s="36"/>
      <c r="Q1563" s="36"/>
      <c r="R1563" s="36"/>
      <c r="S1563" s="36" t="s">
        <v>1319</v>
      </c>
      <c r="T1563" s="36" t="s">
        <v>2101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.75" thickBot="1" x14ac:dyDescent="0.3">
      <c r="O1564" s="3"/>
      <c r="P1564" s="36"/>
      <c r="Q1564" s="36"/>
      <c r="R1564" s="36"/>
      <c r="S1564" s="36" t="s">
        <v>1319</v>
      </c>
      <c r="T1564" s="36" t="s">
        <v>2101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2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2103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2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2103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2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2103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2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2103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25">
      <c r="O1569" s="330"/>
      <c r="P1569" s="36"/>
      <c r="Q1569" s="36"/>
      <c r="R1569" s="36"/>
      <c r="S1569" s="36" t="s">
        <v>1200</v>
      </c>
      <c r="T1569" s="36" t="s">
        <v>2103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.75" thickBot="1" x14ac:dyDescent="0.3">
      <c r="O1570" s="331"/>
      <c r="P1570" s="328"/>
      <c r="Q1570" s="328"/>
      <c r="R1570" s="328"/>
      <c r="S1570" s="328" t="s">
        <v>1200</v>
      </c>
      <c r="T1570" s="328" t="s">
        <v>2103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2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2029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>
        <f t="shared" si="230"/>
        <v>1526</v>
      </c>
    </row>
    <row r="1572" spans="14:59" x14ac:dyDescent="0.2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2029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>
        <f t="shared" si="230"/>
        <v>1527</v>
      </c>
    </row>
    <row r="1573" spans="14:59" x14ac:dyDescent="0.2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2029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>
        <f t="shared" si="230"/>
        <v>1528</v>
      </c>
    </row>
    <row r="1574" spans="14:59" x14ac:dyDescent="0.25">
      <c r="O1574" s="3"/>
      <c r="P1574" s="36"/>
      <c r="Q1574" s="36"/>
      <c r="R1574" s="36"/>
      <c r="S1574" s="36" t="s">
        <v>1319</v>
      </c>
      <c r="T1574" s="36" t="s">
        <v>2029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>
        <f t="shared" si="230"/>
        <v>1529</v>
      </c>
    </row>
    <row r="1575" spans="14:59" ht="15.75" thickBot="1" x14ac:dyDescent="0.3">
      <c r="O1575" s="76"/>
      <c r="P1575" s="328"/>
      <c r="Q1575" s="328"/>
      <c r="R1575" s="328"/>
      <c r="S1575" s="328" t="s">
        <v>1319</v>
      </c>
      <c r="T1575" s="328" t="s">
        <v>2029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>
        <f t="shared" si="230"/>
        <v>1530</v>
      </c>
    </row>
    <row r="1576" spans="14:59" x14ac:dyDescent="0.2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2110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2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2110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2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2110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2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2110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2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2110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2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2110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.75" thickBot="1" x14ac:dyDescent="0.3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2110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2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2103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2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2103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2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2103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2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2103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2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2103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.75" thickBot="1" x14ac:dyDescent="0.3">
      <c r="O1588" s="331"/>
      <c r="P1588" s="328"/>
      <c r="Q1588" s="328"/>
      <c r="R1588" s="328"/>
      <c r="S1588" s="328" t="s">
        <v>1198</v>
      </c>
      <c r="T1588" s="328" t="s">
        <v>2103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2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2116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2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2116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2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2116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2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2116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2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2116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2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2116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.75" thickBot="1" x14ac:dyDescent="0.3">
      <c r="O1595" s="76"/>
      <c r="P1595" s="328"/>
      <c r="Q1595" s="328"/>
      <c r="R1595" s="328"/>
      <c r="S1595" s="328">
        <v>16</v>
      </c>
      <c r="T1595" s="328" t="s">
        <v>2116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2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1942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2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1942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2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1942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2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1942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.75" thickBot="1" x14ac:dyDescent="0.3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1942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2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2116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2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2116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2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2116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2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2116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2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2116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2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2116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.75" thickBot="1" x14ac:dyDescent="0.3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2116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2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2059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25">
      <c r="M1609" s="10"/>
      <c r="O1609" s="330"/>
      <c r="P1609" s="36"/>
      <c r="Q1609" s="36"/>
      <c r="R1609" s="36"/>
      <c r="S1609" s="36" t="s">
        <v>2059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25">
      <c r="M1610" s="10"/>
      <c r="O1610" s="3"/>
      <c r="P1610" s="36"/>
      <c r="Q1610" s="36"/>
      <c r="R1610" s="36"/>
      <c r="S1610" s="36" t="s">
        <v>2059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25">
      <c r="M1611" s="10"/>
      <c r="O1611" s="3"/>
      <c r="P1611" s="36"/>
      <c r="Q1611" s="36"/>
      <c r="R1611" s="36"/>
      <c r="S1611" s="36" t="s">
        <v>2059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.75" thickBot="1" x14ac:dyDescent="0.3">
      <c r="O1612" s="959"/>
      <c r="P1612" s="486"/>
      <c r="Q1612" s="486"/>
      <c r="R1612" s="486"/>
      <c r="S1612" s="486" t="s">
        <v>2059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2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2125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2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2125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2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2125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2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2125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.75" thickBot="1" x14ac:dyDescent="0.3">
      <c r="O1617" s="959"/>
      <c r="P1617" s="486"/>
      <c r="Q1617" s="486"/>
      <c r="R1617" s="486"/>
      <c r="S1617" s="486" t="s">
        <v>1319</v>
      </c>
      <c r="T1617" s="486" t="s">
        <v>2125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2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2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2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2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2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2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2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.75" thickBot="1" x14ac:dyDescent="0.3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2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2126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2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2126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2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2126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2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2126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2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2126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25">
      <c r="O1631" s="330"/>
      <c r="P1631" s="36"/>
      <c r="Q1631" s="36"/>
      <c r="R1631" s="36"/>
      <c r="S1631" s="36">
        <v>12</v>
      </c>
      <c r="T1631" s="36" t="s">
        <v>2126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25">
      <c r="O1632" s="330"/>
      <c r="P1632" s="36"/>
      <c r="Q1632" s="36"/>
      <c r="R1632" s="36"/>
      <c r="S1632" s="36">
        <v>12</v>
      </c>
      <c r="T1632" s="36" t="s">
        <v>2126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.75" thickBot="1" x14ac:dyDescent="0.3">
      <c r="O1633" s="485"/>
      <c r="P1633" s="486"/>
      <c r="Q1633" s="486"/>
      <c r="R1633" s="486"/>
      <c r="S1633" s="486">
        <v>12</v>
      </c>
      <c r="T1633" s="486" t="s">
        <v>2126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2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2128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2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2128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2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2128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2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2128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2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2128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2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2128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.75" thickBot="1" x14ac:dyDescent="0.3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2128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2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2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2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2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.75" thickBot="1" x14ac:dyDescent="0.3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2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2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2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2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2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2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2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.75" thickBot="1" x14ac:dyDescent="0.3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2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2142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2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2142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2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2142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2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2142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2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2142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25">
      <c r="O1659" s="330"/>
      <c r="P1659" s="36"/>
      <c r="Q1659" s="36"/>
      <c r="R1659" s="36"/>
      <c r="S1659" s="36" t="s">
        <v>1399</v>
      </c>
      <c r="T1659" s="36" t="s">
        <v>2142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.75" thickBot="1" x14ac:dyDescent="0.3">
      <c r="O1660" s="331"/>
      <c r="P1660" s="328"/>
      <c r="Q1660" s="328"/>
      <c r="R1660" s="328"/>
      <c r="S1660" s="328" t="s">
        <v>1399</v>
      </c>
      <c r="T1660" s="328" t="s">
        <v>2142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2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2096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2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2096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2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2096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2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2096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2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2096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.75" thickBot="1" x14ac:dyDescent="0.3">
      <c r="O1666" s="331"/>
      <c r="P1666" s="328"/>
      <c r="Q1666" s="328"/>
      <c r="R1666" s="328"/>
      <c r="S1666" s="328" t="s">
        <v>1200</v>
      </c>
      <c r="T1666" s="328" t="s">
        <v>2096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2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2148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2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2148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2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2148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2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2148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2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2148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.75" thickBot="1" x14ac:dyDescent="0.3">
      <c r="O1672" s="331"/>
      <c r="P1672" s="328"/>
      <c r="Q1672" s="328"/>
      <c r="R1672" s="328"/>
      <c r="S1672" s="328" t="s">
        <v>1200</v>
      </c>
      <c r="T1672" s="328" t="s">
        <v>2148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2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2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2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2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2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.75" thickBot="1" x14ac:dyDescent="0.3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2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2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2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2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2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2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.75" thickBot="1" x14ac:dyDescent="0.3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2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2155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2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2155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2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2155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2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2155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2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2155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.75" thickBot="1" x14ac:dyDescent="0.3">
      <c r="O1691" s="331"/>
      <c r="P1691" s="328"/>
      <c r="Q1691" s="328"/>
      <c r="R1691" s="328"/>
      <c r="S1691" s="328" t="s">
        <v>1179</v>
      </c>
      <c r="T1691" s="328" t="s">
        <v>2155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2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2093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2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2093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2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2093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2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2093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.75" thickBot="1" x14ac:dyDescent="0.3">
      <c r="O1696" s="331"/>
      <c r="P1696" s="328"/>
      <c r="Q1696" s="328"/>
      <c r="R1696" s="328"/>
      <c r="S1696" s="554" t="s">
        <v>1319</v>
      </c>
      <c r="T1696" s="328" t="s">
        <v>2093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2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2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2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2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2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2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2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.75" thickBot="1" x14ac:dyDescent="0.3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2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2148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2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2148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2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2148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2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2148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2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2148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.75" thickBot="1" x14ac:dyDescent="0.3">
      <c r="O1710" s="331"/>
      <c r="P1710" s="328"/>
      <c r="Q1710" s="328"/>
      <c r="R1710" s="328"/>
      <c r="S1710" s="328" t="s">
        <v>1200</v>
      </c>
      <c r="T1710" s="328" t="s">
        <v>2148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2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2173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2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2173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2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2173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25">
      <c r="O1714" s="330"/>
      <c r="P1714" s="36"/>
      <c r="Q1714" s="36"/>
      <c r="R1714" s="36"/>
      <c r="S1714" s="36" t="s">
        <v>1198</v>
      </c>
      <c r="T1714" s="36" t="s">
        <v>2173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25">
      <c r="O1715" s="330"/>
      <c r="P1715" s="36"/>
      <c r="Q1715" s="36"/>
      <c r="R1715" s="36"/>
      <c r="S1715" s="36" t="s">
        <v>1198</v>
      </c>
      <c r="T1715" s="36" t="s">
        <v>2173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.75" thickBot="1" x14ac:dyDescent="0.3">
      <c r="O1716" s="331"/>
      <c r="P1716" s="328"/>
      <c r="Q1716" s="328"/>
      <c r="R1716" s="328"/>
      <c r="S1716" s="328" t="s">
        <v>1198</v>
      </c>
      <c r="T1716" s="328" t="s">
        <v>2173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2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2175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2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2175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2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2175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2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2175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2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2175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2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2175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2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2175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.75" thickBot="1" x14ac:dyDescent="0.3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2175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2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2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2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2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2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2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2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.75" thickBot="1" x14ac:dyDescent="0.3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2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2177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2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2177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2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2177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2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2177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2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2177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2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2177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.75" thickBot="1" x14ac:dyDescent="0.3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2177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2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2186</v>
      </c>
      <c r="T1740" s="320" t="s">
        <v>2185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2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2186</v>
      </c>
      <c r="T1741" s="36" t="s">
        <v>2185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25">
      <c r="O1742" s="330">
        <v>3</v>
      </c>
      <c r="P1742" s="36">
        <v>1104083</v>
      </c>
      <c r="Q1742" s="36">
        <v>1</v>
      </c>
      <c r="R1742" s="36"/>
      <c r="S1742" s="36" t="s">
        <v>2186</v>
      </c>
      <c r="T1742" s="36" t="s">
        <v>2185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25">
      <c r="O1743" s="330"/>
      <c r="P1743" s="36"/>
      <c r="Q1743" s="36"/>
      <c r="R1743" s="36"/>
      <c r="S1743" s="36" t="s">
        <v>2186</v>
      </c>
      <c r="T1743" s="36" t="s">
        <v>2185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25">
      <c r="O1744" s="330"/>
      <c r="P1744" s="36"/>
      <c r="Q1744" s="36"/>
      <c r="R1744" s="36"/>
      <c r="S1744" s="36" t="s">
        <v>2186</v>
      </c>
      <c r="T1744" s="36" t="s">
        <v>2185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.75" thickBot="1" x14ac:dyDescent="0.3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2186</v>
      </c>
      <c r="T1745" s="328" t="s">
        <v>2185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2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2103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2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2103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2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2103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2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2103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2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2103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.75" thickBot="1" x14ac:dyDescent="0.3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2103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2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2189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2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2189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2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2189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2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2189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2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2189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2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2189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2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2189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.75" thickBot="1" x14ac:dyDescent="0.3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2189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2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2186</v>
      </c>
      <c r="T1760" s="320" t="s">
        <v>2201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2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2186</v>
      </c>
      <c r="T1761" s="36" t="s">
        <v>2201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2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2186</v>
      </c>
      <c r="T1762" s="36" t="s">
        <v>2201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2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2186</v>
      </c>
      <c r="T1763" s="36" t="s">
        <v>2201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2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2186</v>
      </c>
      <c r="T1764" s="36" t="s">
        <v>2201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2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2186</v>
      </c>
      <c r="T1765" s="36" t="s">
        <v>2201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.75" thickBot="1" x14ac:dyDescent="0.3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2186</v>
      </c>
      <c r="T1766" s="486" t="s">
        <v>2201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2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2186</v>
      </c>
      <c r="T1767" s="320" t="s">
        <v>2202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2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2186</v>
      </c>
      <c r="T1768" s="36" t="s">
        <v>2202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2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2186</v>
      </c>
      <c r="T1769" s="36" t="s">
        <v>2202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2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2186</v>
      </c>
      <c r="T1770" s="36" t="s">
        <v>2202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2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2186</v>
      </c>
      <c r="T1771" s="36" t="s">
        <v>2202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2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2186</v>
      </c>
      <c r="T1772" s="36" t="s">
        <v>2202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.75" thickBot="1" x14ac:dyDescent="0.3">
      <c r="O1773" s="331">
        <v>7</v>
      </c>
      <c r="P1773" s="328"/>
      <c r="Q1773" s="328"/>
      <c r="R1773" s="328"/>
      <c r="S1773" s="328" t="s">
        <v>2186</v>
      </c>
      <c r="T1773" s="328" t="s">
        <v>2202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2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2217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2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2217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2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2217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2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2217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2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2217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.75" thickBot="1" x14ac:dyDescent="0.3">
      <c r="O1779" s="331"/>
      <c r="P1779" s="328"/>
      <c r="Q1779" s="328"/>
      <c r="R1779" s="328"/>
      <c r="S1779" s="328" t="s">
        <v>1200</v>
      </c>
      <c r="T1779" s="328" t="s">
        <v>2217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2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2245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2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2245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25">
      <c r="O1782" s="330"/>
      <c r="P1782" s="36"/>
      <c r="Q1782" s="36"/>
      <c r="R1782" s="36"/>
      <c r="S1782" s="36" t="s">
        <v>1126</v>
      </c>
      <c r="T1782" s="36" t="s">
        <v>2245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25">
      <c r="O1783" s="330"/>
      <c r="P1783" s="36"/>
      <c r="Q1783" s="36"/>
      <c r="R1783" s="36"/>
      <c r="S1783" s="36" t="s">
        <v>1126</v>
      </c>
      <c r="T1783" s="36" t="s">
        <v>2245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25">
      <c r="O1784" s="330"/>
      <c r="P1784" s="36"/>
      <c r="Q1784" s="36"/>
      <c r="R1784" s="36"/>
      <c r="S1784" s="36" t="s">
        <v>1126</v>
      </c>
      <c r="T1784" s="36" t="s">
        <v>2245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25">
      <c r="O1785" s="330"/>
      <c r="P1785" s="36"/>
      <c r="Q1785" s="36"/>
      <c r="R1785" s="36"/>
      <c r="S1785" s="36" t="s">
        <v>1126</v>
      </c>
      <c r="T1785" s="36" t="s">
        <v>2245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25">
      <c r="O1786" s="330"/>
      <c r="P1786" s="36"/>
      <c r="Q1786" s="36"/>
      <c r="R1786" s="36"/>
      <c r="S1786" s="36" t="s">
        <v>1126</v>
      </c>
      <c r="T1786" s="36" t="s">
        <v>2245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.75" thickBot="1" x14ac:dyDescent="0.3">
      <c r="O1787" s="485"/>
      <c r="P1787" s="486"/>
      <c r="Q1787" s="486"/>
      <c r="R1787" s="486"/>
      <c r="S1787" s="486" t="s">
        <v>1126</v>
      </c>
      <c r="T1787" s="486" t="s">
        <v>2245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2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2248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2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2248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2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2248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2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2248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2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2248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25">
      <c r="O1793" s="3"/>
      <c r="P1793" s="36"/>
      <c r="Q1793" s="36"/>
      <c r="R1793" s="36"/>
      <c r="S1793" s="36">
        <v>12</v>
      </c>
      <c r="T1793" s="36" t="s">
        <v>2248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25">
      <c r="O1794" s="3"/>
      <c r="P1794" s="36"/>
      <c r="Q1794" s="36"/>
      <c r="R1794" s="36"/>
      <c r="S1794" s="36">
        <v>12</v>
      </c>
      <c r="T1794" s="36" t="s">
        <v>2248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.75" thickBot="1" x14ac:dyDescent="0.3">
      <c r="O1795" s="76"/>
      <c r="P1795" s="328"/>
      <c r="Q1795" s="328"/>
      <c r="R1795" s="328"/>
      <c r="S1795" s="328">
        <v>12</v>
      </c>
      <c r="T1795" s="328" t="s">
        <v>2248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2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2250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25">
      <c r="O1797" s="330"/>
      <c r="P1797" s="36"/>
      <c r="Q1797" s="36"/>
      <c r="R1797" s="36"/>
      <c r="S1797" s="36" t="s">
        <v>1421</v>
      </c>
      <c r="T1797" s="36" t="s">
        <v>2250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25">
      <c r="O1798" s="330"/>
      <c r="P1798" s="36"/>
      <c r="Q1798" s="36"/>
      <c r="R1798" s="36"/>
      <c r="S1798" s="36" t="s">
        <v>1421</v>
      </c>
      <c r="T1798" s="36" t="s">
        <v>2250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25">
      <c r="O1799" s="330"/>
      <c r="P1799" s="36"/>
      <c r="Q1799" s="36"/>
      <c r="R1799" s="36"/>
      <c r="S1799" s="36" t="s">
        <v>1421</v>
      </c>
      <c r="T1799" s="36" t="s">
        <v>2250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25">
      <c r="O1800" s="330"/>
      <c r="P1800" s="36"/>
      <c r="Q1800" s="36"/>
      <c r="R1800" s="36"/>
      <c r="S1800" s="36" t="s">
        <v>1421</v>
      </c>
      <c r="T1800" s="36" t="s">
        <v>2250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.75" thickBot="1" x14ac:dyDescent="0.3">
      <c r="O1801" s="331"/>
      <c r="P1801" s="328"/>
      <c r="Q1801" s="328"/>
      <c r="R1801" s="328"/>
      <c r="S1801" s="328" t="s">
        <v>1421</v>
      </c>
      <c r="T1801" s="328" t="s">
        <v>2250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25">
      <c r="O1802" s="329">
        <v>1</v>
      </c>
      <c r="P1802" s="320">
        <v>1165882</v>
      </c>
      <c r="Q1802" s="320">
        <v>30</v>
      </c>
      <c r="R1802" s="320"/>
      <c r="S1802" s="1010" t="s">
        <v>2262</v>
      </c>
      <c r="T1802" s="320" t="s">
        <v>2263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25">
      <c r="O1803" s="330">
        <v>2</v>
      </c>
      <c r="P1803" s="36">
        <v>1209410</v>
      </c>
      <c r="Q1803" s="36">
        <v>27</v>
      </c>
      <c r="R1803" s="36"/>
      <c r="S1803" s="1011" t="s">
        <v>2262</v>
      </c>
      <c r="T1803" s="36" t="s">
        <v>2263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25">
      <c r="O1804" s="330">
        <v>3</v>
      </c>
      <c r="P1804" s="36">
        <v>1165880</v>
      </c>
      <c r="Q1804" s="36">
        <v>26</v>
      </c>
      <c r="R1804" s="36"/>
      <c r="S1804" s="1011" t="s">
        <v>2262</v>
      </c>
      <c r="T1804" s="36" t="s">
        <v>2263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25">
      <c r="O1805" s="330">
        <v>4</v>
      </c>
      <c r="P1805" s="36">
        <v>179734</v>
      </c>
      <c r="Q1805" s="36">
        <v>7</v>
      </c>
      <c r="R1805" s="36"/>
      <c r="S1805" s="1011" t="s">
        <v>2262</v>
      </c>
      <c r="T1805" s="36" t="s">
        <v>2263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25">
      <c r="O1806" s="330">
        <v>5</v>
      </c>
      <c r="P1806" s="36">
        <v>418525</v>
      </c>
      <c r="Q1806" s="36">
        <v>7</v>
      </c>
      <c r="R1806" s="36"/>
      <c r="S1806" s="1011" t="s">
        <v>2262</v>
      </c>
      <c r="T1806" s="36" t="s">
        <v>2263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25">
      <c r="O1807" s="330">
        <v>6</v>
      </c>
      <c r="P1807" s="36">
        <v>1189972</v>
      </c>
      <c r="Q1807" s="36">
        <v>7</v>
      </c>
      <c r="R1807" s="36"/>
      <c r="S1807" s="1011" t="s">
        <v>2262</v>
      </c>
      <c r="T1807" s="36" t="s">
        <v>2263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.75" thickBot="1" x14ac:dyDescent="0.3">
      <c r="O1808" s="331">
        <v>7</v>
      </c>
      <c r="P1808" s="328">
        <v>1086351</v>
      </c>
      <c r="Q1808" s="328">
        <v>6</v>
      </c>
      <c r="R1808" s="328"/>
      <c r="S1808" s="1012" t="s">
        <v>2262</v>
      </c>
      <c r="T1808" s="328" t="s">
        <v>2263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2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2264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2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2264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2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2264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2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2264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2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2264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2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2264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.75" thickBot="1" x14ac:dyDescent="0.3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2264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2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2265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2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2265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2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2265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2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2265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2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2265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2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2265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.75" thickBot="1" x14ac:dyDescent="0.3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2265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2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2266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2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2266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2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2266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2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2266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2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2266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2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.75" thickBot="1" x14ac:dyDescent="0.3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2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2267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2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2267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2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2267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2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2267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2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2267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2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2267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.75" thickBot="1" x14ac:dyDescent="0.3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2267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2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2263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2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2263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2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2263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2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2263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2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2263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2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2263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.75" thickBot="1" x14ac:dyDescent="0.3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2263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2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2099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2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2099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2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2099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2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2099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2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2099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.75" thickBot="1" x14ac:dyDescent="0.3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2099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2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1939</v>
      </c>
      <c r="T1850" s="320" t="s">
        <v>2277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2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1939</v>
      </c>
      <c r="T1851" s="36" t="s">
        <v>2277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2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1939</v>
      </c>
      <c r="T1852" s="36" t="s">
        <v>2277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2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1939</v>
      </c>
      <c r="T1853" s="36" t="s">
        <v>2277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2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1939</v>
      </c>
      <c r="T1854" s="36" t="s">
        <v>2277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2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1939</v>
      </c>
      <c r="T1855" s="36" t="s">
        <v>2277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.75" thickBot="1" x14ac:dyDescent="0.3">
      <c r="N1856">
        <f t="shared" si="239"/>
        <v>0</v>
      </c>
      <c r="O1856" s="485"/>
      <c r="P1856" s="486"/>
      <c r="Q1856" s="486"/>
      <c r="R1856" s="486"/>
      <c r="S1856" s="1013" t="s">
        <v>1939</v>
      </c>
      <c r="T1856" s="486" t="s">
        <v>2277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2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2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2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2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2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.75" thickBot="1" x14ac:dyDescent="0.3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2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2281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2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2281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2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2281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2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2281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2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2281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.75" thickBot="1" x14ac:dyDescent="0.3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2281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2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2280</v>
      </c>
      <c r="T1869" s="320" t="s">
        <v>2282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2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2280</v>
      </c>
      <c r="T1870" s="36" t="s">
        <v>2282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2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2280</v>
      </c>
      <c r="T1871" s="36" t="s">
        <v>2282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2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2280</v>
      </c>
      <c r="T1872" s="36" t="s">
        <v>2282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25">
      <c r="N1873">
        <f t="shared" si="239"/>
        <v>0</v>
      </c>
      <c r="O1873" s="330"/>
      <c r="P1873" s="36"/>
      <c r="Q1873" s="36"/>
      <c r="R1873" s="36"/>
      <c r="S1873" s="36" t="s">
        <v>2280</v>
      </c>
      <c r="T1873" s="36" t="s">
        <v>2282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.75" thickBot="1" x14ac:dyDescent="0.3">
      <c r="N1874">
        <f t="shared" si="239"/>
        <v>0</v>
      </c>
      <c r="O1874" s="331"/>
      <c r="P1874" s="328"/>
      <c r="Q1874" s="328"/>
      <c r="R1874" s="328"/>
      <c r="S1874" s="328" t="s">
        <v>2280</v>
      </c>
      <c r="T1874" s="328" t="s">
        <v>2282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2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2283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2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2283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2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2283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2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2283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2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2283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2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2283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.75" thickBot="1" x14ac:dyDescent="0.3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2283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2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2284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2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2284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2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2284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2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2284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2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2284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2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2284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2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2284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2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2284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.75" thickBot="1" x14ac:dyDescent="0.3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2284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2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2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2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2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2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.75" thickBot="1" x14ac:dyDescent="0.3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2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2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2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2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2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2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.75" thickBot="1" x14ac:dyDescent="0.3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25">
      <c r="O1904" s="329">
        <v>1</v>
      </c>
      <c r="P1904" s="320">
        <v>745171</v>
      </c>
      <c r="Q1904" s="320">
        <v>32</v>
      </c>
      <c r="R1904" s="320"/>
      <c r="S1904" s="320" t="s">
        <v>2298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25">
      <c r="O1905" s="330">
        <v>2</v>
      </c>
      <c r="P1905" s="36">
        <v>418525</v>
      </c>
      <c r="Q1905" s="36">
        <v>8</v>
      </c>
      <c r="R1905" s="36"/>
      <c r="S1905" s="36" t="s">
        <v>2298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25">
      <c r="O1906" s="330">
        <v>3</v>
      </c>
      <c r="P1906" s="36">
        <v>177778</v>
      </c>
      <c r="Q1906" s="36">
        <v>4</v>
      </c>
      <c r="R1906" s="36"/>
      <c r="S1906" s="36" t="s">
        <v>2298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25">
      <c r="O1907" s="330"/>
      <c r="P1907" s="36"/>
      <c r="Q1907" s="36"/>
      <c r="R1907" s="36"/>
      <c r="S1907" s="36" t="s">
        <v>2298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25">
      <c r="O1908" s="330"/>
      <c r="P1908" s="36"/>
      <c r="Q1908" s="36"/>
      <c r="R1908" s="36"/>
      <c r="S1908" s="36" t="s">
        <v>2298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25">
      <c r="O1909" s="330"/>
      <c r="P1909" s="36"/>
      <c r="Q1909" s="36"/>
      <c r="R1909" s="36"/>
      <c r="S1909" s="36" t="s">
        <v>2298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25">
      <c r="O1910" s="330"/>
      <c r="P1910" s="36"/>
      <c r="Q1910" s="36"/>
      <c r="R1910" s="36"/>
      <c r="S1910" s="36" t="s">
        <v>2298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.75" thickBot="1" x14ac:dyDescent="0.3">
      <c r="O1911" s="331"/>
      <c r="P1911" s="328"/>
      <c r="Q1911" s="328"/>
      <c r="R1911" s="328"/>
      <c r="S1911" s="328" t="s">
        <v>2298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25">
      <c r="O1912" s="329">
        <v>1</v>
      </c>
      <c r="P1912" s="320">
        <v>717749</v>
      </c>
      <c r="Q1912" s="320">
        <v>24</v>
      </c>
      <c r="R1912" s="320"/>
      <c r="S1912" s="320" t="s">
        <v>2298</v>
      </c>
      <c r="T1912" s="320" t="s">
        <v>2084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25">
      <c r="O1913" s="330">
        <v>2</v>
      </c>
      <c r="P1913" s="36">
        <v>418525</v>
      </c>
      <c r="Q1913" s="36">
        <v>6</v>
      </c>
      <c r="R1913" s="36"/>
      <c r="S1913" s="36" t="s">
        <v>2298</v>
      </c>
      <c r="T1913" s="36" t="s">
        <v>2084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25">
      <c r="O1914" s="330">
        <v>3</v>
      </c>
      <c r="P1914" s="36">
        <v>177778</v>
      </c>
      <c r="Q1914" s="36">
        <v>3</v>
      </c>
      <c r="R1914" s="36"/>
      <c r="S1914" s="36" t="s">
        <v>2298</v>
      </c>
      <c r="T1914" s="36" t="s">
        <v>2084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25">
      <c r="O1915" s="330"/>
      <c r="P1915" s="36"/>
      <c r="Q1915" s="36"/>
      <c r="R1915" s="36"/>
      <c r="S1915" s="36" t="s">
        <v>2298</v>
      </c>
      <c r="T1915" s="36" t="s">
        <v>2084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25">
      <c r="O1916" s="330"/>
      <c r="P1916" s="36"/>
      <c r="Q1916" s="36"/>
      <c r="R1916" s="36"/>
      <c r="S1916" s="36" t="s">
        <v>2298</v>
      </c>
      <c r="T1916" s="36" t="s">
        <v>2084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.75" thickBot="1" x14ac:dyDescent="0.3">
      <c r="O1917" s="330"/>
      <c r="P1917" s="36"/>
      <c r="Q1917" s="36"/>
      <c r="R1917" s="36"/>
      <c r="S1917" s="36" t="s">
        <v>2298</v>
      </c>
      <c r="T1917" s="36" t="s">
        <v>2084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25">
      <c r="O1918" s="329">
        <v>1</v>
      </c>
      <c r="P1918" s="320">
        <v>717749</v>
      </c>
      <c r="Q1918" s="320">
        <v>32</v>
      </c>
      <c r="R1918" s="320"/>
      <c r="S1918" s="320" t="s">
        <v>2298</v>
      </c>
      <c r="T1918" s="320" t="s">
        <v>2297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25">
      <c r="O1919" s="330">
        <v>2</v>
      </c>
      <c r="P1919" s="36">
        <v>418525</v>
      </c>
      <c r="Q1919" s="36">
        <v>8</v>
      </c>
      <c r="R1919" s="36"/>
      <c r="S1919" s="36" t="s">
        <v>2298</v>
      </c>
      <c r="T1919" s="36" t="s">
        <v>2297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25">
      <c r="O1920" s="330">
        <v>3</v>
      </c>
      <c r="P1920" s="36">
        <v>177778</v>
      </c>
      <c r="Q1920" s="36">
        <v>4</v>
      </c>
      <c r="R1920" s="36"/>
      <c r="S1920" s="36" t="s">
        <v>2298</v>
      </c>
      <c r="T1920" s="36" t="s">
        <v>2297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25">
      <c r="O1921" s="330"/>
      <c r="P1921" s="36"/>
      <c r="Q1921" s="36"/>
      <c r="R1921" s="36"/>
      <c r="S1921" s="36" t="s">
        <v>2298</v>
      </c>
      <c r="T1921" s="36" t="s">
        <v>2297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25">
      <c r="O1922" s="330"/>
      <c r="P1922" s="36"/>
      <c r="Q1922" s="36"/>
      <c r="R1922" s="36"/>
      <c r="S1922" s="36" t="s">
        <v>2298</v>
      </c>
      <c r="T1922" s="36" t="s">
        <v>2297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25">
      <c r="O1923" s="330"/>
      <c r="P1923" s="36"/>
      <c r="Q1923" s="36"/>
      <c r="R1923" s="36"/>
      <c r="S1923" s="36" t="s">
        <v>2298</v>
      </c>
      <c r="T1923" s="36" t="s">
        <v>2297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25">
      <c r="O1924" s="330"/>
      <c r="P1924" s="36"/>
      <c r="Q1924" s="36"/>
      <c r="R1924" s="36"/>
      <c r="S1924" s="36" t="s">
        <v>2298</v>
      </c>
      <c r="T1924" s="36" t="s">
        <v>2297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.75" thickBot="1" x14ac:dyDescent="0.3">
      <c r="O1925" s="331"/>
      <c r="P1925" s="328"/>
      <c r="Q1925" s="328"/>
      <c r="R1925" s="328"/>
      <c r="S1925" s="328" t="s">
        <v>2298</v>
      </c>
      <c r="T1925" s="328" t="s">
        <v>2297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2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2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2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2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2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2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2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.75" thickBot="1" x14ac:dyDescent="0.3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2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2303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2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2303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2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2303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2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2303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2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2303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2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2303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.75" thickBot="1" x14ac:dyDescent="0.3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2303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2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2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2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2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2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.75" thickBot="1" x14ac:dyDescent="0.3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2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2309</v>
      </c>
      <c r="T1947" s="320" t="s">
        <v>2310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2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2309</v>
      </c>
      <c r="T1948" s="36" t="s">
        <v>2310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2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2309</v>
      </c>
      <c r="T1949" s="36" t="s">
        <v>2310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25">
      <c r="N1950">
        <f t="shared" si="243"/>
        <v>0</v>
      </c>
      <c r="O1950" s="330"/>
      <c r="P1950" s="36"/>
      <c r="Q1950" s="36"/>
      <c r="R1950" s="36"/>
      <c r="S1950" s="36" t="s">
        <v>2309</v>
      </c>
      <c r="T1950" s="36" t="s">
        <v>2310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25">
      <c r="N1951">
        <f t="shared" si="243"/>
        <v>0</v>
      </c>
      <c r="O1951" s="330"/>
      <c r="P1951" s="36"/>
      <c r="Q1951" s="36"/>
      <c r="R1951" s="36"/>
      <c r="S1951" s="36" t="s">
        <v>2309</v>
      </c>
      <c r="T1951" s="36" t="s">
        <v>2310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25">
      <c r="N1952">
        <f t="shared" si="243"/>
        <v>0</v>
      </c>
      <c r="O1952" s="330"/>
      <c r="P1952" s="36"/>
      <c r="Q1952" s="36"/>
      <c r="R1952" s="36"/>
      <c r="S1952" s="36" t="s">
        <v>2309</v>
      </c>
      <c r="T1952" s="36" t="s">
        <v>2310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25">
      <c r="N1953">
        <f t="shared" si="243"/>
        <v>0</v>
      </c>
      <c r="O1953" s="330"/>
      <c r="P1953" s="36"/>
      <c r="Q1953" s="36"/>
      <c r="R1953" s="36"/>
      <c r="S1953" s="36" t="s">
        <v>2309</v>
      </c>
      <c r="T1953" s="36" t="s">
        <v>2310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.75" thickBot="1" x14ac:dyDescent="0.3">
      <c r="N1954">
        <f t="shared" si="243"/>
        <v>0</v>
      </c>
      <c r="O1954" s="331"/>
      <c r="P1954" s="328"/>
      <c r="Q1954" s="328"/>
      <c r="R1954" s="328"/>
      <c r="S1954" s="328" t="s">
        <v>2309</v>
      </c>
      <c r="T1954" s="328" t="s">
        <v>2310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2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2313</v>
      </c>
      <c r="T1955" s="320" t="s">
        <v>2264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2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2313</v>
      </c>
      <c r="T1956" s="36" t="s">
        <v>2264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2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2313</v>
      </c>
      <c r="T1957" s="36" t="s">
        <v>2264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2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2313</v>
      </c>
      <c r="T1958" s="36" t="s">
        <v>2264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2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2313</v>
      </c>
      <c r="T1959" s="36" t="s">
        <v>2264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2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2313</v>
      </c>
      <c r="T1960" s="36" t="s">
        <v>2264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2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2313</v>
      </c>
      <c r="T1961" s="36" t="s">
        <v>2264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2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2313</v>
      </c>
      <c r="T1962" s="36" t="s">
        <v>2264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.75" thickBot="1" x14ac:dyDescent="0.3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2313</v>
      </c>
      <c r="T1963" s="328" t="s">
        <v>2264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2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2317</v>
      </c>
      <c r="T1964" s="320" t="s">
        <v>2103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2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2317</v>
      </c>
      <c r="T1965" s="36" t="s">
        <v>2103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2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2317</v>
      </c>
      <c r="T1966" s="36" t="s">
        <v>2103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2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2317</v>
      </c>
      <c r="T1967" s="36" t="s">
        <v>2103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2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2317</v>
      </c>
      <c r="T1968" s="36" t="s">
        <v>2103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.75" thickBot="1" x14ac:dyDescent="0.3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2317</v>
      </c>
      <c r="T1969" s="486" t="s">
        <v>2103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2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2323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2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2323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2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2323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2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2323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25">
      <c r="N1974">
        <f t="shared" si="243"/>
        <v>0</v>
      </c>
      <c r="O1974" s="3"/>
      <c r="P1974" s="36"/>
      <c r="Q1974" s="36"/>
      <c r="R1974" s="36"/>
      <c r="S1974" s="36"/>
      <c r="T1974" s="36" t="s">
        <v>2323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25">
      <c r="N1975">
        <f t="shared" si="243"/>
        <v>0</v>
      </c>
      <c r="O1975" s="3"/>
      <c r="P1975" s="36"/>
      <c r="Q1975" s="36"/>
      <c r="R1975" s="36"/>
      <c r="S1975" s="36"/>
      <c r="T1975" s="36" t="s">
        <v>2323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.75" thickBot="1" x14ac:dyDescent="0.3">
      <c r="N1976">
        <f t="shared" si="243"/>
        <v>0</v>
      </c>
      <c r="O1976" s="959"/>
      <c r="P1976" s="486"/>
      <c r="Q1976" s="486"/>
      <c r="R1976" s="486"/>
      <c r="S1976" s="486"/>
      <c r="T1976" s="486" t="s">
        <v>2323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2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2317</v>
      </c>
      <c r="T1977" s="320" t="s">
        <v>2339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2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2317</v>
      </c>
      <c r="T1978" s="36" t="s">
        <v>2339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2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2317</v>
      </c>
      <c r="T1979" s="36" t="s">
        <v>2339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2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2317</v>
      </c>
      <c r="T1980" s="36" t="s">
        <v>2339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2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2317</v>
      </c>
      <c r="T1981" s="36" t="s">
        <v>2339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.75" thickBot="1" x14ac:dyDescent="0.3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2317</v>
      </c>
      <c r="T1982" s="486" t="s">
        <v>2339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2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2317</v>
      </c>
      <c r="T1983" s="320" t="s">
        <v>2344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2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2317</v>
      </c>
      <c r="T1984" s="36" t="s">
        <v>2344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2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2317</v>
      </c>
      <c r="T1985" s="36" t="s">
        <v>2344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2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2317</v>
      </c>
      <c r="T1986" s="36" t="s">
        <v>2344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2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2317</v>
      </c>
      <c r="T1987" s="36" t="s">
        <v>2344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2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2317</v>
      </c>
      <c r="T1988" s="36" t="s">
        <v>2344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.75" thickBot="1" x14ac:dyDescent="0.3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2317</v>
      </c>
      <c r="T1989" s="486" t="s">
        <v>2344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2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2346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2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2346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2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2346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2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2346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2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2346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.75" thickBot="1" x14ac:dyDescent="0.3">
      <c r="N1995">
        <f t="shared" si="243"/>
        <v>0</v>
      </c>
      <c r="O1995" s="959"/>
      <c r="P1995" s="486"/>
      <c r="Q1995" s="486"/>
      <c r="R1995" s="486"/>
      <c r="S1995" s="486" t="s">
        <v>2346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25">
      <c r="N1996">
        <f t="shared" si="243"/>
        <v>22</v>
      </c>
      <c r="O1996" s="118">
        <v>1</v>
      </c>
      <c r="P1996" s="320">
        <v>2004484</v>
      </c>
      <c r="Q1996" s="320">
        <v>22</v>
      </c>
      <c r="R1996" s="320"/>
      <c r="S1996" s="320" t="s">
        <v>1198</v>
      </c>
      <c r="T1996" s="320" t="s">
        <v>2155</v>
      </c>
      <c r="U1996" s="320">
        <v>1283630</v>
      </c>
      <c r="V1996" s="319" t="s">
        <v>87</v>
      </c>
      <c r="W1996" s="320">
        <v>6</v>
      </c>
      <c r="X1996" s="320">
        <v>6</v>
      </c>
      <c r="Y1996" s="320">
        <v>6</v>
      </c>
      <c r="Z1996" s="320">
        <v>6</v>
      </c>
      <c r="AA1996" s="320">
        <v>2</v>
      </c>
      <c r="AB1996" s="320">
        <v>2</v>
      </c>
      <c r="AC1996" s="320">
        <v>6</v>
      </c>
      <c r="AD1996" s="320">
        <v>5</v>
      </c>
      <c r="AE1996" s="320">
        <v>3</v>
      </c>
      <c r="AF1996" s="320"/>
      <c r="AG1996" s="320">
        <v>1</v>
      </c>
      <c r="AH1996" s="320">
        <v>1</v>
      </c>
      <c r="AI1996" s="320">
        <v>1</v>
      </c>
      <c r="AJ1996" s="320">
        <v>4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25">
      <c r="N1997">
        <f t="shared" si="243"/>
        <v>28</v>
      </c>
      <c r="O1997" s="3">
        <v>2</v>
      </c>
      <c r="P1997" s="36">
        <v>1228502</v>
      </c>
      <c r="Q1997" s="36">
        <v>14</v>
      </c>
      <c r="R1997" s="36"/>
      <c r="S1997" s="36" t="s">
        <v>1198</v>
      </c>
      <c r="T1997" s="36" t="s">
        <v>2155</v>
      </c>
      <c r="U1997" s="36">
        <v>1283630</v>
      </c>
      <c r="V1997" s="165" t="s">
        <v>88</v>
      </c>
      <c r="W1997" s="36">
        <v>6</v>
      </c>
      <c r="X1997" s="36">
        <v>2</v>
      </c>
      <c r="Y1997" s="36">
        <v>2</v>
      </c>
      <c r="Z1997" s="36">
        <v>6</v>
      </c>
      <c r="AA1997" s="36">
        <v>5</v>
      </c>
      <c r="AB1997" s="36">
        <v>3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4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25">
      <c r="N1998">
        <f t="shared" si="243"/>
        <v>18</v>
      </c>
      <c r="O1998" s="3">
        <v>3</v>
      </c>
      <c r="P1998" s="36">
        <v>871781</v>
      </c>
      <c r="Q1998" s="36">
        <v>6</v>
      </c>
      <c r="R1998" s="36"/>
      <c r="S1998" s="36" t="s">
        <v>1198</v>
      </c>
      <c r="T1998" s="36" t="s">
        <v>2155</v>
      </c>
      <c r="U1998" s="36">
        <v>1283630</v>
      </c>
      <c r="V1998" s="165" t="s">
        <v>89</v>
      </c>
      <c r="W1998" s="36">
        <v>6</v>
      </c>
      <c r="X1998" s="36">
        <v>6</v>
      </c>
      <c r="Y1998" s="36">
        <v>6</v>
      </c>
      <c r="Z1998" s="36">
        <v>2</v>
      </c>
      <c r="AA1998" s="36">
        <v>2</v>
      </c>
      <c r="AB1998" s="36">
        <v>6</v>
      </c>
      <c r="AC1998" s="36">
        <v>5</v>
      </c>
      <c r="AD1998" s="36">
        <v>5</v>
      </c>
      <c r="AE1998" s="36">
        <v>3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25">
      <c r="N1999">
        <f t="shared" si="243"/>
        <v>12</v>
      </c>
      <c r="O1999" s="3">
        <v>4</v>
      </c>
      <c r="P1999" s="36">
        <v>1201518</v>
      </c>
      <c r="Q1999" s="36">
        <v>3</v>
      </c>
      <c r="R1999" s="36"/>
      <c r="S1999" s="36" t="s">
        <v>1198</v>
      </c>
      <c r="T1999" s="36" t="s">
        <v>2155</v>
      </c>
      <c r="U1999" s="36">
        <v>1283630</v>
      </c>
      <c r="V1999" s="165" t="s">
        <v>90</v>
      </c>
      <c r="W1999" s="36">
        <v>6</v>
      </c>
      <c r="X1999" s="36">
        <v>2</v>
      </c>
      <c r="Y1999" s="36">
        <v>2</v>
      </c>
      <c r="Z1999" s="36">
        <v>2</v>
      </c>
      <c r="AA1999" s="36">
        <v>6</v>
      </c>
      <c r="AB1999" s="36">
        <v>5</v>
      </c>
      <c r="AC1999" s="36">
        <v>3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25">
      <c r="N2000">
        <f t="shared" si="243"/>
        <v>35</v>
      </c>
      <c r="O2000" s="3">
        <v>5</v>
      </c>
      <c r="P2000" s="36">
        <v>1126402</v>
      </c>
      <c r="Q2000" s="36">
        <v>7</v>
      </c>
      <c r="R2000" s="36"/>
      <c r="S2000" s="36" t="s">
        <v>1198</v>
      </c>
      <c r="T2000" s="36" t="s">
        <v>2155</v>
      </c>
      <c r="U2000" s="36">
        <v>1283630</v>
      </c>
      <c r="V2000" s="165" t="s">
        <v>91</v>
      </c>
      <c r="W2000" s="36">
        <v>6</v>
      </c>
      <c r="X2000" s="36">
        <v>6</v>
      </c>
      <c r="Y2000" s="36">
        <v>6</v>
      </c>
      <c r="Z2000" s="36">
        <v>2</v>
      </c>
      <c r="AA2000" s="36">
        <v>2</v>
      </c>
      <c r="AB2000" s="36">
        <v>2</v>
      </c>
      <c r="AC2000" s="36">
        <v>6</v>
      </c>
      <c r="AD2000" s="36">
        <v>5</v>
      </c>
      <c r="AE2000" s="36">
        <v>3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25">
      <c r="K2001" s="569"/>
      <c r="N2001">
        <f t="shared" ref="N2001:N2006" si="245">O2001*Q2001</f>
        <v>120</v>
      </c>
      <c r="O2001" s="3">
        <v>6</v>
      </c>
      <c r="P2001" s="36">
        <v>2002299</v>
      </c>
      <c r="Q2001" s="36">
        <v>20</v>
      </c>
      <c r="R2001" s="36"/>
      <c r="S2001" s="36" t="s">
        <v>1198</v>
      </c>
      <c r="T2001" s="36" t="s">
        <v>2155</v>
      </c>
      <c r="U2001" s="36">
        <v>1283630</v>
      </c>
      <c r="V2001" s="165" t="s">
        <v>92</v>
      </c>
      <c r="W2001" s="36">
        <v>6</v>
      </c>
      <c r="X2001" s="36">
        <v>6</v>
      </c>
      <c r="Y2001" s="36">
        <v>2</v>
      </c>
      <c r="Z2001" s="36">
        <v>2</v>
      </c>
      <c r="AA2001" s="36">
        <v>6</v>
      </c>
      <c r="AB2001" s="36">
        <v>5</v>
      </c>
      <c r="AC2001" s="36">
        <v>3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4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2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2155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2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2155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2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2155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2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2155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.75" thickBot="1" x14ac:dyDescent="0.3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2155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2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2364</v>
      </c>
      <c r="T2007" s="38" t="s">
        <v>2365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2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2364</v>
      </c>
      <c r="T2008" s="36" t="s">
        <v>2365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2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2364</v>
      </c>
      <c r="T2009" s="36" t="s">
        <v>2365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2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2364</v>
      </c>
      <c r="T2010" s="36" t="s">
        <v>2365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2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2364</v>
      </c>
      <c r="T2011" s="36" t="s">
        <v>2365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2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2364</v>
      </c>
      <c r="T2012" s="36" t="s">
        <v>2365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2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2364</v>
      </c>
      <c r="T2013" s="36" t="s">
        <v>2365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.75" thickBot="1" x14ac:dyDescent="0.3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2364</v>
      </c>
      <c r="T2014" s="486" t="s">
        <v>2365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2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1939</v>
      </c>
      <c r="T2015" s="320" t="s">
        <v>2103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2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1939</v>
      </c>
      <c r="T2016" s="36" t="s">
        <v>2103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2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1939</v>
      </c>
      <c r="T2017" s="36" t="s">
        <v>2103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2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1939</v>
      </c>
      <c r="T2018" s="36" t="s">
        <v>2103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2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1939</v>
      </c>
      <c r="T2019" s="36" t="s">
        <v>2103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.75" thickBot="1" x14ac:dyDescent="0.3">
      <c r="N2020">
        <f t="shared" si="246"/>
        <v>0</v>
      </c>
      <c r="O2020" s="959"/>
      <c r="P2020" s="486"/>
      <c r="Q2020" s="486"/>
      <c r="R2020" s="486"/>
      <c r="S2020" s="486" t="s">
        <v>1939</v>
      </c>
      <c r="T2020" s="486" t="s">
        <v>2103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2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2317</v>
      </c>
      <c r="T2021" s="320" t="s">
        <v>2415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2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2317</v>
      </c>
      <c r="T2022" s="36" t="s">
        <v>2415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2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2317</v>
      </c>
      <c r="T2023" s="36" t="s">
        <v>2415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2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2317</v>
      </c>
      <c r="T2024" s="36" t="s">
        <v>2415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2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2317</v>
      </c>
      <c r="T2025" s="36" t="s">
        <v>2415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2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2317</v>
      </c>
      <c r="T2026" s="36" t="s">
        <v>2415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2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2317</v>
      </c>
      <c r="T2027" s="36" t="s">
        <v>2415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.75" thickBot="1" x14ac:dyDescent="0.3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2317</v>
      </c>
      <c r="T2028" s="486" t="s">
        <v>2415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2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2346</v>
      </c>
      <c r="T2029" s="320" t="s">
        <v>2424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2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2346</v>
      </c>
      <c r="T2030" s="36" t="s">
        <v>2424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2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2346</v>
      </c>
      <c r="T2031" s="36" t="s">
        <v>2424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2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2346</v>
      </c>
      <c r="T2032" s="36" t="s">
        <v>2424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.75" thickBot="1" x14ac:dyDescent="0.3">
      <c r="N2033">
        <f t="shared" si="246"/>
        <v>0</v>
      </c>
      <c r="O2033" s="76"/>
      <c r="P2033" s="328"/>
      <c r="Q2033" s="328"/>
      <c r="R2033" s="328"/>
      <c r="S2033" s="328" t="s">
        <v>2346</v>
      </c>
      <c r="T2033" s="328" t="s">
        <v>2424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2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2346</v>
      </c>
      <c r="T2034" s="320" t="s">
        <v>2155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2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2346</v>
      </c>
      <c r="T2035" s="36" t="s">
        <v>2155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2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2346</v>
      </c>
      <c r="T2036" s="36" t="s">
        <v>2155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2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2346</v>
      </c>
      <c r="T2037" s="36" t="s">
        <v>2155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2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2346</v>
      </c>
      <c r="T2038" s="36" t="s">
        <v>2155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.75" thickBot="1" x14ac:dyDescent="0.3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2346</v>
      </c>
      <c r="T2039" s="486" t="s">
        <v>2155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2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2431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2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2431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2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2431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2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2431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2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2431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.75" thickBot="1" x14ac:dyDescent="0.3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2431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2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2485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2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2485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2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2485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25">
      <c r="N2049">
        <f t="shared" si="246"/>
        <v>0</v>
      </c>
      <c r="O2049" s="3"/>
      <c r="P2049" s="36"/>
      <c r="Q2049" s="36"/>
      <c r="R2049" s="36"/>
      <c r="S2049" s="36" t="s">
        <v>2485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25">
      <c r="N2050">
        <f t="shared" si="246"/>
        <v>0</v>
      </c>
      <c r="O2050" s="3"/>
      <c r="P2050" s="36"/>
      <c r="Q2050" s="36"/>
      <c r="R2050" s="36"/>
      <c r="S2050" s="36" t="s">
        <v>2485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.75" thickBot="1" x14ac:dyDescent="0.3">
      <c r="N2051">
        <f t="shared" si="246"/>
        <v>0</v>
      </c>
      <c r="O2051" s="959"/>
      <c r="P2051" s="486"/>
      <c r="Q2051" s="486"/>
      <c r="R2051" s="486"/>
      <c r="S2051" s="486" t="s">
        <v>2485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2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2485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2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2485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2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2485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25">
      <c r="N2055">
        <f t="shared" si="246"/>
        <v>0</v>
      </c>
      <c r="O2055" s="3"/>
      <c r="P2055" s="36"/>
      <c r="Q2055" s="36"/>
      <c r="R2055" s="36"/>
      <c r="S2055" s="36" t="s">
        <v>2485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25">
      <c r="N2056">
        <f t="shared" si="246"/>
        <v>0</v>
      </c>
      <c r="O2056" s="3"/>
      <c r="P2056" s="36"/>
      <c r="Q2056" s="36"/>
      <c r="R2056" s="36"/>
      <c r="S2056" s="36" t="s">
        <v>2485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.75" thickBot="1" x14ac:dyDescent="0.3">
      <c r="N2057">
        <f t="shared" si="246"/>
        <v>0</v>
      </c>
      <c r="O2057" s="959"/>
      <c r="P2057" s="486"/>
      <c r="Q2057" s="486"/>
      <c r="R2057" s="486"/>
      <c r="S2057" s="486" t="s">
        <v>2485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2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2485</v>
      </c>
      <c r="T2058" s="320" t="s">
        <v>2487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2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2485</v>
      </c>
      <c r="T2059" s="36" t="s">
        <v>2487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2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2485</v>
      </c>
      <c r="T2060" s="36" t="s">
        <v>2487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25">
      <c r="N2061">
        <f t="shared" si="246"/>
        <v>0</v>
      </c>
      <c r="O2061" s="3"/>
      <c r="P2061" s="36"/>
      <c r="Q2061" s="36"/>
      <c r="R2061" s="36"/>
      <c r="S2061" s="36" t="s">
        <v>2485</v>
      </c>
      <c r="T2061" s="36" t="s">
        <v>2487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25">
      <c r="N2062">
        <f t="shared" si="246"/>
        <v>0</v>
      </c>
      <c r="O2062" s="3"/>
      <c r="P2062" s="36"/>
      <c r="Q2062" s="36"/>
      <c r="R2062" s="36"/>
      <c r="S2062" s="36" t="s">
        <v>2485</v>
      </c>
      <c r="T2062" s="36" t="s">
        <v>2487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.75" thickBot="1" x14ac:dyDescent="0.3">
      <c r="N2063">
        <f t="shared" si="246"/>
        <v>0</v>
      </c>
      <c r="O2063" s="76"/>
      <c r="P2063" s="328"/>
      <c r="Q2063" s="328"/>
      <c r="R2063" s="328"/>
      <c r="S2063" s="328" t="s">
        <v>2485</v>
      </c>
      <c r="T2063" s="328" t="s">
        <v>2487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2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2346</v>
      </c>
      <c r="T2064" s="320" t="s">
        <v>2155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2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2346</v>
      </c>
      <c r="T2065" s="36" t="s">
        <v>2155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2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2346</v>
      </c>
      <c r="T2066" s="36" t="s">
        <v>2155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2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2346</v>
      </c>
      <c r="T2067" s="36" t="s">
        <v>2155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2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2346</v>
      </c>
      <c r="T2068" s="36" t="s">
        <v>2155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.75" thickBot="1" x14ac:dyDescent="0.3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2346</v>
      </c>
      <c r="T2069" s="486" t="s">
        <v>2155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2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1942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2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1942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2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1942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2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1942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.75" thickBot="1" x14ac:dyDescent="0.3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1942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2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2521</v>
      </c>
      <c r="T2075" s="320" t="s">
        <v>2303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2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2521</v>
      </c>
      <c r="T2076" s="36" t="s">
        <v>2303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2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2521</v>
      </c>
      <c r="T2077" s="36" t="s">
        <v>2303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2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2521</v>
      </c>
      <c r="T2078" s="36" t="s">
        <v>2303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2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2521</v>
      </c>
      <c r="T2079" s="36" t="s">
        <v>2303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.75" thickBot="1" x14ac:dyDescent="0.3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2521</v>
      </c>
      <c r="T2080" s="486" t="s">
        <v>2303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.75" thickBot="1" x14ac:dyDescent="0.3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2485</v>
      </c>
      <c r="T2081" s="320" t="s">
        <v>2525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.75" thickBot="1" x14ac:dyDescent="0.3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2485</v>
      </c>
      <c r="T2082" s="36" t="s">
        <v>2525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.75" thickBot="1" x14ac:dyDescent="0.3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2485</v>
      </c>
      <c r="T2083" s="36" t="s">
        <v>2525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.75" thickBot="1" x14ac:dyDescent="0.3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2485</v>
      </c>
      <c r="T2084" s="36" t="s">
        <v>2525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.75" thickBot="1" x14ac:dyDescent="0.3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2485</v>
      </c>
      <c r="T2085" s="36" t="s">
        <v>2525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.75" thickBot="1" x14ac:dyDescent="0.3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2485</v>
      </c>
      <c r="T2086" s="36" t="s">
        <v>2525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.75" thickBot="1" x14ac:dyDescent="0.3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2485</v>
      </c>
      <c r="T2087" s="328" t="s">
        <v>2525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25">
      <c r="BF2088">
        <f>ROWS($U$46:U2088)</f>
        <v>2043</v>
      </c>
      <c r="BG2088" t="str">
        <f t="shared" si="247"/>
        <v/>
      </c>
    </row>
    <row r="2089" spans="14:59" x14ac:dyDescent="0.25">
      <c r="BF2089">
        <f>ROWS($U$46:U2089)</f>
        <v>2044</v>
      </c>
      <c r="BG2089" t="str">
        <f t="shared" si="247"/>
        <v/>
      </c>
    </row>
    <row r="2090" spans="14:59" x14ac:dyDescent="0.25">
      <c r="BF2090">
        <f>ROWS($U$46:U2090)</f>
        <v>2045</v>
      </c>
      <c r="BG2090" t="str">
        <f t="shared" si="247"/>
        <v/>
      </c>
    </row>
    <row r="2091" spans="14:59" x14ac:dyDescent="0.25">
      <c r="BF2091">
        <f>ROWS($U$46:U2091)</f>
        <v>2046</v>
      </c>
      <c r="BG2091" t="str">
        <f t="shared" si="247"/>
        <v/>
      </c>
    </row>
    <row r="2092" spans="14:59" x14ac:dyDescent="0.25">
      <c r="BF2092">
        <f>ROWS($U$46:U2092)</f>
        <v>2047</v>
      </c>
      <c r="BG2092" t="str">
        <f t="shared" si="247"/>
        <v/>
      </c>
    </row>
    <row r="2093" spans="14:59" x14ac:dyDescent="0.25">
      <c r="BF2093">
        <f>ROWS($U$46:U2093)</f>
        <v>2048</v>
      </c>
      <c r="BG2093" t="str">
        <f t="shared" si="247"/>
        <v/>
      </c>
    </row>
    <row r="2094" spans="14:59" x14ac:dyDescent="0.25">
      <c r="BF2094">
        <f>ROWS($U$46:U2094)</f>
        <v>2049</v>
      </c>
      <c r="BG2094" t="str">
        <f t="shared" si="247"/>
        <v/>
      </c>
    </row>
    <row r="2095" spans="14:59" x14ac:dyDescent="0.2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25">
      <c r="BF2096">
        <f>ROWS($U$46:U2096)</f>
        <v>2051</v>
      </c>
      <c r="BG2096" t="str">
        <f t="shared" si="249"/>
        <v/>
      </c>
    </row>
    <row r="2097" spans="58:59" x14ac:dyDescent="0.25">
      <c r="BF2097">
        <f>ROWS($U$46:U2097)</f>
        <v>2052</v>
      </c>
      <c r="BG2097" t="str">
        <f t="shared" si="249"/>
        <v/>
      </c>
    </row>
    <row r="2098" spans="58:59" x14ac:dyDescent="0.25">
      <c r="BF2098">
        <f>ROWS($U$46:U2098)</f>
        <v>2053</v>
      </c>
      <c r="BG2098" t="str">
        <f t="shared" si="249"/>
        <v/>
      </c>
    </row>
    <row r="2099" spans="58:59" x14ac:dyDescent="0.25">
      <c r="BF2099">
        <f>ROWS($U$46:U2099)</f>
        <v>2054</v>
      </c>
      <c r="BG2099" t="str">
        <f t="shared" si="249"/>
        <v/>
      </c>
    </row>
    <row r="2100" spans="58:59" x14ac:dyDescent="0.25">
      <c r="BF2100">
        <f>ROWS($U$46:U2100)</f>
        <v>2055</v>
      </c>
      <c r="BG2100" t="str">
        <f t="shared" si="249"/>
        <v/>
      </c>
    </row>
    <row r="2101" spans="58:59" x14ac:dyDescent="0.25">
      <c r="BF2101">
        <f>ROWS($U$46:U2101)</f>
        <v>2056</v>
      </c>
      <c r="BG2101" t="str">
        <f t="shared" si="249"/>
        <v/>
      </c>
    </row>
    <row r="2102" spans="58:59" x14ac:dyDescent="0.25">
      <c r="BF2102">
        <f>ROWS($U$46:U2102)</f>
        <v>2057</v>
      </c>
      <c r="BG2102" t="str">
        <f t="shared" si="249"/>
        <v/>
      </c>
    </row>
    <row r="2103" spans="58:59" x14ac:dyDescent="0.25">
      <c r="BF2103">
        <f>ROWS($U$46:U2103)</f>
        <v>2058</v>
      </c>
      <c r="BG2103" t="str">
        <f t="shared" si="249"/>
        <v/>
      </c>
    </row>
    <row r="2104" spans="58:59" x14ac:dyDescent="0.25">
      <c r="BF2104">
        <f>ROWS($U$46:U2104)</f>
        <v>2059</v>
      </c>
      <c r="BG2104" t="str">
        <f t="shared" si="249"/>
        <v/>
      </c>
    </row>
    <row r="2105" spans="58:59" x14ac:dyDescent="0.25">
      <c r="BF2105">
        <f>ROWS($U$46:U2105)</f>
        <v>2060</v>
      </c>
      <c r="BG2105" t="str">
        <f t="shared" si="249"/>
        <v/>
      </c>
    </row>
    <row r="2106" spans="58:59" x14ac:dyDescent="0.25">
      <c r="BF2106">
        <f>ROWS($U$46:U2106)</f>
        <v>2061</v>
      </c>
      <c r="BG2106" t="str">
        <f t="shared" si="249"/>
        <v/>
      </c>
    </row>
    <row r="2107" spans="58:59" x14ac:dyDescent="0.25">
      <c r="BF2107">
        <f>ROWS($U$46:U2107)</f>
        <v>2062</v>
      </c>
      <c r="BG2107" t="str">
        <f t="shared" si="249"/>
        <v/>
      </c>
    </row>
    <row r="2108" spans="58:59" x14ac:dyDescent="0.25">
      <c r="BF2108">
        <f>ROWS($U$46:U2108)</f>
        <v>2063</v>
      </c>
      <c r="BG2108" t="str">
        <f t="shared" si="249"/>
        <v/>
      </c>
    </row>
    <row r="2109" spans="58:59" x14ac:dyDescent="0.25">
      <c r="BF2109">
        <f>ROWS($U$46:U2109)</f>
        <v>2064</v>
      </c>
      <c r="BG2109" t="str">
        <f t="shared" si="249"/>
        <v/>
      </c>
    </row>
    <row r="2110" spans="58:59" x14ac:dyDescent="0.25">
      <c r="BF2110">
        <f>ROWS($U$46:U2110)</f>
        <v>2065</v>
      </c>
      <c r="BG2110" t="str">
        <f t="shared" si="249"/>
        <v/>
      </c>
    </row>
    <row r="2111" spans="58:59" x14ac:dyDescent="0.25">
      <c r="BF2111">
        <f>ROWS($U$46:U2111)</f>
        <v>2066</v>
      </c>
      <c r="BG2111" t="str">
        <f t="shared" si="249"/>
        <v/>
      </c>
    </row>
    <row r="2112" spans="58:59" x14ac:dyDescent="0.25">
      <c r="BF2112">
        <f>ROWS($U$46:U2112)</f>
        <v>2067</v>
      </c>
      <c r="BG2112" t="str">
        <f t="shared" si="249"/>
        <v/>
      </c>
    </row>
    <row r="2113" spans="58:59" x14ac:dyDescent="0.25">
      <c r="BF2113">
        <f>ROWS($U$46:U2113)</f>
        <v>2068</v>
      </c>
      <c r="BG2113" t="str">
        <f t="shared" si="249"/>
        <v/>
      </c>
    </row>
    <row r="2114" spans="58:59" x14ac:dyDescent="0.25">
      <c r="BF2114">
        <f>ROWS($U$46:U2114)</f>
        <v>2069</v>
      </c>
      <c r="BG2114" t="str">
        <f t="shared" si="249"/>
        <v/>
      </c>
    </row>
    <row r="2115" spans="58:59" x14ac:dyDescent="0.25">
      <c r="BF2115">
        <f>ROWS($U$46:U2115)</f>
        <v>2070</v>
      </c>
      <c r="BG2115" t="str">
        <f t="shared" si="249"/>
        <v/>
      </c>
    </row>
    <row r="2116" spans="58:59" x14ac:dyDescent="0.25">
      <c r="BF2116">
        <f>ROWS($U$46:U2116)</f>
        <v>2071</v>
      </c>
      <c r="BG2116" t="str">
        <f t="shared" si="249"/>
        <v/>
      </c>
    </row>
    <row r="2117" spans="58:59" x14ac:dyDescent="0.25">
      <c r="BF2117">
        <f>ROWS($U$46:U2117)</f>
        <v>2072</v>
      </c>
      <c r="BG2117" t="str">
        <f t="shared" si="249"/>
        <v/>
      </c>
    </row>
    <row r="2118" spans="58:59" x14ac:dyDescent="0.25">
      <c r="BF2118">
        <f>ROWS($U$46:U2118)</f>
        <v>2073</v>
      </c>
      <c r="BG2118" t="str">
        <f t="shared" si="249"/>
        <v/>
      </c>
    </row>
    <row r="2119" spans="58:59" x14ac:dyDescent="0.25">
      <c r="BF2119">
        <f>ROWS($U$46:U2119)</f>
        <v>2074</v>
      </c>
      <c r="BG2119" t="str">
        <f t="shared" si="249"/>
        <v/>
      </c>
    </row>
    <row r="2120" spans="58:59" x14ac:dyDescent="0.25">
      <c r="BF2120">
        <f>ROWS($U$46:U2120)</f>
        <v>2075</v>
      </c>
      <c r="BG2120" t="str">
        <f t="shared" si="249"/>
        <v/>
      </c>
    </row>
    <row r="2121" spans="58:59" x14ac:dyDescent="0.25">
      <c r="BF2121">
        <f>ROWS($U$46:U2121)</f>
        <v>2076</v>
      </c>
      <c r="BG2121" t="str">
        <f t="shared" si="249"/>
        <v/>
      </c>
    </row>
    <row r="2122" spans="58:59" x14ac:dyDescent="0.25">
      <c r="BF2122">
        <f>ROWS($U$46:U2122)</f>
        <v>2077</v>
      </c>
      <c r="BG2122" t="str">
        <f t="shared" si="249"/>
        <v/>
      </c>
    </row>
    <row r="2123" spans="58:59" x14ac:dyDescent="0.25">
      <c r="BF2123">
        <f>ROWS($U$46:U2123)</f>
        <v>2078</v>
      </c>
      <c r="BG2123" t="str">
        <f t="shared" si="249"/>
        <v/>
      </c>
    </row>
    <row r="2124" spans="58:59" x14ac:dyDescent="0.25">
      <c r="BF2124">
        <f>ROWS($U$46:U2124)</f>
        <v>2079</v>
      </c>
      <c r="BG2124" t="str">
        <f t="shared" si="249"/>
        <v/>
      </c>
    </row>
    <row r="2125" spans="58:59" x14ac:dyDescent="0.25">
      <c r="BF2125">
        <f>ROWS($U$46:U2125)</f>
        <v>2080</v>
      </c>
      <c r="BG2125" t="str">
        <f t="shared" si="249"/>
        <v/>
      </c>
    </row>
    <row r="2126" spans="58:59" x14ac:dyDescent="0.25">
      <c r="BF2126">
        <f>ROWS($U$46:U2126)</f>
        <v>2081</v>
      </c>
      <c r="BG2126" t="str">
        <f t="shared" si="249"/>
        <v/>
      </c>
    </row>
    <row r="2127" spans="58:59" x14ac:dyDescent="0.25">
      <c r="BF2127">
        <f>ROWS($U$46:U2127)</f>
        <v>2082</v>
      </c>
      <c r="BG2127" t="str">
        <f t="shared" si="249"/>
        <v/>
      </c>
    </row>
    <row r="2128" spans="58:59" x14ac:dyDescent="0.25">
      <c r="BF2128">
        <f>ROWS($U$46:U2128)</f>
        <v>2083</v>
      </c>
      <c r="BG2128" t="str">
        <f t="shared" si="249"/>
        <v/>
      </c>
    </row>
    <row r="2129" spans="58:59" x14ac:dyDescent="0.25">
      <c r="BF2129">
        <f>ROWS($U$46:U2129)</f>
        <v>2084</v>
      </c>
      <c r="BG2129" t="str">
        <f t="shared" si="249"/>
        <v/>
      </c>
    </row>
    <row r="2130" spans="58:59" x14ac:dyDescent="0.25">
      <c r="BF2130">
        <f>ROWS($U$46:U2130)</f>
        <v>2085</v>
      </c>
      <c r="BG2130" t="str">
        <f t="shared" si="249"/>
        <v/>
      </c>
    </row>
    <row r="2131" spans="58:59" x14ac:dyDescent="0.25">
      <c r="BF2131">
        <f>ROWS($U$46:U2131)</f>
        <v>2086</v>
      </c>
      <c r="BG2131" t="str">
        <f t="shared" si="249"/>
        <v/>
      </c>
    </row>
    <row r="2132" spans="58:59" x14ac:dyDescent="0.25">
      <c r="BF2132">
        <f>ROWS($U$46:U2132)</f>
        <v>2087</v>
      </c>
      <c r="BG2132" t="str">
        <f t="shared" si="249"/>
        <v/>
      </c>
    </row>
    <row r="2133" spans="58:59" x14ac:dyDescent="0.25">
      <c r="BF2133">
        <f>ROWS($U$46:U2133)</f>
        <v>2088</v>
      </c>
      <c r="BG2133" t="str">
        <f t="shared" si="249"/>
        <v/>
      </c>
    </row>
    <row r="2134" spans="58:59" x14ac:dyDescent="0.25">
      <c r="BF2134">
        <f>ROWS($U$46:U2134)</f>
        <v>2089</v>
      </c>
      <c r="BG2134" t="str">
        <f t="shared" si="249"/>
        <v/>
      </c>
    </row>
    <row r="2135" spans="58:59" x14ac:dyDescent="0.25">
      <c r="BF2135">
        <f>ROWS($U$46:U2135)</f>
        <v>2090</v>
      </c>
      <c r="BG2135" t="str">
        <f t="shared" si="249"/>
        <v/>
      </c>
    </row>
    <row r="2136" spans="58:59" x14ac:dyDescent="0.25">
      <c r="BF2136">
        <f>ROWS($U$46:U2136)</f>
        <v>2091</v>
      </c>
      <c r="BG2136" t="str">
        <f t="shared" si="249"/>
        <v/>
      </c>
    </row>
    <row r="2137" spans="58:59" x14ac:dyDescent="0.25">
      <c r="BF2137">
        <f>ROWS($U$46:U2137)</f>
        <v>2092</v>
      </c>
      <c r="BG2137" t="str">
        <f t="shared" si="249"/>
        <v/>
      </c>
    </row>
    <row r="2138" spans="58:59" x14ac:dyDescent="0.25">
      <c r="BF2138">
        <f>ROWS($U$46:U2138)</f>
        <v>2093</v>
      </c>
      <c r="BG2138" t="str">
        <f t="shared" si="249"/>
        <v/>
      </c>
    </row>
    <row r="2139" spans="58:59" x14ac:dyDescent="0.25">
      <c r="BF2139">
        <f>ROWS($U$46:U2139)</f>
        <v>2094</v>
      </c>
      <c r="BG2139" t="str">
        <f t="shared" si="249"/>
        <v/>
      </c>
    </row>
    <row r="2140" spans="58:59" x14ac:dyDescent="0.25">
      <c r="BF2140">
        <f>ROWS($U$46:U2140)</f>
        <v>2095</v>
      </c>
      <c r="BG2140" t="str">
        <f t="shared" si="249"/>
        <v/>
      </c>
    </row>
    <row r="2141" spans="58:59" x14ac:dyDescent="0.25">
      <c r="BF2141">
        <f>ROWS($U$46:U2141)</f>
        <v>2096</v>
      </c>
      <c r="BG2141" t="str">
        <f t="shared" si="249"/>
        <v/>
      </c>
    </row>
    <row r="2142" spans="58:59" x14ac:dyDescent="0.25">
      <c r="BF2142">
        <f>ROWS($U$46:U2142)</f>
        <v>2097</v>
      </c>
      <c r="BG2142" t="str">
        <f t="shared" si="249"/>
        <v/>
      </c>
    </row>
    <row r="2143" spans="58:59" x14ac:dyDescent="0.25">
      <c r="BF2143">
        <f>ROWS($U$46:U2143)</f>
        <v>2098</v>
      </c>
      <c r="BG2143" t="str">
        <f t="shared" si="249"/>
        <v/>
      </c>
    </row>
    <row r="2144" spans="58:59" x14ac:dyDescent="0.25">
      <c r="BF2144">
        <f>ROWS($U$46:U2144)</f>
        <v>2099</v>
      </c>
      <c r="BG2144" t="str">
        <f t="shared" si="249"/>
        <v/>
      </c>
    </row>
    <row r="2145" spans="58:59" x14ac:dyDescent="0.25">
      <c r="BF2145">
        <f>ROWS($U$46:U2145)</f>
        <v>2100</v>
      </c>
      <c r="BG2145" t="str">
        <f t="shared" si="249"/>
        <v/>
      </c>
    </row>
    <row r="2146" spans="58:59" x14ac:dyDescent="0.25">
      <c r="BF2146">
        <f>ROWS($U$46:U2146)</f>
        <v>2101</v>
      </c>
      <c r="BG2146" t="str">
        <f t="shared" si="249"/>
        <v/>
      </c>
    </row>
    <row r="2147" spans="58:59" x14ac:dyDescent="0.25">
      <c r="BF2147">
        <f>ROWS($U$46:U2147)</f>
        <v>2102</v>
      </c>
      <c r="BG2147" t="str">
        <f t="shared" si="249"/>
        <v/>
      </c>
    </row>
    <row r="2148" spans="58:59" x14ac:dyDescent="0.25">
      <c r="BF2148">
        <f>ROWS($U$46:U2148)</f>
        <v>2103</v>
      </c>
      <c r="BG2148" t="str">
        <f t="shared" si="249"/>
        <v/>
      </c>
    </row>
    <row r="2149" spans="58:59" x14ac:dyDescent="0.25">
      <c r="BF2149">
        <f>ROWS($U$46:U2149)</f>
        <v>2104</v>
      </c>
      <c r="BG2149" t="str">
        <f t="shared" si="249"/>
        <v/>
      </c>
    </row>
    <row r="2150" spans="58:59" x14ac:dyDescent="0.25">
      <c r="BF2150">
        <f>ROWS($U$46:U2150)</f>
        <v>2105</v>
      </c>
      <c r="BG2150" t="str">
        <f t="shared" si="249"/>
        <v/>
      </c>
    </row>
    <row r="2151" spans="58:59" x14ac:dyDescent="0.25">
      <c r="BF2151">
        <f>ROWS($U$46:U2151)</f>
        <v>2106</v>
      </c>
      <c r="BG2151" t="str">
        <f t="shared" si="249"/>
        <v/>
      </c>
    </row>
    <row r="2152" spans="58:59" x14ac:dyDescent="0.25">
      <c r="BF2152">
        <f>ROWS($U$46:U2152)</f>
        <v>2107</v>
      </c>
      <c r="BG2152" t="str">
        <f t="shared" si="249"/>
        <v/>
      </c>
    </row>
    <row r="2153" spans="58:59" x14ac:dyDescent="0.25">
      <c r="BF2153">
        <f>ROWS($U$46:U2153)</f>
        <v>2108</v>
      </c>
      <c r="BG2153" t="str">
        <f t="shared" si="249"/>
        <v/>
      </c>
    </row>
    <row r="2154" spans="58:59" x14ac:dyDescent="0.25">
      <c r="BF2154">
        <f>ROWS($U$46:U2154)</f>
        <v>2109</v>
      </c>
      <c r="BG2154" t="str">
        <f t="shared" si="249"/>
        <v/>
      </c>
    </row>
    <row r="2155" spans="58:59" x14ac:dyDescent="0.25">
      <c r="BF2155">
        <f>ROWS($U$46:U2155)</f>
        <v>2110</v>
      </c>
      <c r="BG2155" t="str">
        <f t="shared" si="249"/>
        <v/>
      </c>
    </row>
    <row r="2156" spans="58:59" x14ac:dyDescent="0.25">
      <c r="BF2156">
        <f>ROWS($U$46:U2156)</f>
        <v>2111</v>
      </c>
      <c r="BG2156" t="str">
        <f t="shared" si="249"/>
        <v/>
      </c>
    </row>
    <row r="2157" spans="58:59" x14ac:dyDescent="0.25">
      <c r="BF2157">
        <f>ROWS($U$46:U2157)</f>
        <v>2112</v>
      </c>
      <c r="BG2157" t="str">
        <f t="shared" si="249"/>
        <v/>
      </c>
    </row>
    <row r="2158" spans="58:59" x14ac:dyDescent="0.25">
      <c r="BF2158">
        <f>ROWS($U$46:U2158)</f>
        <v>2113</v>
      </c>
      <c r="BG2158" t="str">
        <f t="shared" si="249"/>
        <v/>
      </c>
    </row>
    <row r="2159" spans="58:59" x14ac:dyDescent="0.2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25">
      <c r="BF2160">
        <f>ROWS($U$46:U2160)</f>
        <v>2115</v>
      </c>
      <c r="BG2160" t="str">
        <f t="shared" si="250"/>
        <v/>
      </c>
    </row>
    <row r="2161" spans="58:59" x14ac:dyDescent="0.25">
      <c r="BF2161">
        <f>ROWS($U$46:U2161)</f>
        <v>2116</v>
      </c>
      <c r="BG2161" t="str">
        <f t="shared" si="250"/>
        <v/>
      </c>
    </row>
    <row r="2162" spans="58:59" x14ac:dyDescent="0.25">
      <c r="BF2162">
        <f>ROWS($U$46:U2162)</f>
        <v>2117</v>
      </c>
      <c r="BG2162" t="str">
        <f t="shared" si="250"/>
        <v/>
      </c>
    </row>
    <row r="2163" spans="58:59" x14ac:dyDescent="0.25">
      <c r="BF2163">
        <f>ROWS($U$46:U2163)</f>
        <v>2118</v>
      </c>
      <c r="BG2163" t="str">
        <f t="shared" si="250"/>
        <v/>
      </c>
    </row>
    <row r="2164" spans="58:59" x14ac:dyDescent="0.25">
      <c r="BF2164">
        <f>ROWS($U$46:U2164)</f>
        <v>2119</v>
      </c>
      <c r="BG2164" t="str">
        <f t="shared" si="250"/>
        <v/>
      </c>
    </row>
    <row r="2165" spans="58:59" x14ac:dyDescent="0.25">
      <c r="BF2165">
        <f>ROWS($U$46:U2165)</f>
        <v>2120</v>
      </c>
      <c r="BG2165" t="str">
        <f t="shared" si="250"/>
        <v/>
      </c>
    </row>
    <row r="2166" spans="58:59" x14ac:dyDescent="0.25">
      <c r="BF2166">
        <f>ROWS($U$46:U2166)</f>
        <v>2121</v>
      </c>
      <c r="BG2166" t="str">
        <f t="shared" si="250"/>
        <v/>
      </c>
    </row>
    <row r="2167" spans="58:59" x14ac:dyDescent="0.25">
      <c r="BF2167">
        <f>ROWS($U$46:U2167)</f>
        <v>2122</v>
      </c>
      <c r="BG2167" t="str">
        <f t="shared" si="250"/>
        <v/>
      </c>
    </row>
    <row r="2168" spans="58:59" x14ac:dyDescent="0.25">
      <c r="BF2168">
        <f>ROWS($U$46:U2168)</f>
        <v>2123</v>
      </c>
      <c r="BG2168" t="str">
        <f t="shared" si="250"/>
        <v/>
      </c>
    </row>
    <row r="2169" spans="58:59" x14ac:dyDescent="0.25">
      <c r="BF2169">
        <f>ROWS($U$46:U2169)</f>
        <v>2124</v>
      </c>
      <c r="BG2169" t="str">
        <f t="shared" si="250"/>
        <v/>
      </c>
    </row>
    <row r="2170" spans="58:59" x14ac:dyDescent="0.25">
      <c r="BF2170">
        <f>ROWS($U$46:U2170)</f>
        <v>2125</v>
      </c>
      <c r="BG2170" t="str">
        <f t="shared" si="250"/>
        <v/>
      </c>
    </row>
    <row r="2171" spans="58:59" x14ac:dyDescent="0.25">
      <c r="BF2171">
        <f>ROWS($U$46:U2171)</f>
        <v>2126</v>
      </c>
      <c r="BG2171" t="str">
        <f t="shared" si="250"/>
        <v/>
      </c>
    </row>
    <row r="2172" spans="58:59" x14ac:dyDescent="0.25">
      <c r="BF2172">
        <f>ROWS($U$46:U2172)</f>
        <v>2127</v>
      </c>
      <c r="BG2172" t="str">
        <f t="shared" si="250"/>
        <v/>
      </c>
    </row>
    <row r="2173" spans="58:59" x14ac:dyDescent="0.25">
      <c r="BF2173">
        <f>ROWS($U$46:U2173)</f>
        <v>2128</v>
      </c>
      <c r="BG2173" t="str">
        <f t="shared" si="250"/>
        <v/>
      </c>
    </row>
    <row r="2174" spans="58:59" x14ac:dyDescent="0.25">
      <c r="BF2174">
        <f>ROWS($U$46:U2174)</f>
        <v>2129</v>
      </c>
      <c r="BG2174" t="str">
        <f t="shared" si="250"/>
        <v/>
      </c>
    </row>
    <row r="2175" spans="58:59" x14ac:dyDescent="0.25">
      <c r="BF2175">
        <f>ROWS($U$46:U2175)</f>
        <v>2130</v>
      </c>
      <c r="BG2175" t="str">
        <f t="shared" si="250"/>
        <v/>
      </c>
    </row>
    <row r="2176" spans="58:59" x14ac:dyDescent="0.25">
      <c r="BF2176">
        <f>ROWS($U$46:U2176)</f>
        <v>2131</v>
      </c>
      <c r="BG2176" t="str">
        <f t="shared" si="250"/>
        <v/>
      </c>
    </row>
    <row r="2177" spans="58:59" x14ac:dyDescent="0.25">
      <c r="BF2177">
        <f>ROWS($U$46:U2177)</f>
        <v>2132</v>
      </c>
      <c r="BG2177" t="str">
        <f t="shared" si="250"/>
        <v/>
      </c>
    </row>
    <row r="2178" spans="58:59" x14ac:dyDescent="0.25">
      <c r="BF2178">
        <f>ROWS($U$46:U2178)</f>
        <v>2133</v>
      </c>
      <c r="BG2178" t="str">
        <f t="shared" si="250"/>
        <v/>
      </c>
    </row>
    <row r="2179" spans="58:59" x14ac:dyDescent="0.25">
      <c r="BF2179">
        <f>ROWS($U$46:U2179)</f>
        <v>2134</v>
      </c>
      <c r="BG2179" t="str">
        <f t="shared" si="250"/>
        <v/>
      </c>
    </row>
    <row r="2180" spans="58:59" x14ac:dyDescent="0.25">
      <c r="BF2180">
        <f>ROWS($U$46:U2180)</f>
        <v>2135</v>
      </c>
      <c r="BG2180" t="str">
        <f t="shared" si="250"/>
        <v/>
      </c>
    </row>
    <row r="2181" spans="58:59" x14ac:dyDescent="0.25">
      <c r="BF2181">
        <f>ROWS($U$46:U2181)</f>
        <v>2136</v>
      </c>
      <c r="BG2181" t="str">
        <f t="shared" si="250"/>
        <v/>
      </c>
    </row>
    <row r="2182" spans="58:59" x14ac:dyDescent="0.25">
      <c r="BF2182">
        <f>ROWS($U$46:U2182)</f>
        <v>2137</v>
      </c>
      <c r="BG2182" t="str">
        <f t="shared" si="250"/>
        <v/>
      </c>
    </row>
    <row r="2183" spans="58:59" x14ac:dyDescent="0.25">
      <c r="BF2183">
        <f>ROWS($U$46:U2183)</f>
        <v>2138</v>
      </c>
      <c r="BG2183" t="str">
        <f t="shared" si="250"/>
        <v/>
      </c>
    </row>
    <row r="2184" spans="58:59" x14ac:dyDescent="0.25">
      <c r="BF2184">
        <f>ROWS($U$46:U2184)</f>
        <v>2139</v>
      </c>
      <c r="BG2184" t="str">
        <f t="shared" si="250"/>
        <v/>
      </c>
    </row>
    <row r="2185" spans="58:59" x14ac:dyDescent="0.25">
      <c r="BF2185">
        <f>ROWS($U$46:U2185)</f>
        <v>2140</v>
      </c>
      <c r="BG2185" t="str">
        <f t="shared" si="250"/>
        <v/>
      </c>
    </row>
    <row r="2186" spans="58:59" x14ac:dyDescent="0.25">
      <c r="BF2186">
        <f>ROWS($U$46:U2186)</f>
        <v>2141</v>
      </c>
      <c r="BG2186" t="str">
        <f t="shared" si="250"/>
        <v/>
      </c>
    </row>
    <row r="2187" spans="58:59" x14ac:dyDescent="0.25">
      <c r="BF2187">
        <f>ROWS($U$46:U2187)</f>
        <v>2142</v>
      </c>
      <c r="BG2187" t="str">
        <f t="shared" si="250"/>
        <v/>
      </c>
    </row>
    <row r="2188" spans="58:59" x14ac:dyDescent="0.25">
      <c r="BF2188">
        <f>ROWS($U$46:U2188)</f>
        <v>2143</v>
      </c>
      <c r="BG2188" t="str">
        <f t="shared" si="250"/>
        <v/>
      </c>
    </row>
    <row r="2189" spans="58:59" x14ac:dyDescent="0.25">
      <c r="BF2189">
        <f>ROWS($U$46:U2189)</f>
        <v>2144</v>
      </c>
      <c r="BG2189" t="str">
        <f t="shared" si="250"/>
        <v/>
      </c>
    </row>
    <row r="2190" spans="58:59" x14ac:dyDescent="0.25">
      <c r="BF2190">
        <f>ROWS($U$46:U2190)</f>
        <v>2145</v>
      </c>
      <c r="BG2190" t="str">
        <f t="shared" si="250"/>
        <v/>
      </c>
    </row>
    <row r="2191" spans="58:59" x14ac:dyDescent="0.25">
      <c r="BF2191">
        <f>ROWS($U$46:U2191)</f>
        <v>2146</v>
      </c>
      <c r="BG2191" t="str">
        <f t="shared" si="250"/>
        <v/>
      </c>
    </row>
    <row r="2192" spans="58:59" x14ac:dyDescent="0.25">
      <c r="BF2192">
        <f>ROWS($U$46:U2192)</f>
        <v>2147</v>
      </c>
      <c r="BG2192" t="str">
        <f t="shared" si="250"/>
        <v/>
      </c>
    </row>
    <row r="2193" spans="58:59" x14ac:dyDescent="0.25">
      <c r="BF2193">
        <f>ROWS($U$46:U2193)</f>
        <v>2148</v>
      </c>
      <c r="BG2193" t="str">
        <f t="shared" si="250"/>
        <v/>
      </c>
    </row>
    <row r="2194" spans="58:59" x14ac:dyDescent="0.25">
      <c r="BF2194">
        <f>ROWS($U$46:U2194)</f>
        <v>2149</v>
      </c>
      <c r="BG2194" t="str">
        <f t="shared" si="250"/>
        <v/>
      </c>
    </row>
    <row r="2195" spans="58:59" x14ac:dyDescent="0.25">
      <c r="BF2195">
        <f>ROWS($U$46:U2195)</f>
        <v>2150</v>
      </c>
      <c r="BG2195" t="str">
        <f t="shared" si="250"/>
        <v/>
      </c>
    </row>
    <row r="2196" spans="58:59" x14ac:dyDescent="0.25">
      <c r="BF2196">
        <f>ROWS($U$46:U2196)</f>
        <v>2151</v>
      </c>
      <c r="BG2196" t="str">
        <f t="shared" si="250"/>
        <v/>
      </c>
    </row>
    <row r="2197" spans="58:59" x14ac:dyDescent="0.25">
      <c r="BF2197">
        <f>ROWS($U$46:U2197)</f>
        <v>2152</v>
      </c>
      <c r="BG2197" t="str">
        <f t="shared" si="250"/>
        <v/>
      </c>
    </row>
    <row r="2198" spans="58:59" x14ac:dyDescent="0.25">
      <c r="BF2198">
        <f>ROWS($U$46:U2198)</f>
        <v>2153</v>
      </c>
      <c r="BG2198" t="str">
        <f t="shared" si="250"/>
        <v/>
      </c>
    </row>
    <row r="2199" spans="58:59" x14ac:dyDescent="0.25">
      <c r="BF2199">
        <f>ROWS($U$46:U2199)</f>
        <v>2154</v>
      </c>
      <c r="BG2199" t="str">
        <f t="shared" si="250"/>
        <v/>
      </c>
    </row>
    <row r="2200" spans="58:59" x14ac:dyDescent="0.25">
      <c r="BF2200">
        <f>ROWS($U$46:U2200)</f>
        <v>2155</v>
      </c>
      <c r="BG2200" t="str">
        <f t="shared" si="250"/>
        <v/>
      </c>
    </row>
    <row r="2201" spans="58:59" x14ac:dyDescent="0.25">
      <c r="BF2201">
        <f>ROWS($U$46:U2201)</f>
        <v>2156</v>
      </c>
      <c r="BG2201" t="str">
        <f t="shared" si="250"/>
        <v/>
      </c>
    </row>
    <row r="2202" spans="58:59" x14ac:dyDescent="0.25">
      <c r="BF2202">
        <f>ROWS($U$46:U2202)</f>
        <v>2157</v>
      </c>
      <c r="BG2202" t="str">
        <f t="shared" si="250"/>
        <v/>
      </c>
    </row>
    <row r="2203" spans="58:59" x14ac:dyDescent="0.25">
      <c r="BF2203">
        <f>ROWS($U$46:U2203)</f>
        <v>2158</v>
      </c>
      <c r="BG2203" t="str">
        <f t="shared" si="250"/>
        <v/>
      </c>
    </row>
    <row r="2204" spans="58:59" x14ac:dyDescent="0.25">
      <c r="BF2204">
        <f>ROWS($U$46:U2204)</f>
        <v>2159</v>
      </c>
      <c r="BG2204" t="str">
        <f t="shared" si="250"/>
        <v/>
      </c>
    </row>
    <row r="2205" spans="58:59" x14ac:dyDescent="0.25">
      <c r="BF2205">
        <f>ROWS($U$46:U2205)</f>
        <v>2160</v>
      </c>
      <c r="BG2205" t="str">
        <f t="shared" si="250"/>
        <v/>
      </c>
    </row>
    <row r="2206" spans="58:59" x14ac:dyDescent="0.25">
      <c r="BF2206">
        <f>ROWS($U$46:U2206)</f>
        <v>2161</v>
      </c>
      <c r="BG2206" t="str">
        <f t="shared" si="250"/>
        <v/>
      </c>
    </row>
    <row r="2207" spans="58:59" x14ac:dyDescent="0.25">
      <c r="BF2207">
        <f>ROWS($U$46:U2207)</f>
        <v>2162</v>
      </c>
      <c r="BG2207" t="str">
        <f t="shared" si="250"/>
        <v/>
      </c>
    </row>
    <row r="2208" spans="58:59" x14ac:dyDescent="0.25">
      <c r="BF2208">
        <f>ROWS($U$46:U2208)</f>
        <v>2163</v>
      </c>
      <c r="BG2208" t="str">
        <f t="shared" si="250"/>
        <v/>
      </c>
    </row>
    <row r="2209" spans="58:59" x14ac:dyDescent="0.25">
      <c r="BF2209">
        <f>ROWS($U$46:U2209)</f>
        <v>2164</v>
      </c>
      <c r="BG2209" t="str">
        <f t="shared" si="250"/>
        <v/>
      </c>
    </row>
    <row r="2210" spans="58:59" x14ac:dyDescent="0.25">
      <c r="BF2210">
        <f>ROWS($U$46:U2210)</f>
        <v>2165</v>
      </c>
      <c r="BG2210" t="str">
        <f t="shared" si="250"/>
        <v/>
      </c>
    </row>
    <row r="2211" spans="58:59" x14ac:dyDescent="0.25">
      <c r="BF2211">
        <f>ROWS($U$46:U2211)</f>
        <v>2166</v>
      </c>
      <c r="BG2211" t="str">
        <f t="shared" si="250"/>
        <v/>
      </c>
    </row>
    <row r="2212" spans="58:59" x14ac:dyDescent="0.25">
      <c r="BF2212">
        <f>ROWS($U$46:U2212)</f>
        <v>2167</v>
      </c>
      <c r="BG2212" t="str">
        <f t="shared" si="250"/>
        <v/>
      </c>
    </row>
    <row r="2213" spans="58:59" x14ac:dyDescent="0.25">
      <c r="BF2213">
        <f>ROWS($U$46:U2213)</f>
        <v>2168</v>
      </c>
      <c r="BG2213" t="str">
        <f t="shared" si="250"/>
        <v/>
      </c>
    </row>
    <row r="2214" spans="58:59" x14ac:dyDescent="0.25">
      <c r="BF2214">
        <f>ROWS($U$46:U2214)</f>
        <v>2169</v>
      </c>
      <c r="BG2214" t="str">
        <f t="shared" si="250"/>
        <v/>
      </c>
    </row>
    <row r="2215" spans="58:59" x14ac:dyDescent="0.25">
      <c r="BF2215">
        <f>ROWS($U$46:U2215)</f>
        <v>2170</v>
      </c>
      <c r="BG2215" t="str">
        <f t="shared" si="250"/>
        <v/>
      </c>
    </row>
    <row r="2216" spans="58:59" x14ac:dyDescent="0.25">
      <c r="BF2216">
        <f>ROWS($U$46:U2216)</f>
        <v>2171</v>
      </c>
      <c r="BG2216" t="str">
        <f t="shared" si="250"/>
        <v/>
      </c>
    </row>
    <row r="2217" spans="58:59" x14ac:dyDescent="0.25">
      <c r="BF2217">
        <f>ROWS($U$46:U2217)</f>
        <v>2172</v>
      </c>
      <c r="BG2217" t="str">
        <f t="shared" si="250"/>
        <v/>
      </c>
    </row>
    <row r="2218" spans="58:59" x14ac:dyDescent="0.25">
      <c r="BF2218">
        <f>ROWS($U$46:U2218)</f>
        <v>2173</v>
      </c>
      <c r="BG2218" t="str">
        <f t="shared" si="250"/>
        <v/>
      </c>
    </row>
    <row r="2219" spans="58:59" x14ac:dyDescent="0.25">
      <c r="BF2219">
        <f>ROWS($U$46:U2219)</f>
        <v>2174</v>
      </c>
      <c r="BG2219" t="str">
        <f t="shared" si="250"/>
        <v/>
      </c>
    </row>
    <row r="2220" spans="58:59" x14ac:dyDescent="0.25">
      <c r="BF2220">
        <f>ROWS($U$46:U2220)</f>
        <v>2175</v>
      </c>
      <c r="BG2220" t="str">
        <f t="shared" si="250"/>
        <v/>
      </c>
    </row>
    <row r="2221" spans="58:59" x14ac:dyDescent="0.25">
      <c r="BF2221">
        <f>ROWS($U$46:U2221)</f>
        <v>2176</v>
      </c>
      <c r="BG2221" t="str">
        <f t="shared" si="250"/>
        <v/>
      </c>
    </row>
    <row r="2222" spans="58:59" x14ac:dyDescent="0.25">
      <c r="BF2222">
        <f>ROWS($U$46:U2222)</f>
        <v>2177</v>
      </c>
      <c r="BG2222" t="str">
        <f t="shared" si="250"/>
        <v/>
      </c>
    </row>
    <row r="2223" spans="58:59" x14ac:dyDescent="0.2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25">
      <c r="BF2224">
        <f>ROWS($U$46:U2224)</f>
        <v>2179</v>
      </c>
      <c r="BG2224" t="str">
        <f t="shared" si="251"/>
        <v/>
      </c>
    </row>
    <row r="2225" spans="58:59" x14ac:dyDescent="0.25">
      <c r="BF2225">
        <f>ROWS($U$46:U2225)</f>
        <v>2180</v>
      </c>
      <c r="BG2225" t="str">
        <f t="shared" si="251"/>
        <v/>
      </c>
    </row>
    <row r="2226" spans="58:59" x14ac:dyDescent="0.25">
      <c r="BF2226">
        <f>ROWS($U$46:U2226)</f>
        <v>2181</v>
      </c>
      <c r="BG2226" t="str">
        <f t="shared" si="251"/>
        <v/>
      </c>
    </row>
    <row r="2227" spans="58:59" x14ac:dyDescent="0.25">
      <c r="BF2227">
        <f>ROWS($U$46:U2227)</f>
        <v>2182</v>
      </c>
      <c r="BG2227" t="str">
        <f t="shared" si="251"/>
        <v/>
      </c>
    </row>
    <row r="2228" spans="58:59" x14ac:dyDescent="0.25">
      <c r="BF2228">
        <f>ROWS($U$46:U2228)</f>
        <v>2183</v>
      </c>
      <c r="BG2228" t="str">
        <f t="shared" si="251"/>
        <v/>
      </c>
    </row>
    <row r="2229" spans="58:59" x14ac:dyDescent="0.25">
      <c r="BF2229">
        <f>ROWS($U$46:U2229)</f>
        <v>2184</v>
      </c>
      <c r="BG2229" t="str">
        <f t="shared" si="251"/>
        <v/>
      </c>
    </row>
    <row r="2230" spans="58:59" x14ac:dyDescent="0.25">
      <c r="BF2230">
        <f>ROWS($U$46:U2230)</f>
        <v>2185</v>
      </c>
      <c r="BG2230" t="str">
        <f t="shared" si="251"/>
        <v/>
      </c>
    </row>
    <row r="2231" spans="58:59" x14ac:dyDescent="0.25">
      <c r="BF2231">
        <f>ROWS($U$46:U2231)</f>
        <v>2186</v>
      </c>
      <c r="BG2231" t="str">
        <f t="shared" si="251"/>
        <v/>
      </c>
    </row>
    <row r="2232" spans="58:59" x14ac:dyDescent="0.25">
      <c r="BF2232">
        <f>ROWS($U$46:U2232)</f>
        <v>2187</v>
      </c>
      <c r="BG2232" t="str">
        <f t="shared" si="251"/>
        <v/>
      </c>
    </row>
    <row r="2233" spans="58:59" x14ac:dyDescent="0.25">
      <c r="BF2233">
        <f>ROWS($U$46:U2233)</f>
        <v>2188</v>
      </c>
      <c r="BG2233" t="str">
        <f t="shared" si="251"/>
        <v/>
      </c>
    </row>
    <row r="2234" spans="58:59" x14ac:dyDescent="0.25">
      <c r="BF2234">
        <f>ROWS($U$46:U2234)</f>
        <v>2189</v>
      </c>
      <c r="BG2234" t="str">
        <f t="shared" si="251"/>
        <v/>
      </c>
    </row>
    <row r="2235" spans="58:59" x14ac:dyDescent="0.25">
      <c r="BF2235">
        <f>ROWS($U$46:U2235)</f>
        <v>2190</v>
      </c>
      <c r="BG2235" t="str">
        <f t="shared" si="251"/>
        <v/>
      </c>
    </row>
    <row r="2236" spans="58:59" x14ac:dyDescent="0.25">
      <c r="BF2236">
        <f>ROWS($U$46:U2236)</f>
        <v>2191</v>
      </c>
      <c r="BG2236" t="str">
        <f t="shared" si="251"/>
        <v/>
      </c>
    </row>
    <row r="2237" spans="58:59" x14ac:dyDescent="0.25">
      <c r="BF2237">
        <f>ROWS($U$46:U2237)</f>
        <v>2192</v>
      </c>
      <c r="BG2237" t="str">
        <f t="shared" si="251"/>
        <v/>
      </c>
    </row>
    <row r="2238" spans="58:59" x14ac:dyDescent="0.25">
      <c r="BF2238">
        <f>ROWS($U$46:U2238)</f>
        <v>2193</v>
      </c>
      <c r="BG2238" t="str">
        <f t="shared" si="251"/>
        <v/>
      </c>
    </row>
    <row r="2239" spans="58:59" x14ac:dyDescent="0.25">
      <c r="BF2239">
        <f>ROWS($U$46:U2239)</f>
        <v>2194</v>
      </c>
      <c r="BG2239" t="str">
        <f t="shared" si="251"/>
        <v/>
      </c>
    </row>
    <row r="2240" spans="58:59" x14ac:dyDescent="0.25">
      <c r="BF2240">
        <f>ROWS($U$46:U2240)</f>
        <v>2195</v>
      </c>
      <c r="BG2240" t="str">
        <f t="shared" si="251"/>
        <v/>
      </c>
    </row>
    <row r="2241" spans="58:59" x14ac:dyDescent="0.25">
      <c r="BF2241">
        <f>ROWS($U$46:U2241)</f>
        <v>2196</v>
      </c>
      <c r="BG2241" t="str">
        <f t="shared" si="251"/>
        <v/>
      </c>
    </row>
    <row r="2242" spans="58:59" x14ac:dyDescent="0.25">
      <c r="BF2242">
        <f>ROWS($U$46:U2242)</f>
        <v>2197</v>
      </c>
      <c r="BG2242" t="str">
        <f t="shared" si="251"/>
        <v/>
      </c>
    </row>
    <row r="2243" spans="58:59" x14ac:dyDescent="0.25">
      <c r="BF2243">
        <f>ROWS($U$46:U2243)</f>
        <v>2198</v>
      </c>
      <c r="BG2243" t="str">
        <f t="shared" si="251"/>
        <v/>
      </c>
    </row>
    <row r="2244" spans="58:59" x14ac:dyDescent="0.25">
      <c r="BF2244">
        <f>ROWS($U$46:U2244)</f>
        <v>2199</v>
      </c>
      <c r="BG2244" t="str">
        <f t="shared" si="251"/>
        <v/>
      </c>
    </row>
    <row r="2245" spans="58:59" x14ac:dyDescent="0.25">
      <c r="BF2245">
        <f>ROWS($U$46:U2245)</f>
        <v>2200</v>
      </c>
      <c r="BG2245" t="str">
        <f t="shared" si="251"/>
        <v/>
      </c>
    </row>
    <row r="2246" spans="58:59" x14ac:dyDescent="0.25">
      <c r="BF2246">
        <f>ROWS($U$46:U2246)</f>
        <v>2201</v>
      </c>
      <c r="BG2246" t="str">
        <f t="shared" si="251"/>
        <v/>
      </c>
    </row>
    <row r="2247" spans="58:59" x14ac:dyDescent="0.25">
      <c r="BF2247">
        <f>ROWS($U$46:U2247)</f>
        <v>2202</v>
      </c>
      <c r="BG2247" t="str">
        <f t="shared" si="251"/>
        <v/>
      </c>
    </row>
    <row r="2248" spans="58:59" x14ac:dyDescent="0.25">
      <c r="BF2248">
        <f>ROWS($U$46:U2248)</f>
        <v>2203</v>
      </c>
      <c r="BG2248" t="str">
        <f t="shared" si="251"/>
        <v/>
      </c>
    </row>
    <row r="2249" spans="58:59" x14ac:dyDescent="0.25">
      <c r="BF2249">
        <f>ROWS($U$46:U2249)</f>
        <v>2204</v>
      </c>
      <c r="BG2249" t="str">
        <f t="shared" si="251"/>
        <v/>
      </c>
    </row>
    <row r="2250" spans="58:59" x14ac:dyDescent="0.25">
      <c r="BF2250">
        <f>ROWS($U$46:U2250)</f>
        <v>2205</v>
      </c>
      <c r="BG2250" t="str">
        <f t="shared" si="251"/>
        <v/>
      </c>
    </row>
    <row r="2251" spans="58:59" x14ac:dyDescent="0.25">
      <c r="BF2251">
        <f>ROWS($U$46:U2251)</f>
        <v>2206</v>
      </c>
      <c r="BG2251" t="str">
        <f t="shared" si="251"/>
        <v/>
      </c>
    </row>
    <row r="2252" spans="58:59" x14ac:dyDescent="0.25">
      <c r="BF2252">
        <f>ROWS($U$46:U2252)</f>
        <v>2207</v>
      </c>
      <c r="BG2252" t="str">
        <f t="shared" si="251"/>
        <v/>
      </c>
    </row>
    <row r="2253" spans="58:59" x14ac:dyDescent="0.25">
      <c r="BF2253">
        <f>ROWS($U$46:U2253)</f>
        <v>2208</v>
      </c>
      <c r="BG2253" t="str">
        <f t="shared" si="251"/>
        <v/>
      </c>
    </row>
    <row r="2254" spans="58:59" x14ac:dyDescent="0.25">
      <c r="BF2254">
        <f>ROWS($U$46:U2254)</f>
        <v>2209</v>
      </c>
      <c r="BG2254" t="str">
        <f t="shared" si="251"/>
        <v/>
      </c>
    </row>
    <row r="2255" spans="58:59" x14ac:dyDescent="0.25">
      <c r="BF2255">
        <f>ROWS($U$46:U2255)</f>
        <v>2210</v>
      </c>
      <c r="BG2255" t="str">
        <f t="shared" si="251"/>
        <v/>
      </c>
    </row>
    <row r="2256" spans="58:59" x14ac:dyDescent="0.25">
      <c r="BF2256">
        <f>ROWS($U$46:U2256)</f>
        <v>2211</v>
      </c>
      <c r="BG2256" t="str">
        <f t="shared" si="251"/>
        <v/>
      </c>
    </row>
    <row r="2257" spans="58:59" x14ac:dyDescent="0.25">
      <c r="BF2257">
        <f>ROWS($U$46:U2257)</f>
        <v>2212</v>
      </c>
      <c r="BG2257" t="str">
        <f t="shared" si="251"/>
        <v/>
      </c>
    </row>
    <row r="2258" spans="58:59" x14ac:dyDescent="0.25">
      <c r="BF2258">
        <f>ROWS($U$46:U2258)</f>
        <v>2213</v>
      </c>
      <c r="BG2258" t="str">
        <f t="shared" si="251"/>
        <v/>
      </c>
    </row>
    <row r="2259" spans="58:59" x14ac:dyDescent="0.25">
      <c r="BF2259">
        <f>ROWS($U$46:U2259)</f>
        <v>2214</v>
      </c>
      <c r="BG2259" t="str">
        <f t="shared" si="251"/>
        <v/>
      </c>
    </row>
    <row r="2260" spans="58:59" x14ac:dyDescent="0.25">
      <c r="BF2260">
        <f>ROWS($U$46:U2260)</f>
        <v>2215</v>
      </c>
      <c r="BG2260" t="str">
        <f t="shared" si="251"/>
        <v/>
      </c>
    </row>
    <row r="2261" spans="58:59" x14ac:dyDescent="0.25">
      <c r="BF2261">
        <f>ROWS($U$46:U2261)</f>
        <v>2216</v>
      </c>
      <c r="BG2261" t="str">
        <f t="shared" si="251"/>
        <v/>
      </c>
    </row>
    <row r="2262" spans="58:59" x14ac:dyDescent="0.25">
      <c r="BF2262">
        <f>ROWS($U$46:U2262)</f>
        <v>2217</v>
      </c>
      <c r="BG2262" t="str">
        <f t="shared" si="251"/>
        <v/>
      </c>
    </row>
    <row r="2263" spans="58:59" x14ac:dyDescent="0.25">
      <c r="BF2263">
        <f>ROWS($U$46:U2263)</f>
        <v>2218</v>
      </c>
      <c r="BG2263" t="str">
        <f t="shared" si="251"/>
        <v/>
      </c>
    </row>
    <row r="2264" spans="58:59" x14ac:dyDescent="0.25">
      <c r="BF2264">
        <f>ROWS($U$46:U2264)</f>
        <v>2219</v>
      </c>
      <c r="BG2264" t="str">
        <f t="shared" si="251"/>
        <v/>
      </c>
    </row>
    <row r="2265" spans="58:59" x14ac:dyDescent="0.25">
      <c r="BF2265">
        <f>ROWS($U$46:U2265)</f>
        <v>2220</v>
      </c>
      <c r="BG2265" t="str">
        <f t="shared" si="251"/>
        <v/>
      </c>
    </row>
    <row r="2266" spans="58:59" x14ac:dyDescent="0.25">
      <c r="BF2266">
        <f>ROWS($U$46:U2266)</f>
        <v>2221</v>
      </c>
      <c r="BG2266" t="str">
        <f t="shared" si="251"/>
        <v/>
      </c>
    </row>
    <row r="2267" spans="58:59" x14ac:dyDescent="0.25">
      <c r="BF2267">
        <f>ROWS($U$46:U2267)</f>
        <v>2222</v>
      </c>
      <c r="BG2267" t="str">
        <f t="shared" si="251"/>
        <v/>
      </c>
    </row>
    <row r="2268" spans="58:59" x14ac:dyDescent="0.25">
      <c r="BF2268">
        <f>ROWS($U$46:U2268)</f>
        <v>2223</v>
      </c>
      <c r="BG2268" t="str">
        <f t="shared" si="251"/>
        <v/>
      </c>
    </row>
    <row r="2269" spans="58:59" x14ac:dyDescent="0.25">
      <c r="BF2269">
        <f>ROWS($U$46:U2269)</f>
        <v>2224</v>
      </c>
      <c r="BG2269" t="str">
        <f t="shared" si="251"/>
        <v/>
      </c>
    </row>
    <row r="2270" spans="58:59" x14ac:dyDescent="0.25">
      <c r="BF2270">
        <f>ROWS($U$46:U2270)</f>
        <v>2225</v>
      </c>
      <c r="BG2270" t="str">
        <f t="shared" si="251"/>
        <v/>
      </c>
    </row>
    <row r="2271" spans="58:59" x14ac:dyDescent="0.25">
      <c r="BF2271">
        <f>ROWS($U$46:U2271)</f>
        <v>2226</v>
      </c>
      <c r="BG2271" t="str">
        <f t="shared" si="251"/>
        <v/>
      </c>
    </row>
    <row r="2272" spans="58:59" x14ac:dyDescent="0.25">
      <c r="BF2272">
        <f>ROWS($U$46:U2272)</f>
        <v>2227</v>
      </c>
      <c r="BG2272" t="str">
        <f t="shared" si="251"/>
        <v/>
      </c>
    </row>
    <row r="2273" spans="58:59" x14ac:dyDescent="0.25">
      <c r="BF2273">
        <f>ROWS($U$46:U2273)</f>
        <v>2228</v>
      </c>
      <c r="BG2273" t="str">
        <f t="shared" si="251"/>
        <v/>
      </c>
    </row>
    <row r="2274" spans="58:59" x14ac:dyDescent="0.25">
      <c r="BF2274">
        <f>ROWS($U$46:U2274)</f>
        <v>2229</v>
      </c>
      <c r="BG2274" t="str">
        <f t="shared" si="251"/>
        <v/>
      </c>
    </row>
    <row r="2275" spans="58:59" x14ac:dyDescent="0.25">
      <c r="BF2275">
        <f>ROWS($U$46:U2275)</f>
        <v>2230</v>
      </c>
      <c r="BG2275" t="str">
        <f t="shared" si="251"/>
        <v/>
      </c>
    </row>
    <row r="2276" spans="58:59" x14ac:dyDescent="0.25">
      <c r="BF2276">
        <f>ROWS($U$46:U2276)</f>
        <v>2231</v>
      </c>
      <c r="BG2276" t="str">
        <f t="shared" si="251"/>
        <v/>
      </c>
    </row>
    <row r="2277" spans="58:59" x14ac:dyDescent="0.25">
      <c r="BF2277">
        <f>ROWS($U$46:U2277)</f>
        <v>2232</v>
      </c>
      <c r="BG2277" t="str">
        <f t="shared" si="251"/>
        <v/>
      </c>
    </row>
    <row r="2278" spans="58:59" x14ac:dyDescent="0.25">
      <c r="BF2278">
        <f>ROWS($U$46:U2278)</f>
        <v>2233</v>
      </c>
      <c r="BG2278" t="str">
        <f t="shared" si="251"/>
        <v/>
      </c>
    </row>
    <row r="2279" spans="58:59" x14ac:dyDescent="0.25">
      <c r="BF2279">
        <f>ROWS($U$46:U2279)</f>
        <v>2234</v>
      </c>
      <c r="BG2279" t="str">
        <f t="shared" si="251"/>
        <v/>
      </c>
    </row>
    <row r="2280" spans="58:59" x14ac:dyDescent="0.25">
      <c r="BF2280">
        <f>ROWS($U$46:U2280)</f>
        <v>2235</v>
      </c>
      <c r="BG2280" t="str">
        <f t="shared" si="251"/>
        <v/>
      </c>
    </row>
    <row r="2281" spans="58:59" x14ac:dyDescent="0.25">
      <c r="BF2281">
        <f>ROWS($U$46:U2281)</f>
        <v>2236</v>
      </c>
      <c r="BG2281" t="str">
        <f t="shared" si="251"/>
        <v/>
      </c>
    </row>
    <row r="2282" spans="58:59" x14ac:dyDescent="0.25">
      <c r="BF2282">
        <f>ROWS($U$46:U2282)</f>
        <v>2237</v>
      </c>
      <c r="BG2282" t="str">
        <f t="shared" si="251"/>
        <v/>
      </c>
    </row>
    <row r="2283" spans="58:59" x14ac:dyDescent="0.25">
      <c r="BF2283">
        <f>ROWS($U$46:U2283)</f>
        <v>2238</v>
      </c>
      <c r="BG2283" t="str">
        <f t="shared" si="251"/>
        <v/>
      </c>
    </row>
    <row r="2284" spans="58:59" x14ac:dyDescent="0.25">
      <c r="BF2284">
        <f>ROWS($U$46:U2284)</f>
        <v>2239</v>
      </c>
      <c r="BG2284" t="str">
        <f t="shared" si="251"/>
        <v/>
      </c>
    </row>
    <row r="2285" spans="58:59" x14ac:dyDescent="0.25">
      <c r="BF2285">
        <f>ROWS($U$46:U2285)</f>
        <v>2240</v>
      </c>
      <c r="BG2285" t="str">
        <f t="shared" si="251"/>
        <v/>
      </c>
    </row>
    <row r="2286" spans="58:59" x14ac:dyDescent="0.25">
      <c r="BF2286">
        <f>ROWS($U$46:U2286)</f>
        <v>2241</v>
      </c>
      <c r="BG2286" t="str">
        <f t="shared" si="251"/>
        <v/>
      </c>
    </row>
    <row r="2287" spans="58:59" x14ac:dyDescent="0.2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25">
      <c r="BF2288">
        <f>ROWS($U$46:U2288)</f>
        <v>2243</v>
      </c>
      <c r="BG2288" t="str">
        <f t="shared" si="252"/>
        <v/>
      </c>
    </row>
    <row r="2289" spans="58:59" x14ac:dyDescent="0.25">
      <c r="BF2289">
        <f>ROWS($U$46:U2289)</f>
        <v>2244</v>
      </c>
      <c r="BG2289" t="str">
        <f t="shared" si="252"/>
        <v/>
      </c>
    </row>
    <row r="2290" spans="58:59" x14ac:dyDescent="0.25">
      <c r="BF2290">
        <f>ROWS($U$46:U2290)</f>
        <v>2245</v>
      </c>
      <c r="BG2290" t="str">
        <f t="shared" si="252"/>
        <v/>
      </c>
    </row>
    <row r="2291" spans="58:59" x14ac:dyDescent="0.25">
      <c r="BF2291">
        <f>ROWS($U$46:U2291)</f>
        <v>2246</v>
      </c>
      <c r="BG2291" t="str">
        <f t="shared" si="252"/>
        <v/>
      </c>
    </row>
    <row r="2292" spans="58:59" x14ac:dyDescent="0.25">
      <c r="BF2292">
        <f>ROWS($U$46:U2292)</f>
        <v>2247</v>
      </c>
      <c r="BG2292" t="str">
        <f t="shared" si="252"/>
        <v/>
      </c>
    </row>
    <row r="2293" spans="58:59" x14ac:dyDescent="0.25">
      <c r="BF2293">
        <f>ROWS($U$46:U2293)</f>
        <v>2248</v>
      </c>
      <c r="BG2293" t="str">
        <f t="shared" si="252"/>
        <v/>
      </c>
    </row>
    <row r="2294" spans="58:59" x14ac:dyDescent="0.25">
      <c r="BF2294">
        <f>ROWS($U$46:U2294)</f>
        <v>2249</v>
      </c>
      <c r="BG2294" t="str">
        <f t="shared" si="252"/>
        <v/>
      </c>
    </row>
    <row r="2295" spans="58:59" x14ac:dyDescent="0.25">
      <c r="BF2295">
        <f>ROWS($U$46:U2295)</f>
        <v>2250</v>
      </c>
      <c r="BG2295" t="str">
        <f t="shared" si="252"/>
        <v/>
      </c>
    </row>
    <row r="2296" spans="58:59" x14ac:dyDescent="0.25">
      <c r="BF2296">
        <f>ROWS($U$46:U2296)</f>
        <v>2251</v>
      </c>
      <c r="BG2296" t="str">
        <f t="shared" si="252"/>
        <v/>
      </c>
    </row>
    <row r="2297" spans="58:59" x14ac:dyDescent="0.25">
      <c r="BF2297">
        <f>ROWS($U$46:U2297)</f>
        <v>2252</v>
      </c>
      <c r="BG2297" t="str">
        <f t="shared" si="252"/>
        <v/>
      </c>
    </row>
    <row r="2298" spans="58:59" x14ac:dyDescent="0.25">
      <c r="BF2298">
        <f>ROWS($U$46:U2298)</f>
        <v>2253</v>
      </c>
      <c r="BG2298" t="str">
        <f t="shared" si="252"/>
        <v/>
      </c>
    </row>
    <row r="2299" spans="58:59" x14ac:dyDescent="0.25">
      <c r="BF2299">
        <f>ROWS($U$46:U2299)</f>
        <v>2254</v>
      </c>
      <c r="BG2299" t="str">
        <f t="shared" si="252"/>
        <v/>
      </c>
    </row>
    <row r="2300" spans="58:59" x14ac:dyDescent="0.25">
      <c r="BF2300">
        <f>ROWS($U$46:U2300)</f>
        <v>2255</v>
      </c>
      <c r="BG2300" t="str">
        <f t="shared" si="252"/>
        <v/>
      </c>
    </row>
    <row r="2301" spans="58:59" x14ac:dyDescent="0.25">
      <c r="BF2301">
        <f>ROWS($U$46:U2301)</f>
        <v>2256</v>
      </c>
      <c r="BG2301" t="str">
        <f t="shared" si="252"/>
        <v/>
      </c>
    </row>
    <row r="2302" spans="58:59" x14ac:dyDescent="0.25">
      <c r="BF2302">
        <f>ROWS($U$46:U2302)</f>
        <v>2257</v>
      </c>
      <c r="BG2302" t="str">
        <f t="shared" si="252"/>
        <v/>
      </c>
    </row>
    <row r="2303" spans="58:59" x14ac:dyDescent="0.25">
      <c r="BF2303">
        <f>ROWS($U$46:U2303)</f>
        <v>2258</v>
      </c>
      <c r="BG2303" t="str">
        <f t="shared" si="252"/>
        <v/>
      </c>
    </row>
    <row r="2304" spans="58:59" x14ac:dyDescent="0.25">
      <c r="BF2304">
        <f>ROWS($U$46:U2304)</f>
        <v>2259</v>
      </c>
      <c r="BG2304" t="str">
        <f t="shared" si="252"/>
        <v/>
      </c>
    </row>
    <row r="2305" spans="58:59" x14ac:dyDescent="0.25">
      <c r="BF2305">
        <f>ROWS($U$46:U2305)</f>
        <v>2260</v>
      </c>
      <c r="BG2305" t="str">
        <f t="shared" si="252"/>
        <v/>
      </c>
    </row>
    <row r="2306" spans="58:59" x14ac:dyDescent="0.25">
      <c r="BF2306">
        <f>ROWS($U$46:U2306)</f>
        <v>2261</v>
      </c>
      <c r="BG2306" t="str">
        <f t="shared" si="252"/>
        <v/>
      </c>
    </row>
    <row r="2307" spans="58:59" x14ac:dyDescent="0.25">
      <c r="BF2307">
        <f>ROWS($U$46:U2307)</f>
        <v>2262</v>
      </c>
      <c r="BG2307" t="str">
        <f t="shared" si="252"/>
        <v/>
      </c>
    </row>
    <row r="2308" spans="58:59" x14ac:dyDescent="0.25">
      <c r="BF2308">
        <f>ROWS($U$46:U2308)</f>
        <v>2263</v>
      </c>
      <c r="BG2308" t="str">
        <f t="shared" si="252"/>
        <v/>
      </c>
    </row>
    <row r="2309" spans="58:59" x14ac:dyDescent="0.25">
      <c r="BF2309">
        <f>ROWS($U$46:U2309)</f>
        <v>2264</v>
      </c>
      <c r="BG2309" t="str">
        <f t="shared" si="252"/>
        <v/>
      </c>
    </row>
    <row r="2310" spans="58:59" x14ac:dyDescent="0.25">
      <c r="BF2310">
        <f>ROWS($U$46:U2310)</f>
        <v>2265</v>
      </c>
      <c r="BG2310" t="str">
        <f t="shared" si="252"/>
        <v/>
      </c>
    </row>
    <row r="2311" spans="58:59" x14ac:dyDescent="0.25">
      <c r="BF2311">
        <f>ROWS($U$46:U2311)</f>
        <v>2266</v>
      </c>
      <c r="BG2311" t="str">
        <f t="shared" si="252"/>
        <v/>
      </c>
    </row>
    <row r="2312" spans="58:59" x14ac:dyDescent="0.25">
      <c r="BF2312">
        <f>ROWS($U$46:U2312)</f>
        <v>2267</v>
      </c>
      <c r="BG2312" t="str">
        <f t="shared" si="252"/>
        <v/>
      </c>
    </row>
    <row r="2313" spans="58:59" x14ac:dyDescent="0.25">
      <c r="BF2313">
        <f>ROWS($U$46:U2313)</f>
        <v>2268</v>
      </c>
      <c r="BG2313" t="str">
        <f t="shared" si="252"/>
        <v/>
      </c>
    </row>
    <row r="2314" spans="58:59" x14ac:dyDescent="0.25">
      <c r="BF2314">
        <f>ROWS($U$46:U2314)</f>
        <v>2269</v>
      </c>
      <c r="BG2314" t="str">
        <f t="shared" si="252"/>
        <v/>
      </c>
    </row>
    <row r="2315" spans="58:59" x14ac:dyDescent="0.25">
      <c r="BF2315">
        <f>ROWS($U$46:U2315)</f>
        <v>2270</v>
      </c>
      <c r="BG2315" t="str">
        <f t="shared" si="252"/>
        <v/>
      </c>
    </row>
    <row r="2316" spans="58:59" x14ac:dyDescent="0.25">
      <c r="BF2316">
        <f>ROWS($U$46:U2316)</f>
        <v>2271</v>
      </c>
      <c r="BG2316" t="str">
        <f t="shared" si="252"/>
        <v/>
      </c>
    </row>
    <row r="2317" spans="58:59" x14ac:dyDescent="0.25">
      <c r="BF2317">
        <f>ROWS($U$46:U2317)</f>
        <v>2272</v>
      </c>
      <c r="BG2317" t="str">
        <f t="shared" si="252"/>
        <v/>
      </c>
    </row>
    <row r="2318" spans="58:59" x14ac:dyDescent="0.25">
      <c r="BF2318">
        <f>ROWS($U$46:U2318)</f>
        <v>2273</v>
      </c>
      <c r="BG2318" t="str">
        <f t="shared" si="252"/>
        <v/>
      </c>
    </row>
    <row r="2319" spans="58:59" x14ac:dyDescent="0.25">
      <c r="BF2319">
        <f>ROWS($U$46:U2319)</f>
        <v>2274</v>
      </c>
      <c r="BG2319" t="str">
        <f t="shared" si="252"/>
        <v/>
      </c>
    </row>
    <row r="2320" spans="58:59" x14ac:dyDescent="0.25">
      <c r="BF2320">
        <f>ROWS($U$46:U2320)</f>
        <v>2275</v>
      </c>
      <c r="BG2320" t="str">
        <f t="shared" si="252"/>
        <v/>
      </c>
    </row>
    <row r="2321" spans="58:59" x14ac:dyDescent="0.25">
      <c r="BF2321">
        <f>ROWS($U$46:U2321)</f>
        <v>2276</v>
      </c>
      <c r="BG2321" t="str">
        <f t="shared" si="252"/>
        <v/>
      </c>
    </row>
    <row r="2322" spans="58:59" x14ac:dyDescent="0.25">
      <c r="BF2322">
        <f>ROWS($U$46:U2322)</f>
        <v>2277</v>
      </c>
      <c r="BG2322" t="str">
        <f t="shared" si="252"/>
        <v/>
      </c>
    </row>
    <row r="2323" spans="58:59" x14ac:dyDescent="0.25">
      <c r="BF2323">
        <f>ROWS($U$46:U2323)</f>
        <v>2278</v>
      </c>
      <c r="BG2323" t="str">
        <f t="shared" si="252"/>
        <v/>
      </c>
    </row>
    <row r="2324" spans="58:59" x14ac:dyDescent="0.25">
      <c r="BF2324">
        <f>ROWS($U$46:U2324)</f>
        <v>2279</v>
      </c>
      <c r="BG2324" t="str">
        <f t="shared" si="252"/>
        <v/>
      </c>
    </row>
    <row r="2325" spans="58:59" x14ac:dyDescent="0.25">
      <c r="BF2325">
        <f>ROWS($U$46:U2325)</f>
        <v>2280</v>
      </c>
      <c r="BG2325" t="str">
        <f t="shared" si="252"/>
        <v/>
      </c>
    </row>
    <row r="2326" spans="58:59" x14ac:dyDescent="0.25">
      <c r="BF2326">
        <f>ROWS($U$46:U2326)</f>
        <v>2281</v>
      </c>
      <c r="BG2326" t="str">
        <f t="shared" si="252"/>
        <v/>
      </c>
    </row>
    <row r="2327" spans="58:59" x14ac:dyDescent="0.25">
      <c r="BF2327">
        <f>ROWS($U$46:U2327)</f>
        <v>2282</v>
      </c>
      <c r="BG2327" t="str">
        <f t="shared" si="252"/>
        <v/>
      </c>
    </row>
    <row r="2328" spans="58:59" x14ac:dyDescent="0.2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  <mergeCell ref="H13:I13"/>
    <mergeCell ref="D10:J10"/>
    <mergeCell ref="H11:J11"/>
    <mergeCell ref="H14:I14"/>
    <mergeCell ref="H15:I15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BF44:BM44"/>
    <mergeCell ref="F43:G43"/>
    <mergeCell ref="L30:L31"/>
    <mergeCell ref="H30:K31"/>
    <mergeCell ref="M30:R30"/>
    <mergeCell ref="D33:F33"/>
    <mergeCell ref="H27:I27"/>
    <mergeCell ref="H28:I28"/>
    <mergeCell ref="H22:I22"/>
    <mergeCell ref="H23:I23"/>
    <mergeCell ref="H24:I24"/>
    <mergeCell ref="H25:I25"/>
    <mergeCell ref="H26:I2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5" x14ac:dyDescent="0.25"/>
  <cols>
    <col min="1" max="1" width="2.7109375" customWidth="1"/>
    <col min="2" max="2" width="3.42578125" bestFit="1" customWidth="1"/>
    <col min="3" max="11" width="2.7109375" customWidth="1"/>
    <col min="12" max="12" width="4" bestFit="1" customWidth="1"/>
    <col min="13" max="35" width="3.28515625" bestFit="1" customWidth="1"/>
    <col min="36" max="52" width="3.28515625" customWidth="1"/>
    <col min="56" max="56" width="2.7109375" customWidth="1"/>
    <col min="57" max="57" width="3.42578125" bestFit="1" customWidth="1"/>
    <col min="58" max="66" width="2.7109375" customWidth="1"/>
    <col min="67" max="67" width="4" bestFit="1" customWidth="1"/>
    <col min="68" max="90" width="3.28515625" bestFit="1" customWidth="1"/>
    <col min="91" max="107" width="3.28515625" customWidth="1"/>
  </cols>
  <sheetData>
    <row r="1" spans="1:90" ht="15.75" thickBot="1" x14ac:dyDescent="0.3">
      <c r="A1" s="1183"/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4"/>
      <c r="AG1" s="1184"/>
      <c r="AH1" s="1184"/>
      <c r="AI1" s="1184"/>
      <c r="AJ1" s="1184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" customHeight="1" x14ac:dyDescent="0.25">
      <c r="A2" s="675"/>
      <c r="B2" s="736"/>
      <c r="C2" s="1185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  <c r="U2" s="1186"/>
      <c r="V2" s="1186"/>
      <c r="W2" s="1186"/>
      <c r="X2" s="1186"/>
      <c r="Y2" s="1186"/>
      <c r="Z2" s="1186"/>
      <c r="AA2" s="1186"/>
      <c r="AB2" s="1186"/>
      <c r="AC2" s="1186"/>
      <c r="AD2" s="1186"/>
      <c r="AE2" s="1186"/>
      <c r="AF2" s="1186"/>
      <c r="AG2" s="1186"/>
      <c r="AH2" s="1186"/>
      <c r="AI2" s="1186"/>
      <c r="AJ2" s="1186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" customHeight="1" thickBot="1" x14ac:dyDescent="0.3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0a</v>
      </c>
      <c r="L3" s="841" t="str">
        <f>IF(Data!CA42&lt;&gt;"",Data!CA42,"")</f>
        <v>0a</v>
      </c>
      <c r="M3" s="841" t="str">
        <f>IF(Data!CB42&lt;&gt;"",Data!CB42,"")</f>
        <v>0a</v>
      </c>
      <c r="N3" s="841" t="str">
        <f>IF(Data!CC42&lt;&gt;"",Data!CC42,"")</f>
        <v>0a</v>
      </c>
      <c r="O3" s="841" t="str">
        <f>IF(Data!CD42&lt;&gt;"",Data!CD42,"")</f>
        <v>0a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0a</v>
      </c>
      <c r="BO3" s="742" t="str">
        <f>IF(Data!CA42&lt;&gt;"",Data!CA42,"")</f>
        <v>0a</v>
      </c>
      <c r="BP3" s="742" t="str">
        <f>IF(Data!CB42&lt;&gt;"",Data!CB42,"")</f>
        <v>0a</v>
      </c>
      <c r="BQ3" s="742" t="str">
        <f>IF(Data!CC42&lt;&gt;"",Data!CC42,"")</f>
        <v>0a</v>
      </c>
      <c r="BR3" s="742" t="str">
        <f>IF(Data!CD42&lt;&gt;"",Data!CD42,"")</f>
        <v>0a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" customHeight="1" x14ac:dyDescent="0.25">
      <c r="A4" s="681"/>
      <c r="B4" s="6">
        <v>1</v>
      </c>
      <c r="C4" s="822" t="str">
        <f>IF('Evaluation (2)'!C11&lt;&gt;"",LEFT('Evaluation (2)'!C11,1),"")</f>
        <v>O</v>
      </c>
      <c r="D4" s="823" t="str">
        <f>IF('Evaluation (2)'!D11&lt;&gt;"",LEFT('Evaluation (2)'!D11,1),"")</f>
        <v>O</v>
      </c>
      <c r="E4" s="823" t="str">
        <f>IF('Evaluation (2)'!E11&lt;&gt;"",LEFT('Evaluation (2)'!E11,1),"")</f>
        <v>O</v>
      </c>
      <c r="F4" s="823" t="str">
        <f>IF('Evaluation (2)'!F11&lt;&gt;"",LEFT('Evaluation (2)'!F11,1),"")</f>
        <v>R</v>
      </c>
      <c r="G4" s="823" t="str">
        <f>IF('Evaluation (2)'!G11&lt;&gt;"",LEFT('Evaluation (2)'!G11,1),"")</f>
        <v>S</v>
      </c>
      <c r="H4" s="823" t="str">
        <f>IF('Evaluation (2)'!H11&lt;&gt;"",LEFT('Evaluation (2)'!H11,1),"")</f>
        <v>O</v>
      </c>
      <c r="I4" s="823" t="str">
        <f>IF('Evaluation (2)'!I11&lt;&gt;"",LEFT('Evaluation (2)'!I11,1),"")</f>
        <v>O</v>
      </c>
      <c r="J4" s="823" t="str">
        <f>IF('Evaluation (2)'!J11&lt;&gt;"",LEFT('Evaluation (2)'!J11,1),"")</f>
        <v>O</v>
      </c>
      <c r="K4" s="823" t="str">
        <f>IF('Evaluation (2)'!K11&lt;&gt;"",LEFT('Evaluation (2)'!K11,1),"")</f>
        <v/>
      </c>
      <c r="L4" s="823" t="str">
        <f>IF('Evaluation (2)'!L11&lt;&gt;"",LEFT('Evaluation (2)'!L11,1),"")</f>
        <v/>
      </c>
      <c r="M4" s="823" t="str">
        <f>IF('Evaluation (2)'!M11&lt;&gt;"",LEFT('Evaluation (2)'!M11,1),"")</f>
        <v/>
      </c>
      <c r="N4" s="823" t="str">
        <f>IF('Evaluation (2)'!N11&lt;&gt;"",LEFT('Evaluation (2)'!N11,1),"")</f>
        <v/>
      </c>
      <c r="O4" s="823" t="str">
        <f>IF('Evaluation (2)'!O11&lt;&gt;"",LEFT('Evaluation (2)'!O11,1),"")</f>
        <v/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X</v>
      </c>
      <c r="BG4" s="739" t="str">
        <f>IF('ARDT Cutter Entry'!D4&lt;&gt;"",'ARDT Cutter Entry'!D4,"")</f>
        <v>X</v>
      </c>
      <c r="BH4" s="739" t="str">
        <f>IF('ARDT Cutter Entry'!E4&lt;&gt;"",'ARDT Cutter Entry'!E4,"")</f>
        <v>X</v>
      </c>
      <c r="BI4" s="739" t="str">
        <f>IF('ARDT Cutter Entry'!F4&lt;&gt;"",'ARDT Cutter Entry'!F4,"")</f>
        <v>R</v>
      </c>
      <c r="BJ4" s="739" t="str">
        <f>IF('ARDT Cutter Entry'!G4&lt;&gt;"",'ARDT Cutter Entry'!G4,"")</f>
        <v>S</v>
      </c>
      <c r="BK4" s="739" t="str">
        <f>IF('ARDT Cutter Entry'!H4&lt;&gt;"",'ARDT Cutter Entry'!H4,"")</f>
        <v>X</v>
      </c>
      <c r="BL4" s="739" t="str">
        <f>IF('ARDT Cutter Entry'!I4&lt;&gt;"",'ARDT Cutter Entry'!I4,"")</f>
        <v>X</v>
      </c>
      <c r="BM4" s="739" t="str">
        <f>IF('ARDT Cutter Entry'!J4&lt;&gt;"",'ARDT Cutter Entry'!J4,"")</f>
        <v>O</v>
      </c>
      <c r="BN4" s="739" t="str">
        <f>IF('ARDT Cutter Entry'!K4&lt;&gt;"",'ARDT Cutter Entry'!K4,"")</f>
        <v/>
      </c>
      <c r="BO4" s="739" t="str">
        <f>IF('ARDT Cutter Entry'!L4&lt;&gt;"",'ARDT Cutter Entry'!L4,"")</f>
        <v/>
      </c>
      <c r="BP4" s="739" t="str">
        <f>IF('ARDT Cutter Entry'!M4&lt;&gt;"",'ARDT Cutter Entry'!M4,"")</f>
        <v/>
      </c>
      <c r="BQ4" s="739" t="str">
        <f>IF('ARDT Cutter Entry'!N4&lt;&gt;"",'ARDT Cutter Entry'!N4,"")</f>
        <v/>
      </c>
      <c r="BR4" s="739" t="str">
        <f>IF('ARDT Cutter Entry'!O4&lt;&gt;"",'ARDT Cutter Entry'!O4,"")</f>
        <v/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" customHeight="1" x14ac:dyDescent="0.25">
      <c r="A5" s="682"/>
      <c r="B5" s="35">
        <v>2</v>
      </c>
      <c r="C5" s="683" t="str">
        <f>IF('Evaluation (2)'!C12&lt;&gt;"",LEFT('Evaluation (2)'!C12,1),"")</f>
        <v>O</v>
      </c>
      <c r="D5" s="684" t="str">
        <f>IF('Evaluation (2)'!D12&lt;&gt;"",LEFT('Evaluation (2)'!D12,1),"")</f>
        <v>O</v>
      </c>
      <c r="E5" s="684" t="str">
        <f>IF('Evaluation (2)'!E12&lt;&gt;"",LEFT('Evaluation (2)'!E12,1),"")</f>
        <v>O</v>
      </c>
      <c r="F5" s="684" t="str">
        <f>IF('Evaluation (2)'!F12&lt;&gt;"",LEFT('Evaluation (2)'!F12,1),"")</f>
        <v>O</v>
      </c>
      <c r="G5" s="684" t="str">
        <f>IF('Evaluation (2)'!G12&lt;&gt;"",LEFT('Evaluation (2)'!G12,1),"")</f>
        <v>O</v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/>
      </c>
      <c r="M5" s="684" t="str">
        <f>IF('Evaluation (2)'!M12&lt;&gt;"",LEFT('Evaluation (2)'!M12,1),"")</f>
        <v/>
      </c>
      <c r="N5" s="684" t="str">
        <f>IF('Evaluation (2)'!N12&lt;&gt;"",LEFT('Evaluation (2)'!N12,1),"")</f>
        <v/>
      </c>
      <c r="O5" s="684" t="str">
        <f>IF('Evaluation (2)'!O12&lt;&gt;"",LEFT('Evaluation (2)'!O12,1),"")</f>
        <v/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X</v>
      </c>
      <c r="BG5" s="684" t="str">
        <f>IF('ARDT Cutter Entry'!D5&lt;&gt;"",'ARDT Cutter Entry'!D5,"")</f>
        <v>X</v>
      </c>
      <c r="BH5" s="684" t="str">
        <f>IF('ARDT Cutter Entry'!E5&lt;&gt;"",'ARDT Cutter Entry'!E5,"")</f>
        <v>X</v>
      </c>
      <c r="BI5" s="684" t="str">
        <f>IF('ARDT Cutter Entry'!F5&lt;&gt;"",'ARDT Cutter Entry'!F5,"")</f>
        <v>X</v>
      </c>
      <c r="BJ5" s="684" t="str">
        <f>IF('ARDT Cutter Entry'!G5&lt;&gt;"",'ARDT Cutter Entry'!G5,"")</f>
        <v>X</v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/>
      </c>
      <c r="BP5" s="684" t="str">
        <f>IF('ARDT Cutter Entry'!M5&lt;&gt;"",'ARDT Cutter Entry'!M5,"")</f>
        <v/>
      </c>
      <c r="BQ5" s="684" t="str">
        <f>IF('ARDT Cutter Entry'!N5&lt;&gt;"",'ARDT Cutter Entry'!N5,"")</f>
        <v/>
      </c>
      <c r="BR5" s="684" t="str">
        <f>IF('ARDT Cutter Entry'!O5&lt;&gt;"",'ARDT Cutter Entry'!O5,"")</f>
        <v/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" customHeight="1" x14ac:dyDescent="0.25">
      <c r="A6" s="682"/>
      <c r="B6" s="35">
        <v>3</v>
      </c>
      <c r="C6" s="683" t="str">
        <f>IF('Evaluation (2)'!C13&lt;&gt;"",LEFT('Evaluation (2)'!C13,1),"")</f>
        <v>O</v>
      </c>
      <c r="D6" s="684" t="str">
        <f>IF('Evaluation (2)'!D13&lt;&gt;"",LEFT('Evaluation (2)'!D13,1),"")</f>
        <v>O</v>
      </c>
      <c r="E6" s="684" t="str">
        <f>IF('Evaluation (2)'!E13&lt;&gt;"",LEFT('Evaluation (2)'!E13,1),"")</f>
        <v>O</v>
      </c>
      <c r="F6" s="684" t="str">
        <f>IF('Evaluation (2)'!F13&lt;&gt;"",LEFT('Evaluation (2)'!F13,1),"")</f>
        <v>S</v>
      </c>
      <c r="G6" s="684" t="str">
        <f>IF('Evaluation (2)'!G13&lt;&gt;"",LEFT('Evaluation (2)'!G13,1),"")</f>
        <v>O</v>
      </c>
      <c r="H6" s="684" t="str">
        <f>IF('Evaluation (2)'!H13&lt;&gt;"",LEFT('Evaluation (2)'!H13,1),"")</f>
        <v>O</v>
      </c>
      <c r="I6" s="684" t="str">
        <f>IF('Evaluation (2)'!I13&lt;&gt;"",LEFT('Evaluation (2)'!I13,1),"")</f>
        <v>O</v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/>
      </c>
      <c r="M6" s="684" t="str">
        <f>IF('Evaluation (2)'!M13&lt;&gt;"",LEFT('Evaluation (2)'!M13,1),"")</f>
        <v/>
      </c>
      <c r="N6" s="684" t="str">
        <f>IF('Evaluation (2)'!N13&lt;&gt;"",LEFT('Evaluation (2)'!N13,1),"")</f>
        <v/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X</v>
      </c>
      <c r="BG6" s="684" t="str">
        <f>IF('ARDT Cutter Entry'!D6&lt;&gt;"",'ARDT Cutter Entry'!D6,"")</f>
        <v>X</v>
      </c>
      <c r="BH6" s="684" t="str">
        <f>IF('ARDT Cutter Entry'!E6&lt;&gt;"",'ARDT Cutter Entry'!E6,"")</f>
        <v>X</v>
      </c>
      <c r="BI6" s="684" t="str">
        <f>IF('ARDT Cutter Entry'!F6&lt;&gt;"",'ARDT Cutter Entry'!F6,"")</f>
        <v>S</v>
      </c>
      <c r="BJ6" s="684" t="str">
        <f>IF('ARDT Cutter Entry'!G6&lt;&gt;"",'ARDT Cutter Entry'!G6,"")</f>
        <v>X</v>
      </c>
      <c r="BK6" s="684" t="str">
        <f>IF('ARDT Cutter Entry'!H6&lt;&gt;"",'ARDT Cutter Entry'!H6,"")</f>
        <v>X</v>
      </c>
      <c r="BL6" s="684" t="str">
        <f>IF('ARDT Cutter Entry'!I6&lt;&gt;"",'ARDT Cutter Entry'!I6,"")</f>
        <v>X</v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/>
      </c>
      <c r="BP6" s="684" t="str">
        <f>IF('ARDT Cutter Entry'!M6&lt;&gt;"",'ARDT Cutter Entry'!M6,"")</f>
        <v/>
      </c>
      <c r="BQ6" s="684" t="str">
        <f>IF('ARDT Cutter Entry'!N6&lt;&gt;"",'ARDT Cutter Entry'!N6,"")</f>
        <v/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" customHeight="1" x14ac:dyDescent="0.25">
      <c r="A7" s="682"/>
      <c r="B7" s="35">
        <v>4</v>
      </c>
      <c r="C7" s="683" t="str">
        <f>IF('Evaluation (2)'!C14&lt;&gt;"",LEFT('Evaluation (2)'!C14,1),"")</f>
        <v>O</v>
      </c>
      <c r="D7" s="684" t="str">
        <f>IF('Evaluation (2)'!D14&lt;&gt;"",LEFT('Evaluation (2)'!D14,1),"")</f>
        <v>O</v>
      </c>
      <c r="E7" s="684" t="str">
        <f>IF('Evaluation (2)'!E14&lt;&gt;"",LEFT('Evaluation (2)'!E14,1),"")</f>
        <v>O</v>
      </c>
      <c r="F7" s="684" t="str">
        <f>IF('Evaluation (2)'!F14&lt;&gt;"",LEFT('Evaluation (2)'!F14,1),"")</f>
        <v>S</v>
      </c>
      <c r="G7" s="684" t="str">
        <f>IF('Evaluation (2)'!G14&lt;&gt;"",LEFT('Evaluation (2)'!G14,1),"")</f>
        <v>O</v>
      </c>
      <c r="H7" s="684" t="str">
        <f>IF('Evaluation (2)'!H14&lt;&gt;"",LEFT('Evaluation (2)'!H14,1),"")</f>
        <v>O</v>
      </c>
      <c r="I7" s="684" t="str">
        <f>IF('Evaluation (2)'!I14&lt;&gt;"",LEFT('Evaluation (2)'!I14,1),"")</f>
        <v>O</v>
      </c>
      <c r="J7" s="684" t="str">
        <f>IF('Evaluation (2)'!J14&lt;&gt;"",LEFT('Evaluation (2)'!J14,1),"")</f>
        <v>O</v>
      </c>
      <c r="K7" s="684" t="str">
        <f>IF('Evaluation (2)'!K14&lt;&gt;"",LEFT('Evaluation (2)'!K14,1),"")</f>
        <v/>
      </c>
      <c r="L7" s="684" t="str">
        <f>IF('Evaluation (2)'!L14&lt;&gt;"",LEFT('Evaluation (2)'!L14,1),"")</f>
        <v/>
      </c>
      <c r="M7" s="684" t="str">
        <f>IF('Evaluation (2)'!M14&lt;&gt;"",LEFT('Evaluation (2)'!M14,1),"")</f>
        <v/>
      </c>
      <c r="N7" s="684" t="str">
        <f>IF('Evaluation (2)'!N14&lt;&gt;"",LEFT('Evaluation (2)'!N14,1),"")</f>
        <v/>
      </c>
      <c r="O7" s="684" t="str">
        <f>IF('Evaluation (2)'!O14&lt;&gt;"",LEFT('Evaluation (2)'!O14,1),"")</f>
        <v/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X</v>
      </c>
      <c r="BG7" s="684" t="str">
        <f>IF('ARDT Cutter Entry'!D7&lt;&gt;"",'ARDT Cutter Entry'!D7,"")</f>
        <v>X</v>
      </c>
      <c r="BH7" s="684" t="str">
        <f>IF('ARDT Cutter Entry'!E7&lt;&gt;"",'ARDT Cutter Entry'!E7,"")</f>
        <v>X</v>
      </c>
      <c r="BI7" s="684" t="str">
        <f>IF('ARDT Cutter Entry'!F7&lt;&gt;"",'ARDT Cutter Entry'!F7,"")</f>
        <v>S</v>
      </c>
      <c r="BJ7" s="684" t="str">
        <f>IF('ARDT Cutter Entry'!G7&lt;&gt;"",'ARDT Cutter Entry'!G7,"")</f>
        <v>X</v>
      </c>
      <c r="BK7" s="684" t="str">
        <f>IF('ARDT Cutter Entry'!H7&lt;&gt;"",'ARDT Cutter Entry'!H7,"")</f>
        <v>X</v>
      </c>
      <c r="BL7" s="684" t="str">
        <f>IF('ARDT Cutter Entry'!I7&lt;&gt;"",'ARDT Cutter Entry'!I7,"")</f>
        <v>X</v>
      </c>
      <c r="BM7" s="684" t="str">
        <f>IF('ARDT Cutter Entry'!J7&lt;&gt;"",'ARDT Cutter Entry'!J7,"")</f>
        <v>X</v>
      </c>
      <c r="BN7" s="684" t="str">
        <f>IF('ARDT Cutter Entry'!K7&lt;&gt;"",'ARDT Cutter Entry'!K7,"")</f>
        <v/>
      </c>
      <c r="BO7" s="684" t="str">
        <f>IF('ARDT Cutter Entry'!L7&lt;&gt;"",'ARDT Cutter Entry'!L7,"")</f>
        <v/>
      </c>
      <c r="BP7" s="684" t="str">
        <f>IF('ARDT Cutter Entry'!M7&lt;&gt;"",'ARDT Cutter Entry'!M7,"")</f>
        <v/>
      </c>
      <c r="BQ7" s="684" t="str">
        <f>IF('ARDT Cutter Entry'!N7&lt;&gt;"",'ARDT Cutter Entry'!N7,"")</f>
        <v/>
      </c>
      <c r="BR7" s="684" t="str">
        <f>IF('ARDT Cutter Entry'!O7&lt;&gt;"",'ARDT Cutter Entry'!O7,"")</f>
        <v/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" customHeight="1" x14ac:dyDescent="0.25">
      <c r="A8" s="682"/>
      <c r="B8" s="35">
        <v>5</v>
      </c>
      <c r="C8" s="683" t="str">
        <f>IF('Evaluation (2)'!C15&lt;&gt;"",LEFT('Evaluation (2)'!C15,1),"")</f>
        <v>S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O</v>
      </c>
      <c r="F8" s="684" t="str">
        <f>IF('Evaluation (2)'!F15&lt;&gt;"",LEFT('Evaluation (2)'!F15,1),"")</f>
        <v>O</v>
      </c>
      <c r="G8" s="684" t="str">
        <f>IF('Evaluation (2)'!G15&lt;&gt;"",LEFT('Evaluation (2)'!G15,1),"")</f>
        <v>O</v>
      </c>
      <c r="H8" s="684" t="str">
        <f>IF('Evaluation (2)'!H15&lt;&gt;"",LEFT('Evaluation (2)'!H15,1),"")</f>
        <v/>
      </c>
      <c r="I8" s="684" t="str">
        <f>IF('Evaluation (2)'!I15&lt;&gt;"",LEFT('Evaluation (2)'!I15,1),"")</f>
        <v/>
      </c>
      <c r="J8" s="684" t="str">
        <f>IF('Evaluation (2)'!J15&lt;&gt;"",LEFT('Evaluation (2)'!J15,1),"")</f>
        <v/>
      </c>
      <c r="K8" s="684" t="str">
        <f>IF('Evaluation (2)'!K15&lt;&gt;"",LEFT('Evaluation (2)'!K15,1),"")</f>
        <v/>
      </c>
      <c r="L8" s="684" t="str">
        <f>IF('Evaluation (2)'!L15&lt;&gt;"",LEFT('Evaluation (2)'!L15,1),"")</f>
        <v/>
      </c>
      <c r="M8" s="684" t="str">
        <f>IF('Evaluation (2)'!M15&lt;&gt;"",LEFT('Evaluation (2)'!M15,1),"")</f>
        <v/>
      </c>
      <c r="N8" s="684" t="str">
        <f>IF('Evaluation (2)'!N15&lt;&gt;"",LEFT('Evaluation (2)'!N15,1),"")</f>
        <v/>
      </c>
      <c r="O8" s="684" t="str">
        <f>IF('Evaluation (2)'!O15&lt;&gt;"",LEFT('Evaluation (2)'!O15,1),"")</f>
        <v/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S</v>
      </c>
      <c r="BG8" s="684" t="str">
        <f>IF('ARDT Cutter Entry'!D8&lt;&gt;"",'ARDT Cutter Entry'!D8,"")</f>
        <v>R</v>
      </c>
      <c r="BH8" s="684" t="str">
        <f>IF('ARDT Cutter Entry'!E8&lt;&gt;"",'ARDT Cutter Entry'!E8,"")</f>
        <v>X</v>
      </c>
      <c r="BI8" s="684" t="str">
        <f>IF('ARDT Cutter Entry'!F8&lt;&gt;"",'ARDT Cutter Entry'!F8,"")</f>
        <v>X</v>
      </c>
      <c r="BJ8" s="684" t="str">
        <f>IF('ARDT Cutter Entry'!G8&lt;&gt;"",'ARDT Cutter Entry'!G8,"")</f>
        <v>X</v>
      </c>
      <c r="BK8" s="684" t="str">
        <f>IF('ARDT Cutter Entry'!H8&lt;&gt;"",'ARDT Cutter Entry'!H8,"")</f>
        <v/>
      </c>
      <c r="BL8" s="684" t="str">
        <f>IF('ARDT Cutter Entry'!I8&lt;&gt;"",'ARDT Cutter Entry'!I8,"")</f>
        <v/>
      </c>
      <c r="BM8" s="684" t="str">
        <f>IF('ARDT Cutter Entry'!J8&lt;&gt;"",'ARDT Cutter Entry'!J8,"")</f>
        <v/>
      </c>
      <c r="BN8" s="684" t="str">
        <f>IF('ARDT Cutter Entry'!K8&lt;&gt;"",'ARDT Cutter Entry'!K8,"")</f>
        <v/>
      </c>
      <c r="BO8" s="684" t="str">
        <f>IF('ARDT Cutter Entry'!L8&lt;&gt;"",'ARDT Cutter Entry'!L8,"")</f>
        <v/>
      </c>
      <c r="BP8" s="684" t="str">
        <f>IF('ARDT Cutter Entry'!M8&lt;&gt;"",'ARDT Cutter Entry'!M8,"")</f>
        <v/>
      </c>
      <c r="BQ8" s="684" t="str">
        <f>IF('ARDT Cutter Entry'!N8&lt;&gt;"",'ARDT Cutter Entry'!N8,"")</f>
        <v/>
      </c>
      <c r="BR8" s="684" t="str">
        <f>IF('ARDT Cutter Entry'!O8&lt;&gt;"",'ARDT Cutter Entry'!O8,"")</f>
        <v/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" customHeight="1" x14ac:dyDescent="0.25">
      <c r="A9" s="682"/>
      <c r="B9" s="35">
        <v>6</v>
      </c>
      <c r="C9" s="683" t="str">
        <f>IF('Evaluation (2)'!C16&lt;&gt;"",LEFT('Evaluation (2)'!C16,1),"")</f>
        <v/>
      </c>
      <c r="D9" s="684" t="str">
        <f>IF('Evaluation (2)'!D16&lt;&gt;"",LEFT('Evaluation (2)'!D16,1),"")</f>
        <v/>
      </c>
      <c r="E9" s="684" t="str">
        <f>IF('Evaluation (2)'!E16&lt;&gt;"",LEFT('Evaluation (2)'!E16,1),"")</f>
        <v/>
      </c>
      <c r="F9" s="684" t="str">
        <f>IF('Evaluation (2)'!F16&lt;&gt;"",LEFT('Evaluation (2)'!F16,1),"")</f>
        <v/>
      </c>
      <c r="G9" s="684" t="str">
        <f>IF('Evaluation (2)'!G16&lt;&gt;"",LEFT('Evaluation (2)'!G16,1),"")</f>
        <v/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/>
      </c>
      <c r="M9" s="684" t="str">
        <f>IF('Evaluation (2)'!M16&lt;&gt;"",LEFT('Evaluation (2)'!M16,1),"")</f>
        <v/>
      </c>
      <c r="N9" s="684" t="str">
        <f>IF('Evaluation (2)'!N16&lt;&gt;"",LEFT('Evaluation (2)'!N16,1),"")</f>
        <v/>
      </c>
      <c r="O9" s="684" t="str">
        <f>IF('Evaluation (2)'!O16&lt;&gt;"",LEFT('Evaluation (2)'!O16,1),"")</f>
        <v/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/>
      </c>
      <c r="BG9" s="684" t="str">
        <f>IF('ARDT Cutter Entry'!D9&lt;&gt;"",'ARDT Cutter Entry'!D9,"")</f>
        <v/>
      </c>
      <c r="BH9" s="684" t="str">
        <f>IF('ARDT Cutter Entry'!E9&lt;&gt;"",'ARDT Cutter Entry'!E9,"")</f>
        <v/>
      </c>
      <c r="BI9" s="684" t="str">
        <f>IF('ARDT Cutter Entry'!F9&lt;&gt;"",'ARDT Cutter Entry'!F9,"")</f>
        <v/>
      </c>
      <c r="BJ9" s="684" t="str">
        <f>IF('ARDT Cutter Entry'!G9&lt;&gt;"",'ARDT Cutter Entry'!G9,"")</f>
        <v/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/>
      </c>
      <c r="BP9" s="684" t="str">
        <f>IF('ARDT Cutter Entry'!M9&lt;&gt;"",'ARDT Cutter Entry'!M9,"")</f>
        <v/>
      </c>
      <c r="BQ9" s="684" t="str">
        <f>IF('ARDT Cutter Entry'!N9&lt;&gt;"",'ARDT Cutter Entry'!N9,"")</f>
        <v/>
      </c>
      <c r="BR9" s="684" t="str">
        <f>IF('ARDT Cutter Entry'!O9&lt;&gt;"",'ARDT Cutter Entry'!O9,"")</f>
        <v/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" customHeight="1" x14ac:dyDescent="0.2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" customHeight="1" x14ac:dyDescent="0.2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" customHeight="1" x14ac:dyDescent="0.2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" customHeight="1" x14ac:dyDescent="0.2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" customHeight="1" x14ac:dyDescent="0.2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" customHeight="1" thickBot="1" x14ac:dyDescent="0.3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.75" thickBot="1" x14ac:dyDescent="0.3"/>
    <row r="20" spans="1:90" ht="24" thickBot="1" x14ac:dyDescent="0.3">
      <c r="A20" s="1193"/>
      <c r="B20" s="1194"/>
      <c r="C20" s="1194"/>
      <c r="D20" s="1194"/>
      <c r="E20" s="1194"/>
      <c r="F20" s="1194"/>
      <c r="G20" s="1194"/>
      <c r="H20" s="1194"/>
      <c r="I20" s="1194"/>
      <c r="J20" s="1194"/>
      <c r="K20" s="1194"/>
      <c r="L20" s="1194"/>
      <c r="M20" s="1194"/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  <c r="AA20" s="1194"/>
      <c r="AB20" s="1194"/>
      <c r="AC20" s="1194"/>
      <c r="AD20" s="1194"/>
      <c r="AE20" s="1194"/>
      <c r="AF20" s="1194"/>
      <c r="AG20" s="1194"/>
      <c r="AH20" s="1194"/>
      <c r="AI20" s="1194"/>
      <c r="AJ20" s="1194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25">
      <c r="A21" s="691"/>
      <c r="B21" s="718"/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.75" thickBot="1" x14ac:dyDescent="0.3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0</v>
      </c>
      <c r="L22" s="35">
        <f>IF(Data!$BQ$44&lt;&gt;0,IF(AND(K22&lt;&gt;0,Data!$BQ$44&gt;K22),K22+1,0),0)</f>
        <v>0</v>
      </c>
      <c r="M22" s="35">
        <f>IF(Data!$BQ$44&lt;&gt;0,IF(AND(L22&lt;&gt;0,Data!$BQ$44&gt;L22),L22+1,0),0)</f>
        <v>0</v>
      </c>
      <c r="N22" s="35">
        <f>IF(Data!$BQ$44&lt;&gt;0,IF(AND(M22&lt;&gt;0,Data!$BQ$44&gt;M22),M22+1,0),0)</f>
        <v>0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0</v>
      </c>
      <c r="BO22" s="355">
        <f>IF(Data!$BQ$44&lt;&gt;0,IF(AND(BN22&lt;&gt;0,Data!$BQ$44&gt;BN22),BN22+1,0),0)</f>
        <v>0</v>
      </c>
      <c r="BP22" s="355">
        <f>IF(Data!$BQ$44&lt;&gt;0,IF(AND(BO22&lt;&gt;0,Data!$BQ$44&gt;BO22),BO22+1,0),0)</f>
        <v>0</v>
      </c>
      <c r="BQ22" s="355">
        <f>IF(Data!$BQ$44&lt;&gt;0,IF(AND(BP22&lt;&gt;0,Data!$BQ$44&gt;BP22),BP22+1,0),0)</f>
        <v>0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75" x14ac:dyDescent="0.25">
      <c r="A23" s="707"/>
      <c r="B23" s="746">
        <v>1</v>
      </c>
      <c r="C23" s="725" t="str">
        <f t="shared" ref="C23:AJ23" si="0">IF(C102&lt;&gt;"",C102,"")</f>
        <v>O</v>
      </c>
      <c r="D23" s="705" t="str">
        <f t="shared" si="0"/>
        <v>O</v>
      </c>
      <c r="E23" s="705" t="str">
        <f t="shared" si="0"/>
        <v>O</v>
      </c>
      <c r="F23" s="705" t="str">
        <f t="shared" si="0"/>
        <v>R</v>
      </c>
      <c r="G23" s="705" t="str">
        <f t="shared" si="0"/>
        <v>S</v>
      </c>
      <c r="H23" s="705" t="str">
        <f t="shared" si="0"/>
        <v>O</v>
      </c>
      <c r="I23" s="705" t="str">
        <f t="shared" si="0"/>
        <v>O</v>
      </c>
      <c r="J23" s="705" t="str">
        <f t="shared" si="0"/>
        <v>O</v>
      </c>
      <c r="K23" s="705" t="str">
        <f t="shared" si="0"/>
        <v xml:space="preserve"> </v>
      </c>
      <c r="L23" s="705" t="str">
        <f t="shared" si="0"/>
        <v xml:space="preserve"> </v>
      </c>
      <c r="M23" s="705" t="str">
        <f t="shared" si="0"/>
        <v xml:space="preserve"> </v>
      </c>
      <c r="N23" s="705" t="str">
        <f t="shared" si="0"/>
        <v xml:space="preserve"> 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O</v>
      </c>
      <c r="BG23" s="748" t="str">
        <f t="shared" si="1"/>
        <v>O</v>
      </c>
      <c r="BH23" s="748" t="str">
        <f t="shared" si="1"/>
        <v>O</v>
      </c>
      <c r="BI23" s="748" t="str">
        <f t="shared" si="1"/>
        <v>R</v>
      </c>
      <c r="BJ23" s="748" t="str">
        <f t="shared" si="1"/>
        <v>S</v>
      </c>
      <c r="BK23" s="748" t="str">
        <f t="shared" si="1"/>
        <v>O</v>
      </c>
      <c r="BL23" s="748" t="str">
        <f t="shared" si="1"/>
        <v>O</v>
      </c>
      <c r="BM23" s="748" t="str">
        <f t="shared" si="1"/>
        <v>O</v>
      </c>
      <c r="BN23" s="748" t="str">
        <f t="shared" si="1"/>
        <v xml:space="preserve"> </v>
      </c>
      <c r="BO23" s="748" t="str">
        <f t="shared" si="1"/>
        <v xml:space="preserve"> </v>
      </c>
      <c r="BP23" s="748" t="str">
        <f t="shared" si="1"/>
        <v xml:space="preserve"> </v>
      </c>
      <c r="BQ23" s="748" t="str">
        <f t="shared" si="1"/>
        <v xml:space="preserve"> 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75" x14ac:dyDescent="0.25">
      <c r="A24" s="707"/>
      <c r="B24" s="726">
        <v>2</v>
      </c>
      <c r="C24" s="727" t="str">
        <f t="shared" ref="C24:AJ24" si="2">IF(C103&lt;&gt;"",C103,"")</f>
        <v>O</v>
      </c>
      <c r="D24" s="166" t="str">
        <f t="shared" si="2"/>
        <v>O</v>
      </c>
      <c r="E24" s="166" t="str">
        <f t="shared" si="2"/>
        <v>O</v>
      </c>
      <c r="F24" s="166" t="str">
        <f t="shared" si="2"/>
        <v>O</v>
      </c>
      <c r="G24" s="166" t="str">
        <f t="shared" si="2"/>
        <v>O</v>
      </c>
      <c r="H24" s="166" t="str">
        <f t="shared" si="2"/>
        <v xml:space="preserve"> </v>
      </c>
      <c r="I24" s="166" t="str">
        <f t="shared" si="2"/>
        <v xml:space="preserve"> </v>
      </c>
      <c r="J24" s="166" t="str">
        <f t="shared" si="2"/>
        <v xml:space="preserve"> </v>
      </c>
      <c r="K24" s="166" t="str">
        <f t="shared" si="2"/>
        <v xml:space="preserve"> 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O</v>
      </c>
      <c r="BG24" s="166" t="str">
        <f t="shared" si="3"/>
        <v>O</v>
      </c>
      <c r="BH24" s="166" t="str">
        <f t="shared" si="3"/>
        <v>O</v>
      </c>
      <c r="BI24" s="166" t="str">
        <f t="shared" si="3"/>
        <v>O</v>
      </c>
      <c r="BJ24" s="166" t="str">
        <f t="shared" si="3"/>
        <v>O</v>
      </c>
      <c r="BK24" s="166" t="str">
        <f t="shared" si="3"/>
        <v xml:space="preserve"> </v>
      </c>
      <c r="BL24" s="166" t="str">
        <f t="shared" si="3"/>
        <v xml:space="preserve"> </v>
      </c>
      <c r="BM24" s="166" t="str">
        <f t="shared" si="3"/>
        <v xml:space="preserve"> </v>
      </c>
      <c r="BN24" s="166" t="str">
        <f t="shared" si="3"/>
        <v xml:space="preserve"> 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75" x14ac:dyDescent="0.25">
      <c r="A25" s="707"/>
      <c r="B25" s="726">
        <v>3</v>
      </c>
      <c r="C25" s="727" t="str">
        <f t="shared" ref="C25:AJ25" si="4">IF(C104&lt;&gt;"",C104,"")</f>
        <v>O</v>
      </c>
      <c r="D25" s="166" t="str">
        <f t="shared" si="4"/>
        <v>O</v>
      </c>
      <c r="E25" s="166" t="str">
        <f t="shared" si="4"/>
        <v>O</v>
      </c>
      <c r="F25" s="166" t="str">
        <f t="shared" si="4"/>
        <v>S</v>
      </c>
      <c r="G25" s="166" t="str">
        <f t="shared" si="4"/>
        <v>O</v>
      </c>
      <c r="H25" s="166" t="str">
        <f t="shared" si="4"/>
        <v>O</v>
      </c>
      <c r="I25" s="166" t="str">
        <f t="shared" si="4"/>
        <v>O</v>
      </c>
      <c r="J25" s="166" t="str">
        <f t="shared" si="4"/>
        <v xml:space="preserve"> </v>
      </c>
      <c r="K25" s="166" t="str">
        <f t="shared" si="4"/>
        <v xml:space="preserve"> </v>
      </c>
      <c r="L25" s="166" t="str">
        <f t="shared" si="4"/>
        <v xml:space="preserve"> 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O</v>
      </c>
      <c r="BG25" s="166" t="str">
        <f t="shared" si="5"/>
        <v>O</v>
      </c>
      <c r="BH25" s="166" t="str">
        <f t="shared" si="5"/>
        <v>O</v>
      </c>
      <c r="BI25" s="166" t="str">
        <f t="shared" si="5"/>
        <v>S</v>
      </c>
      <c r="BJ25" s="166" t="str">
        <f t="shared" si="5"/>
        <v>O</v>
      </c>
      <c r="BK25" s="166" t="str">
        <f t="shared" si="5"/>
        <v>O</v>
      </c>
      <c r="BL25" s="166" t="str">
        <f t="shared" si="5"/>
        <v>O</v>
      </c>
      <c r="BM25" s="166" t="str">
        <f t="shared" si="5"/>
        <v xml:space="preserve"> </v>
      </c>
      <c r="BN25" s="166" t="str">
        <f t="shared" si="5"/>
        <v xml:space="preserve"> </v>
      </c>
      <c r="BO25" s="166" t="str">
        <f t="shared" si="5"/>
        <v xml:space="preserve"> 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75" x14ac:dyDescent="0.25">
      <c r="A26" s="707"/>
      <c r="B26" s="726">
        <v>4</v>
      </c>
      <c r="C26" s="727" t="str">
        <f t="shared" ref="C26:AJ26" si="6">IF(C105&lt;&gt;"",C105,"")</f>
        <v>O</v>
      </c>
      <c r="D26" s="166" t="str">
        <f t="shared" si="6"/>
        <v>O</v>
      </c>
      <c r="E26" s="166" t="str">
        <f t="shared" si="6"/>
        <v>O</v>
      </c>
      <c r="F26" s="166" t="str">
        <f t="shared" si="6"/>
        <v>S</v>
      </c>
      <c r="G26" s="166" t="str">
        <f t="shared" si="6"/>
        <v>O</v>
      </c>
      <c r="H26" s="166" t="str">
        <f t="shared" si="6"/>
        <v>O</v>
      </c>
      <c r="I26" s="166" t="str">
        <f t="shared" si="6"/>
        <v>O</v>
      </c>
      <c r="J26" s="166" t="str">
        <f t="shared" si="6"/>
        <v>O</v>
      </c>
      <c r="K26" s="166" t="str">
        <f t="shared" si="6"/>
        <v xml:space="preserve"> </v>
      </c>
      <c r="L26" s="166" t="str">
        <f t="shared" si="6"/>
        <v xml:space="preserve"> 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O</v>
      </c>
      <c r="BG26" s="166" t="str">
        <f t="shared" si="7"/>
        <v>O</v>
      </c>
      <c r="BH26" s="166" t="str">
        <f t="shared" si="7"/>
        <v>O</v>
      </c>
      <c r="BI26" s="166" t="str">
        <f t="shared" si="7"/>
        <v>S</v>
      </c>
      <c r="BJ26" s="166" t="str">
        <f t="shared" si="7"/>
        <v>O</v>
      </c>
      <c r="BK26" s="166" t="str">
        <f t="shared" si="7"/>
        <v>O</v>
      </c>
      <c r="BL26" s="166" t="str">
        <f t="shared" si="7"/>
        <v>O</v>
      </c>
      <c r="BM26" s="166" t="str">
        <f t="shared" si="7"/>
        <v>O</v>
      </c>
      <c r="BN26" s="166" t="str">
        <f t="shared" si="7"/>
        <v xml:space="preserve"> </v>
      </c>
      <c r="BO26" s="166" t="str">
        <f t="shared" si="7"/>
        <v xml:space="preserve"> 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75" x14ac:dyDescent="0.25">
      <c r="A27" s="707"/>
      <c r="B27" s="726">
        <v>5</v>
      </c>
      <c r="C27" s="727" t="str">
        <f t="shared" ref="C27:AJ27" si="8">IF(C106&lt;&gt;"",C106,"")</f>
        <v>S</v>
      </c>
      <c r="D27" s="166" t="str">
        <f t="shared" si="8"/>
        <v>R</v>
      </c>
      <c r="E27" s="166" t="str">
        <f t="shared" si="8"/>
        <v>O</v>
      </c>
      <c r="F27" s="166" t="str">
        <f t="shared" si="8"/>
        <v>O</v>
      </c>
      <c r="G27" s="166" t="str">
        <f t="shared" si="8"/>
        <v>O</v>
      </c>
      <c r="H27" s="166" t="str">
        <f t="shared" si="8"/>
        <v xml:space="preserve"> </v>
      </c>
      <c r="I27" s="166" t="str">
        <f t="shared" si="8"/>
        <v xml:space="preserve"> </v>
      </c>
      <c r="J27" s="166" t="str">
        <f t="shared" si="8"/>
        <v xml:space="preserve"> </v>
      </c>
      <c r="K27" s="166" t="str">
        <f t="shared" si="8"/>
        <v xml:space="preserve"> </v>
      </c>
      <c r="L27" s="166" t="str">
        <f t="shared" si="8"/>
        <v xml:space="preserve"> </v>
      </c>
      <c r="M27" s="166" t="str">
        <f t="shared" si="8"/>
        <v xml:space="preserve"> </v>
      </c>
      <c r="N27" s="166" t="str">
        <f t="shared" si="8"/>
        <v xml:space="preserve"> 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S</v>
      </c>
      <c r="BG27" s="166" t="str">
        <f t="shared" si="9"/>
        <v>R</v>
      </c>
      <c r="BH27" s="166" t="str">
        <f t="shared" si="9"/>
        <v>O</v>
      </c>
      <c r="BI27" s="166" t="str">
        <f t="shared" si="9"/>
        <v>O</v>
      </c>
      <c r="BJ27" s="166" t="str">
        <f t="shared" si="9"/>
        <v>O</v>
      </c>
      <c r="BK27" s="166" t="str">
        <f t="shared" si="9"/>
        <v xml:space="preserve"> </v>
      </c>
      <c r="BL27" s="166" t="str">
        <f t="shared" si="9"/>
        <v xml:space="preserve"> </v>
      </c>
      <c r="BM27" s="166" t="str">
        <f t="shared" si="9"/>
        <v xml:space="preserve"> </v>
      </c>
      <c r="BN27" s="166" t="str">
        <f t="shared" si="9"/>
        <v xml:space="preserve"> </v>
      </c>
      <c r="BO27" s="166" t="str">
        <f t="shared" si="9"/>
        <v xml:space="preserve"> </v>
      </c>
      <c r="BP27" s="166" t="str">
        <f t="shared" si="9"/>
        <v xml:space="preserve"> </v>
      </c>
      <c r="BQ27" s="166" t="str">
        <f t="shared" si="9"/>
        <v xml:space="preserve"> 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75" x14ac:dyDescent="0.25">
      <c r="A28" s="707"/>
      <c r="B28" s="726">
        <v>6</v>
      </c>
      <c r="C28" s="727" t="str">
        <f t="shared" ref="C28:AJ28" si="10">IF(C107&lt;&gt;"",C107,"")</f>
        <v xml:space="preserve"> </v>
      </c>
      <c r="D28" s="166" t="str">
        <f t="shared" si="10"/>
        <v xml:space="preserve"> </v>
      </c>
      <c r="E28" s="166" t="str">
        <f t="shared" si="10"/>
        <v xml:space="preserve"> </v>
      </c>
      <c r="F28" s="166" t="str">
        <f t="shared" si="10"/>
        <v xml:space="preserve"> </v>
      </c>
      <c r="G28" s="166" t="str">
        <f t="shared" si="10"/>
        <v xml:space="preserve"> </v>
      </c>
      <c r="H28" s="166" t="str">
        <f t="shared" si="10"/>
        <v xml:space="preserve"> </v>
      </c>
      <c r="I28" s="166" t="str">
        <f t="shared" si="10"/>
        <v xml:space="preserve"> </v>
      </c>
      <c r="J28" s="166" t="str">
        <f t="shared" si="10"/>
        <v xml:space="preserve"> </v>
      </c>
      <c r="K28" s="166" t="str">
        <f t="shared" si="10"/>
        <v xml:space="preserve"> 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 xml:space="preserve"> </v>
      </c>
      <c r="BG28" s="166" t="str">
        <f t="shared" si="11"/>
        <v xml:space="preserve"> </v>
      </c>
      <c r="BH28" s="166" t="str">
        <f t="shared" si="11"/>
        <v xml:space="preserve"> </v>
      </c>
      <c r="BI28" s="166" t="str">
        <f t="shared" si="11"/>
        <v xml:space="preserve"> </v>
      </c>
      <c r="BJ28" s="166" t="str">
        <f t="shared" si="11"/>
        <v xml:space="preserve"> </v>
      </c>
      <c r="BK28" s="166" t="str">
        <f t="shared" si="11"/>
        <v xml:space="preserve"> </v>
      </c>
      <c r="BL28" s="166" t="str">
        <f t="shared" si="11"/>
        <v xml:space="preserve"> </v>
      </c>
      <c r="BM28" s="166" t="str">
        <f t="shared" si="11"/>
        <v xml:space="preserve"> </v>
      </c>
      <c r="BN28" s="166" t="str">
        <f t="shared" si="11"/>
        <v xml:space="preserve"> 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75" x14ac:dyDescent="0.2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75" x14ac:dyDescent="0.2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75" x14ac:dyDescent="0.2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75" x14ac:dyDescent="0.2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75" x14ac:dyDescent="0.2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.5" thickBot="1" x14ac:dyDescent="0.3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2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2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2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3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.75" thickBot="1" x14ac:dyDescent="0.3">
      <c r="A40" s="691"/>
      <c r="B40" s="735"/>
      <c r="C40" s="1191"/>
      <c r="D40" s="1192"/>
      <c r="E40" s="1192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.75" thickBot="1" x14ac:dyDescent="0.3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0</v>
      </c>
      <c r="L41" s="700">
        <f>IF(Data!$BQ$44&lt;&gt;0,IF(AND(K41&lt;&gt;0,Data!$BQ$44&gt;K41),K41+1,0),0)</f>
        <v>0</v>
      </c>
      <c r="M41" s="700">
        <f>IF(Data!$BQ$44&lt;&gt;0,IF(AND(L41&lt;&gt;0,Data!$BQ$44&gt;L41),L41+1,0),0)</f>
        <v>0</v>
      </c>
      <c r="N41" s="700">
        <f>IF(Data!$BQ$44&lt;&gt;0,IF(AND(M41&lt;&gt;0,Data!$BQ$44&gt;M41),M41+1,0),0)</f>
        <v>0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0</v>
      </c>
      <c r="BO41" s="35">
        <f>IF(Data!$BQ$44&lt;&gt;0,IF(AND(BN41&lt;&gt;0,Data!$BQ$44&gt;BN41),BN41+1,0),0)</f>
        <v>0</v>
      </c>
      <c r="BP41" s="35">
        <f>IF(Data!$BQ$44&lt;&gt;0,IF(AND(BO41&lt;&gt;0,Data!$BQ$44&gt;BO41),BO41+1,0),0)</f>
        <v>0</v>
      </c>
      <c r="BQ41" s="35">
        <f>IF(Data!$BQ$44&lt;&gt;0,IF(AND(BP41&lt;&gt;0,Data!$BQ$44&gt;BP41),BP41+1,0),0)</f>
        <v>0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75" x14ac:dyDescent="0.25">
      <c r="A42" s="702"/>
      <c r="B42" s="724">
        <v>1</v>
      </c>
      <c r="C42" s="747" t="str">
        <f>IF(C102&lt;&gt;"",SUBSTITUTE(SUBSTITUTE(SUBSTITUTE(C102,"F","O"),"S","O"),"L","X"),"")</f>
        <v>O</v>
      </c>
      <c r="D42" s="748" t="str">
        <f t="shared" ref="D42:AJ42" si="27">IF(D102&lt;&gt;"",SUBSTITUTE(SUBSTITUTE(SUBSTITUTE(D102,"F","O"),"S","O"),"L","X"),"")</f>
        <v>O</v>
      </c>
      <c r="E42" s="748" t="str">
        <f t="shared" si="27"/>
        <v>O</v>
      </c>
      <c r="F42" s="748" t="str">
        <f t="shared" si="27"/>
        <v>R</v>
      </c>
      <c r="G42" s="748" t="str">
        <f t="shared" si="27"/>
        <v>O</v>
      </c>
      <c r="H42" s="748" t="str">
        <f t="shared" si="27"/>
        <v>O</v>
      </c>
      <c r="I42" s="748" t="str">
        <f t="shared" si="27"/>
        <v>O</v>
      </c>
      <c r="J42" s="748" t="str">
        <f t="shared" si="27"/>
        <v>O</v>
      </c>
      <c r="K42" s="748" t="str">
        <f t="shared" si="27"/>
        <v xml:space="preserve"> </v>
      </c>
      <c r="L42" s="748" t="str">
        <f t="shared" si="27"/>
        <v xml:space="preserve"> </v>
      </c>
      <c r="M42" s="748" t="str">
        <f t="shared" si="27"/>
        <v xml:space="preserve"> </v>
      </c>
      <c r="N42" s="748" t="str">
        <f t="shared" si="27"/>
        <v xml:space="preserve"> 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O</v>
      </c>
      <c r="BG42" s="705" t="str">
        <f t="shared" ref="BG42:CL42" si="28">IF(BG102&lt;&gt;"",SUBSTITUTE(SUBSTITUTE(SUBSTITUTE(BG102,"F","O"),"S","O"),"L","X"),"")</f>
        <v>O</v>
      </c>
      <c r="BH42" s="705" t="str">
        <f t="shared" si="28"/>
        <v>O</v>
      </c>
      <c r="BI42" s="705" t="str">
        <f t="shared" si="28"/>
        <v>R</v>
      </c>
      <c r="BJ42" s="705" t="str">
        <f t="shared" si="28"/>
        <v>O</v>
      </c>
      <c r="BK42" s="705" t="str">
        <f t="shared" si="28"/>
        <v>O</v>
      </c>
      <c r="BL42" s="705" t="str">
        <f t="shared" si="28"/>
        <v>O</v>
      </c>
      <c r="BM42" s="705" t="str">
        <f t="shared" si="28"/>
        <v>O</v>
      </c>
      <c r="BN42" s="705" t="str">
        <f t="shared" si="28"/>
        <v xml:space="preserve"> </v>
      </c>
      <c r="BO42" s="705" t="str">
        <f t="shared" si="28"/>
        <v xml:space="preserve"> </v>
      </c>
      <c r="BP42" s="705" t="str">
        <f t="shared" si="28"/>
        <v xml:space="preserve"> </v>
      </c>
      <c r="BQ42" s="705" t="str">
        <f t="shared" si="28"/>
        <v xml:space="preserve"> 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75" x14ac:dyDescent="0.25">
      <c r="A43" s="707"/>
      <c r="B43" s="726">
        <v>2</v>
      </c>
      <c r="C43" s="727" t="str">
        <f t="shared" ref="C43:AJ43" si="29">IF(C103&lt;&gt;"",SUBSTITUTE(SUBSTITUTE(SUBSTITUTE(C103,"F","O"),"S","O"),"L","X"),"")</f>
        <v>O</v>
      </c>
      <c r="D43" s="166" t="str">
        <f t="shared" si="29"/>
        <v>O</v>
      </c>
      <c r="E43" s="166" t="str">
        <f t="shared" si="29"/>
        <v>O</v>
      </c>
      <c r="F43" s="166" t="str">
        <f t="shared" si="29"/>
        <v>O</v>
      </c>
      <c r="G43" s="166" t="str">
        <f t="shared" si="29"/>
        <v>O</v>
      </c>
      <c r="H43" s="166" t="str">
        <f t="shared" si="29"/>
        <v xml:space="preserve"> </v>
      </c>
      <c r="I43" s="166" t="str">
        <f t="shared" si="29"/>
        <v xml:space="preserve"> </v>
      </c>
      <c r="J43" s="166" t="str">
        <f t="shared" si="29"/>
        <v xml:space="preserve"> </v>
      </c>
      <c r="K43" s="166" t="str">
        <f t="shared" si="29"/>
        <v xml:space="preserve"> 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O</v>
      </c>
      <c r="BG43" s="166" t="str">
        <f t="shared" si="30"/>
        <v>O</v>
      </c>
      <c r="BH43" s="166" t="str">
        <f t="shared" si="30"/>
        <v>O</v>
      </c>
      <c r="BI43" s="166" t="str">
        <f t="shared" si="30"/>
        <v>O</v>
      </c>
      <c r="BJ43" s="166" t="str">
        <f t="shared" si="30"/>
        <v>O</v>
      </c>
      <c r="BK43" s="166" t="str">
        <f t="shared" si="30"/>
        <v xml:space="preserve"> </v>
      </c>
      <c r="BL43" s="166" t="str">
        <f t="shared" si="30"/>
        <v xml:space="preserve"> </v>
      </c>
      <c r="BM43" s="166" t="str">
        <f t="shared" si="30"/>
        <v xml:space="preserve"> </v>
      </c>
      <c r="BN43" s="166" t="str">
        <f t="shared" si="30"/>
        <v xml:space="preserve"> 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75" x14ac:dyDescent="0.25">
      <c r="A44" s="707"/>
      <c r="B44" s="726">
        <v>3</v>
      </c>
      <c r="C44" s="727" t="str">
        <f t="shared" ref="C44:AJ44" si="31">IF(C104&lt;&gt;"",SUBSTITUTE(SUBSTITUTE(SUBSTITUTE(C104,"F","O"),"S","O"),"L","X"),"")</f>
        <v>O</v>
      </c>
      <c r="D44" s="166" t="str">
        <f t="shared" si="31"/>
        <v>O</v>
      </c>
      <c r="E44" s="166" t="str">
        <f t="shared" si="31"/>
        <v>O</v>
      </c>
      <c r="F44" s="166" t="str">
        <f t="shared" si="31"/>
        <v>O</v>
      </c>
      <c r="G44" s="166" t="str">
        <f t="shared" si="31"/>
        <v>O</v>
      </c>
      <c r="H44" s="166" t="str">
        <f t="shared" si="31"/>
        <v>O</v>
      </c>
      <c r="I44" s="166" t="str">
        <f t="shared" si="31"/>
        <v>O</v>
      </c>
      <c r="J44" s="166" t="str">
        <f t="shared" si="31"/>
        <v xml:space="preserve"> </v>
      </c>
      <c r="K44" s="166" t="str">
        <f t="shared" si="31"/>
        <v xml:space="preserve"> </v>
      </c>
      <c r="L44" s="166" t="str">
        <f t="shared" si="31"/>
        <v xml:space="preserve"> 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O</v>
      </c>
      <c r="BG44" s="166" t="str">
        <f t="shared" si="32"/>
        <v>O</v>
      </c>
      <c r="BH44" s="166" t="str">
        <f t="shared" si="32"/>
        <v>O</v>
      </c>
      <c r="BI44" s="166" t="str">
        <f t="shared" si="32"/>
        <v>O</v>
      </c>
      <c r="BJ44" s="166" t="str">
        <f t="shared" si="32"/>
        <v>O</v>
      </c>
      <c r="BK44" s="166" t="str">
        <f t="shared" si="32"/>
        <v>O</v>
      </c>
      <c r="BL44" s="166" t="str">
        <f t="shared" si="32"/>
        <v>O</v>
      </c>
      <c r="BM44" s="166" t="str">
        <f t="shared" si="32"/>
        <v xml:space="preserve"> </v>
      </c>
      <c r="BN44" s="166" t="str">
        <f t="shared" si="32"/>
        <v xml:space="preserve"> </v>
      </c>
      <c r="BO44" s="166" t="str">
        <f t="shared" si="32"/>
        <v xml:space="preserve"> 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75" x14ac:dyDescent="0.25">
      <c r="A45" s="707"/>
      <c r="B45" s="726">
        <v>4</v>
      </c>
      <c r="C45" s="727" t="str">
        <f t="shared" ref="C45:AJ45" si="33">IF(C105&lt;&gt;"",SUBSTITUTE(SUBSTITUTE(SUBSTITUTE(C105,"F","O"),"S","O"),"L","X"),"")</f>
        <v>O</v>
      </c>
      <c r="D45" s="166" t="str">
        <f t="shared" si="33"/>
        <v>O</v>
      </c>
      <c r="E45" s="166" t="str">
        <f t="shared" si="33"/>
        <v>O</v>
      </c>
      <c r="F45" s="166" t="str">
        <f t="shared" si="33"/>
        <v>O</v>
      </c>
      <c r="G45" s="166" t="str">
        <f t="shared" si="33"/>
        <v>O</v>
      </c>
      <c r="H45" s="166" t="str">
        <f t="shared" si="33"/>
        <v>O</v>
      </c>
      <c r="I45" s="166" t="str">
        <f t="shared" si="33"/>
        <v>O</v>
      </c>
      <c r="J45" s="166" t="str">
        <f t="shared" si="33"/>
        <v>O</v>
      </c>
      <c r="K45" s="166" t="str">
        <f t="shared" si="33"/>
        <v xml:space="preserve"> </v>
      </c>
      <c r="L45" s="166" t="str">
        <f t="shared" si="33"/>
        <v xml:space="preserve"> 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O</v>
      </c>
      <c r="BG45" s="166" t="str">
        <f t="shared" si="34"/>
        <v>O</v>
      </c>
      <c r="BH45" s="166" t="str">
        <f t="shared" si="34"/>
        <v>O</v>
      </c>
      <c r="BI45" s="166" t="str">
        <f t="shared" si="34"/>
        <v>O</v>
      </c>
      <c r="BJ45" s="166" t="str">
        <f t="shared" si="34"/>
        <v>O</v>
      </c>
      <c r="BK45" s="166" t="str">
        <f t="shared" si="34"/>
        <v>O</v>
      </c>
      <c r="BL45" s="166" t="str">
        <f t="shared" si="34"/>
        <v>O</v>
      </c>
      <c r="BM45" s="166" t="str">
        <f t="shared" si="34"/>
        <v>O</v>
      </c>
      <c r="BN45" s="166" t="str">
        <f t="shared" si="34"/>
        <v xml:space="preserve"> </v>
      </c>
      <c r="BO45" s="166" t="str">
        <f t="shared" si="34"/>
        <v xml:space="preserve"> 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75" x14ac:dyDescent="0.25">
      <c r="A46" s="707"/>
      <c r="B46" s="726">
        <v>5</v>
      </c>
      <c r="C46" s="727" t="str">
        <f t="shared" ref="C46:AJ46" si="35">IF(C106&lt;&gt;"",SUBSTITUTE(SUBSTITUTE(SUBSTITUTE(C106,"F","O"),"S","O"),"L","X"),"")</f>
        <v>O</v>
      </c>
      <c r="D46" s="166" t="str">
        <f t="shared" si="35"/>
        <v>R</v>
      </c>
      <c r="E46" s="166" t="str">
        <f t="shared" si="35"/>
        <v>O</v>
      </c>
      <c r="F46" s="166" t="str">
        <f t="shared" si="35"/>
        <v>O</v>
      </c>
      <c r="G46" s="166" t="str">
        <f t="shared" si="35"/>
        <v>O</v>
      </c>
      <c r="H46" s="166" t="str">
        <f t="shared" si="35"/>
        <v xml:space="preserve"> </v>
      </c>
      <c r="I46" s="166" t="str">
        <f t="shared" si="35"/>
        <v xml:space="preserve"> </v>
      </c>
      <c r="J46" s="166" t="str">
        <f t="shared" si="35"/>
        <v xml:space="preserve"> </v>
      </c>
      <c r="K46" s="166" t="str">
        <f t="shared" si="35"/>
        <v xml:space="preserve"> </v>
      </c>
      <c r="L46" s="166" t="str">
        <f t="shared" si="35"/>
        <v xml:space="preserve"> </v>
      </c>
      <c r="M46" s="166" t="str">
        <f t="shared" si="35"/>
        <v xml:space="preserve"> </v>
      </c>
      <c r="N46" s="166" t="str">
        <f t="shared" si="35"/>
        <v xml:space="preserve"> 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O</v>
      </c>
      <c r="BG46" s="166" t="str">
        <f t="shared" si="36"/>
        <v>R</v>
      </c>
      <c r="BH46" s="166" t="str">
        <f t="shared" si="36"/>
        <v>O</v>
      </c>
      <c r="BI46" s="166" t="str">
        <f t="shared" si="36"/>
        <v>O</v>
      </c>
      <c r="BJ46" s="166" t="str">
        <f t="shared" si="36"/>
        <v>O</v>
      </c>
      <c r="BK46" s="166" t="str">
        <f t="shared" si="36"/>
        <v xml:space="preserve"> </v>
      </c>
      <c r="BL46" s="166" t="str">
        <f t="shared" si="36"/>
        <v xml:space="preserve"> </v>
      </c>
      <c r="BM46" s="166" t="str">
        <f t="shared" si="36"/>
        <v xml:space="preserve"> </v>
      </c>
      <c r="BN46" s="166" t="str">
        <f t="shared" si="36"/>
        <v xml:space="preserve"> </v>
      </c>
      <c r="BO46" s="166" t="str">
        <f t="shared" si="36"/>
        <v xml:space="preserve"> </v>
      </c>
      <c r="BP46" s="166" t="str">
        <f t="shared" si="36"/>
        <v xml:space="preserve"> </v>
      </c>
      <c r="BQ46" s="166" t="str">
        <f t="shared" si="36"/>
        <v xml:space="preserve"> 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75" x14ac:dyDescent="0.25">
      <c r="A47" s="707"/>
      <c r="B47" s="726">
        <v>6</v>
      </c>
      <c r="C47" s="727" t="str">
        <f t="shared" ref="C47:AJ47" si="37">IF(C107&lt;&gt;"",SUBSTITUTE(SUBSTITUTE(SUBSTITUTE(C107,"F","O"),"S","O"),"L","X"),"")</f>
        <v xml:space="preserve"> </v>
      </c>
      <c r="D47" s="166" t="str">
        <f t="shared" si="37"/>
        <v xml:space="preserve"> </v>
      </c>
      <c r="E47" s="166" t="str">
        <f t="shared" si="37"/>
        <v xml:space="preserve"> </v>
      </c>
      <c r="F47" s="166" t="str">
        <f t="shared" si="37"/>
        <v xml:space="preserve"> </v>
      </c>
      <c r="G47" s="166" t="str">
        <f t="shared" si="37"/>
        <v xml:space="preserve"> </v>
      </c>
      <c r="H47" s="166" t="str">
        <f t="shared" si="37"/>
        <v xml:space="preserve"> </v>
      </c>
      <c r="I47" s="166" t="str">
        <f t="shared" si="37"/>
        <v xml:space="preserve"> </v>
      </c>
      <c r="J47" s="166" t="str">
        <f t="shared" si="37"/>
        <v xml:space="preserve"> </v>
      </c>
      <c r="K47" s="166" t="str">
        <f t="shared" si="37"/>
        <v xml:space="preserve"> 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 xml:space="preserve"> </v>
      </c>
      <c r="BG47" s="166" t="str">
        <f t="shared" si="38"/>
        <v xml:space="preserve"> </v>
      </c>
      <c r="BH47" s="166" t="str">
        <f t="shared" si="38"/>
        <v xml:space="preserve"> </v>
      </c>
      <c r="BI47" s="166" t="str">
        <f t="shared" si="38"/>
        <v xml:space="preserve"> </v>
      </c>
      <c r="BJ47" s="166" t="str">
        <f t="shared" si="38"/>
        <v xml:space="preserve"> </v>
      </c>
      <c r="BK47" s="166" t="str">
        <f t="shared" si="38"/>
        <v xml:space="preserve"> </v>
      </c>
      <c r="BL47" s="166" t="str">
        <f t="shared" si="38"/>
        <v xml:space="preserve"> </v>
      </c>
      <c r="BM47" s="166" t="str">
        <f t="shared" si="38"/>
        <v xml:space="preserve"> </v>
      </c>
      <c r="BN47" s="166" t="str">
        <f t="shared" si="38"/>
        <v xml:space="preserve"> 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75" x14ac:dyDescent="0.2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75" x14ac:dyDescent="0.2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75" x14ac:dyDescent="0.2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2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2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3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25"/>
    <row r="55" spans="1:107" ht="13.5" customHeight="1" x14ac:dyDescent="0.25"/>
    <row r="56" spans="1:107" ht="13.5" customHeight="1" x14ac:dyDescent="0.25"/>
    <row r="57" spans="1:107" ht="13.5" customHeight="1" x14ac:dyDescent="0.25"/>
    <row r="58" spans="1:107" ht="13.5" customHeight="1" x14ac:dyDescent="0.25"/>
    <row r="59" spans="1:107" ht="13.5" customHeight="1" x14ac:dyDescent="0.25"/>
    <row r="60" spans="1:107" ht="13.5" customHeight="1" x14ac:dyDescent="0.25"/>
    <row r="61" spans="1:107" ht="13.5" customHeight="1" x14ac:dyDescent="0.25"/>
    <row r="62" spans="1:107" ht="13.5" customHeight="1" x14ac:dyDescent="0.25"/>
    <row r="63" spans="1:107" ht="13.5" customHeight="1" thickBot="1" x14ac:dyDescent="0.3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25">
      <c r="B64" s="118" t="str">
        <f t="array" ref="B64:B97">TRANSPOSE(BLADE1)</f>
        <v>O</v>
      </c>
      <c r="C64" s="320" t="str">
        <f t="array" ref="C64:C97">TRANSPOSE(BLADE2)</f>
        <v>O</v>
      </c>
      <c r="D64" s="320" t="str">
        <f t="array" ref="D64:D97">TRANSPOSE(BLADE3)</f>
        <v>O</v>
      </c>
      <c r="E64" s="320" t="str">
        <f t="array" ref="E64:E97">TRANSPOSE(BLADE4)</f>
        <v>O</v>
      </c>
      <c r="F64" s="320" t="str">
        <f t="array" ref="F64:F97">TRANSPOSE(BLADE5)</f>
        <v>S</v>
      </c>
      <c r="G64" s="320" t="str">
        <f t="array" ref="G64:G97">TRANSPOSE(BLADE6)</f>
        <v/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O</v>
      </c>
      <c r="P64" s="320" t="str">
        <f t="shared" ref="P64:Z79" si="51">IF(C64=0,"",C64)</f>
        <v>O</v>
      </c>
      <c r="Q64" s="320" t="str">
        <f t="shared" si="51"/>
        <v>O</v>
      </c>
      <c r="R64" s="320" t="str">
        <f t="shared" si="51"/>
        <v>O</v>
      </c>
      <c r="S64" s="320" t="str">
        <f t="shared" si="51"/>
        <v>S</v>
      </c>
      <c r="T64" s="320" t="str">
        <f t="shared" si="51"/>
        <v/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O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O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O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O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S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/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O</v>
      </c>
      <c r="AP64" s="320" t="str">
        <f t="shared" ref="AP64:AZ64" si="52">IF(AC64&lt;&gt;"",AC64," ")</f>
        <v>O</v>
      </c>
      <c r="AQ64" s="320" t="str">
        <f t="shared" si="52"/>
        <v>O</v>
      </c>
      <c r="AR64" s="320" t="str">
        <f t="shared" si="52"/>
        <v>O</v>
      </c>
      <c r="AS64" s="320" t="str">
        <f t="shared" si="52"/>
        <v>S</v>
      </c>
      <c r="AT64" s="320" t="str">
        <f t="shared" si="52"/>
        <v xml:space="preserve"> 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O</v>
      </c>
      <c r="BF64" s="118" t="str">
        <f t="array" ref="BF64:BF96">TRANSPOSE(BLADE2)</f>
        <v>O</v>
      </c>
      <c r="BG64" s="320" t="str">
        <f t="array" ref="BG64:BG96">TRANSPOSE(BLADE3)</f>
        <v>O</v>
      </c>
      <c r="BH64" s="320" t="str">
        <f t="array" ref="BH64:BH96">TRANSPOSE(BLADE4)</f>
        <v>O</v>
      </c>
      <c r="BI64" s="320" t="str">
        <f t="array" ref="BI64:BI96">TRANSPOSE(BLADE5)</f>
        <v>S</v>
      </c>
      <c r="BJ64" s="320" t="str">
        <f t="array" ref="BJ64:BJ96">TRANSPOSE(BLADE6)</f>
        <v/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O</v>
      </c>
      <c r="BS64" s="320" t="str">
        <f t="shared" ref="BS64:BS96" si="53">IF(BF64=0,"",BF64)</f>
        <v>O</v>
      </c>
      <c r="BT64" s="320" t="str">
        <f t="shared" ref="BT64:BT96" si="54">IF(BG64=0,"",BG64)</f>
        <v>O</v>
      </c>
      <c r="BU64" s="320" t="str">
        <f t="shared" ref="BU64:BU96" si="55">IF(BH64=0,"",BH64)</f>
        <v>O</v>
      </c>
      <c r="BV64" s="320" t="str">
        <f t="shared" ref="BV64:BV96" si="56">IF(BI64=0,"",BI64)</f>
        <v>S</v>
      </c>
      <c r="BW64" s="320" t="str">
        <f t="shared" ref="BW64:BW96" si="57">IF(BJ64=0,"",BJ64)</f>
        <v/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25">
      <c r="B65" s="3" t="str">
        <v>O</v>
      </c>
      <c r="C65" s="36" t="str">
        <v>O</v>
      </c>
      <c r="D65" s="36" t="str">
        <v>O</v>
      </c>
      <c r="E65" s="36" t="str">
        <v>O</v>
      </c>
      <c r="F65" s="36" t="str">
        <v>R</v>
      </c>
      <c r="G65" s="36" t="str">
        <v/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O</v>
      </c>
      <c r="P65" s="36" t="str">
        <f t="shared" si="51"/>
        <v>O</v>
      </c>
      <c r="Q65" s="36" t="str">
        <f t="shared" si="51"/>
        <v>O</v>
      </c>
      <c r="R65" s="36" t="str">
        <f t="shared" si="51"/>
        <v>O</v>
      </c>
      <c r="S65" s="36" t="str">
        <f t="shared" si="51"/>
        <v>R</v>
      </c>
      <c r="T65" s="36" t="str">
        <f t="shared" si="51"/>
        <v/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O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O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O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O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/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O</v>
      </c>
      <c r="AP65" s="36" t="str">
        <f t="shared" ref="AP65:AP97" si="77">IF(AC65&lt;&gt;"",AC65," ")</f>
        <v>O</v>
      </c>
      <c r="AQ65" s="36" t="str">
        <f t="shared" ref="AQ65:AQ97" si="78">IF(AD65&lt;&gt;"",AD65," ")</f>
        <v>O</v>
      </c>
      <c r="AR65" s="36" t="str">
        <f t="shared" ref="AR65:AR97" si="79">IF(AE65&lt;&gt;"",AE65," ")</f>
        <v>O</v>
      </c>
      <c r="AS65" s="36" t="str">
        <f t="shared" ref="AS65:AS97" si="80">IF(AF65&lt;&gt;"",AF65," ")</f>
        <v>R</v>
      </c>
      <c r="AT65" s="36" t="str">
        <f t="shared" ref="AT65:AT97" si="81">IF(AG65&lt;&gt;"",AG65," ")</f>
        <v xml:space="preserve"> 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O</v>
      </c>
      <c r="BF65" s="36" t="str">
        <v>O</v>
      </c>
      <c r="BG65" s="36" t="str">
        <v>O</v>
      </c>
      <c r="BH65" s="36" t="str">
        <v>O</v>
      </c>
      <c r="BI65" s="36" t="str">
        <v>R</v>
      </c>
      <c r="BJ65" s="36" t="str">
        <v/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O</v>
      </c>
      <c r="BS65" s="36" t="str">
        <f t="shared" si="53"/>
        <v>O</v>
      </c>
      <c r="BT65" s="36" t="str">
        <f t="shared" si="54"/>
        <v>O</v>
      </c>
      <c r="BU65" s="36" t="str">
        <f t="shared" si="55"/>
        <v>O</v>
      </c>
      <c r="BV65" s="36" t="str">
        <f t="shared" si="56"/>
        <v>R</v>
      </c>
      <c r="BW65" s="36" t="str">
        <f t="shared" si="57"/>
        <v/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25">
      <c r="B66" s="3" t="str">
        <v>O</v>
      </c>
      <c r="C66" s="36" t="str">
        <v>O</v>
      </c>
      <c r="D66" s="36" t="str">
        <v>O</v>
      </c>
      <c r="E66" s="36" t="str">
        <v>O</v>
      </c>
      <c r="F66" s="36" t="str">
        <v>O</v>
      </c>
      <c r="G66" s="36" t="str">
        <v/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O</v>
      </c>
      <c r="P66" s="36" t="str">
        <f t="shared" si="51"/>
        <v>O</v>
      </c>
      <c r="Q66" s="36" t="str">
        <f t="shared" si="51"/>
        <v>O</v>
      </c>
      <c r="R66" s="36" t="str">
        <f t="shared" si="51"/>
        <v>O</v>
      </c>
      <c r="S66" s="36" t="str">
        <f t="shared" si="51"/>
        <v>O</v>
      </c>
      <c r="T66" s="36" t="str">
        <f t="shared" si="51"/>
        <v/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O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O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O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O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O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/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O</v>
      </c>
      <c r="AP66" s="36" t="str">
        <f t="shared" si="77"/>
        <v>O</v>
      </c>
      <c r="AQ66" s="36" t="str">
        <f t="shared" si="78"/>
        <v>O</v>
      </c>
      <c r="AR66" s="36" t="str">
        <f t="shared" si="79"/>
        <v>O</v>
      </c>
      <c r="AS66" s="36" t="str">
        <f t="shared" si="80"/>
        <v>O</v>
      </c>
      <c r="AT66" s="36" t="str">
        <f t="shared" si="81"/>
        <v xml:space="preserve"> 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O</v>
      </c>
      <c r="BF66" s="36" t="str">
        <v>O</v>
      </c>
      <c r="BG66" s="36" t="str">
        <v>O</v>
      </c>
      <c r="BH66" s="36" t="str">
        <v>O</v>
      </c>
      <c r="BI66" s="36" t="str">
        <v>O</v>
      </c>
      <c r="BJ66" s="36" t="str">
        <v/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O</v>
      </c>
      <c r="BS66" s="36" t="str">
        <f t="shared" si="53"/>
        <v>O</v>
      </c>
      <c r="BT66" s="36" t="str">
        <f t="shared" si="54"/>
        <v>O</v>
      </c>
      <c r="BU66" s="36" t="str">
        <f t="shared" si="55"/>
        <v>O</v>
      </c>
      <c r="BV66" s="36" t="str">
        <f t="shared" si="56"/>
        <v>O</v>
      </c>
      <c r="BW66" s="36" t="str">
        <f t="shared" si="57"/>
        <v/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25">
      <c r="B67" s="3" t="str">
        <v>R</v>
      </c>
      <c r="C67" s="36" t="str">
        <v>O</v>
      </c>
      <c r="D67" s="36" t="str">
        <v>S</v>
      </c>
      <c r="E67" s="36" t="str">
        <v>S</v>
      </c>
      <c r="F67" s="36" t="str">
        <v>O</v>
      </c>
      <c r="G67" s="36" t="str">
        <v/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R</v>
      </c>
      <c r="P67" s="36" t="str">
        <f t="shared" si="51"/>
        <v>O</v>
      </c>
      <c r="Q67" s="36" t="str">
        <f t="shared" si="51"/>
        <v>S</v>
      </c>
      <c r="R67" s="36" t="str">
        <f t="shared" si="51"/>
        <v>S</v>
      </c>
      <c r="S67" s="36" t="str">
        <f t="shared" si="51"/>
        <v>O</v>
      </c>
      <c r="T67" s="36" t="str">
        <f t="shared" si="51"/>
        <v/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R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O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S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S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O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/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R</v>
      </c>
      <c r="AP67" s="36" t="str">
        <f t="shared" si="77"/>
        <v>O</v>
      </c>
      <c r="AQ67" s="36" t="str">
        <f t="shared" si="78"/>
        <v>S</v>
      </c>
      <c r="AR67" s="36" t="str">
        <f t="shared" si="79"/>
        <v>S</v>
      </c>
      <c r="AS67" s="36" t="str">
        <f t="shared" si="80"/>
        <v>O</v>
      </c>
      <c r="AT67" s="36" t="str">
        <f t="shared" si="81"/>
        <v xml:space="preserve"> 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R</v>
      </c>
      <c r="BF67" s="36" t="str">
        <v>O</v>
      </c>
      <c r="BG67" s="36" t="str">
        <v>S</v>
      </c>
      <c r="BH67" s="36" t="str">
        <v>S</v>
      </c>
      <c r="BI67" s="36" t="str">
        <v>O</v>
      </c>
      <c r="BJ67" s="36" t="str">
        <v/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R</v>
      </c>
      <c r="BS67" s="36" t="str">
        <f t="shared" si="53"/>
        <v>O</v>
      </c>
      <c r="BT67" s="36" t="str">
        <f t="shared" si="54"/>
        <v>S</v>
      </c>
      <c r="BU67" s="36" t="str">
        <f t="shared" si="55"/>
        <v>S</v>
      </c>
      <c r="BV67" s="36" t="str">
        <f t="shared" si="56"/>
        <v>O</v>
      </c>
      <c r="BW67" s="36" t="str">
        <f t="shared" si="57"/>
        <v/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25">
      <c r="B68" s="3" t="str">
        <v>S</v>
      </c>
      <c r="C68" s="36" t="str">
        <v>O</v>
      </c>
      <c r="D68" s="36" t="str">
        <v>O</v>
      </c>
      <c r="E68" s="36" t="str">
        <v>O</v>
      </c>
      <c r="F68" s="36" t="str">
        <v>O</v>
      </c>
      <c r="G68" s="36" t="str">
        <v/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S</v>
      </c>
      <c r="P68" s="36" t="str">
        <f t="shared" si="51"/>
        <v>O</v>
      </c>
      <c r="Q68" s="36" t="str">
        <f t="shared" si="51"/>
        <v>O</v>
      </c>
      <c r="R68" s="36" t="str">
        <f t="shared" si="51"/>
        <v>O</v>
      </c>
      <c r="S68" s="36" t="str">
        <f t="shared" si="51"/>
        <v>O</v>
      </c>
      <c r="T68" s="36" t="str">
        <f t="shared" si="51"/>
        <v/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S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O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O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O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O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/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S</v>
      </c>
      <c r="AP68" s="36" t="str">
        <f t="shared" si="77"/>
        <v>O</v>
      </c>
      <c r="AQ68" s="36" t="str">
        <f t="shared" si="78"/>
        <v>O</v>
      </c>
      <c r="AR68" s="36" t="str">
        <f t="shared" si="79"/>
        <v>O</v>
      </c>
      <c r="AS68" s="36" t="str">
        <f t="shared" si="80"/>
        <v>O</v>
      </c>
      <c r="AT68" s="36" t="str">
        <f t="shared" si="81"/>
        <v xml:space="preserve"> 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S</v>
      </c>
      <c r="BF68" s="36" t="str">
        <v>O</v>
      </c>
      <c r="BG68" s="36" t="str">
        <v>O</v>
      </c>
      <c r="BH68" s="36" t="str">
        <v>O</v>
      </c>
      <c r="BI68" s="36" t="str">
        <v>O</v>
      </c>
      <c r="BJ68" s="36" t="str">
        <v/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S</v>
      </c>
      <c r="BS68" s="36" t="str">
        <f t="shared" si="53"/>
        <v>O</v>
      </c>
      <c r="BT68" s="36" t="str">
        <f t="shared" si="54"/>
        <v>O</v>
      </c>
      <c r="BU68" s="36" t="str">
        <f t="shared" si="55"/>
        <v>O</v>
      </c>
      <c r="BV68" s="36" t="str">
        <f t="shared" si="56"/>
        <v>O</v>
      </c>
      <c r="BW68" s="36" t="str">
        <f t="shared" si="57"/>
        <v/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25">
      <c r="B69" s="3" t="str">
        <v>O</v>
      </c>
      <c r="C69" s="36" t="str">
        <v/>
      </c>
      <c r="D69" s="36" t="str">
        <v>O</v>
      </c>
      <c r="E69" s="36" t="str">
        <v>O</v>
      </c>
      <c r="F69" s="36" t="str">
        <v/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O</v>
      </c>
      <c r="P69" s="36" t="str">
        <f t="shared" si="51"/>
        <v/>
      </c>
      <c r="Q69" s="36" t="str">
        <f t="shared" si="51"/>
        <v>O</v>
      </c>
      <c r="R69" s="36" t="str">
        <f t="shared" si="51"/>
        <v>O</v>
      </c>
      <c r="S69" s="36" t="str">
        <f t="shared" si="51"/>
        <v/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O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/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O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O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/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/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O</v>
      </c>
      <c r="AP69" s="36" t="str">
        <f t="shared" si="77"/>
        <v xml:space="preserve"> </v>
      </c>
      <c r="AQ69" s="36" t="str">
        <f t="shared" si="78"/>
        <v>O</v>
      </c>
      <c r="AR69" s="36" t="str">
        <f t="shared" si="79"/>
        <v>O</v>
      </c>
      <c r="AS69" s="36" t="str">
        <f t="shared" si="80"/>
        <v xml:space="preserve"> </v>
      </c>
      <c r="AT69" s="36" t="str">
        <f t="shared" si="81"/>
        <v xml:space="preserve"> 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O</v>
      </c>
      <c r="BF69" s="36" t="str">
        <v/>
      </c>
      <c r="BG69" s="36" t="str">
        <v>O</v>
      </c>
      <c r="BH69" s="36" t="str">
        <v>O</v>
      </c>
      <c r="BI69" s="36" t="str">
        <v/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O</v>
      </c>
      <c r="BS69" s="36" t="str">
        <f t="shared" si="53"/>
        <v/>
      </c>
      <c r="BT69" s="36" t="str">
        <f t="shared" si="54"/>
        <v>O</v>
      </c>
      <c r="BU69" s="36" t="str">
        <f t="shared" si="55"/>
        <v>O</v>
      </c>
      <c r="BV69" s="36" t="str">
        <f t="shared" si="56"/>
        <v/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25">
      <c r="B70" s="3" t="str">
        <v>O</v>
      </c>
      <c r="C70" s="36" t="str">
        <v/>
      </c>
      <c r="D70" s="36" t="str">
        <v>O</v>
      </c>
      <c r="E70" s="36" t="str">
        <v>O</v>
      </c>
      <c r="F70" s="36" t="str">
        <v/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O</v>
      </c>
      <c r="P70" s="36" t="str">
        <f t="shared" si="51"/>
        <v/>
      </c>
      <c r="Q70" s="36" t="str">
        <f t="shared" si="51"/>
        <v>O</v>
      </c>
      <c r="R70" s="36" t="str">
        <f t="shared" si="51"/>
        <v>O</v>
      </c>
      <c r="S70" s="36" t="str">
        <f t="shared" si="51"/>
        <v/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O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/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O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O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/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/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O</v>
      </c>
      <c r="AP70" s="36" t="str">
        <f t="shared" si="77"/>
        <v xml:space="preserve"> </v>
      </c>
      <c r="AQ70" s="36" t="str">
        <f t="shared" si="78"/>
        <v>O</v>
      </c>
      <c r="AR70" s="36" t="str">
        <f t="shared" si="79"/>
        <v>O</v>
      </c>
      <c r="AS70" s="36" t="str">
        <f t="shared" si="80"/>
        <v xml:space="preserve"> </v>
      </c>
      <c r="AT70" s="36" t="str">
        <f t="shared" si="81"/>
        <v xml:space="preserve"> 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O</v>
      </c>
      <c r="BF70" s="36" t="str">
        <v/>
      </c>
      <c r="BG70" s="36" t="str">
        <v>O</v>
      </c>
      <c r="BH70" s="36" t="str">
        <v>O</v>
      </c>
      <c r="BI70" s="36" t="str">
        <v/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O</v>
      </c>
      <c r="BS70" s="36" t="str">
        <f t="shared" si="53"/>
        <v/>
      </c>
      <c r="BT70" s="36" t="str">
        <f t="shared" si="54"/>
        <v>O</v>
      </c>
      <c r="BU70" s="36" t="str">
        <f t="shared" si="55"/>
        <v>O</v>
      </c>
      <c r="BV70" s="36" t="str">
        <f t="shared" si="56"/>
        <v/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25">
      <c r="B71" s="3" t="str">
        <v>O</v>
      </c>
      <c r="C71" s="36" t="str">
        <v/>
      </c>
      <c r="D71" s="36" t="str">
        <v/>
      </c>
      <c r="E71" s="36" t="str">
        <v>O</v>
      </c>
      <c r="F71" s="36" t="str">
        <v/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O</v>
      </c>
      <c r="P71" s="36" t="str">
        <f t="shared" si="51"/>
        <v/>
      </c>
      <c r="Q71" s="36" t="str">
        <f t="shared" si="51"/>
        <v/>
      </c>
      <c r="R71" s="36" t="str">
        <f t="shared" si="51"/>
        <v>O</v>
      </c>
      <c r="S71" s="36" t="str">
        <f t="shared" si="51"/>
        <v/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O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/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/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O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/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/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O</v>
      </c>
      <c r="AP71" s="36" t="str">
        <f t="shared" si="77"/>
        <v xml:space="preserve"> </v>
      </c>
      <c r="AQ71" s="36" t="str">
        <f t="shared" si="78"/>
        <v xml:space="preserve"> </v>
      </c>
      <c r="AR71" s="36" t="str">
        <f t="shared" si="79"/>
        <v>O</v>
      </c>
      <c r="AS71" s="36" t="str">
        <f t="shared" si="80"/>
        <v xml:space="preserve"> </v>
      </c>
      <c r="AT71" s="36" t="str">
        <f t="shared" si="81"/>
        <v xml:space="preserve"> 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O</v>
      </c>
      <c r="BF71" s="36" t="str">
        <v/>
      </c>
      <c r="BG71" s="36" t="str">
        <v/>
      </c>
      <c r="BH71" s="36" t="str">
        <v>O</v>
      </c>
      <c r="BI71" s="36" t="str">
        <v/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O</v>
      </c>
      <c r="BS71" s="36" t="str">
        <f t="shared" si="53"/>
        <v/>
      </c>
      <c r="BT71" s="36" t="str">
        <f t="shared" si="54"/>
        <v/>
      </c>
      <c r="BU71" s="36" t="str">
        <f t="shared" si="55"/>
        <v>O</v>
      </c>
      <c r="BV71" s="36" t="str">
        <f t="shared" si="56"/>
        <v/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2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/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/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/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/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/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/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 xml:space="preserve"> </v>
      </c>
      <c r="AP72" s="36" t="str">
        <f t="shared" si="77"/>
        <v xml:space="preserve"> </v>
      </c>
      <c r="AQ72" s="36" t="str">
        <f t="shared" si="78"/>
        <v xml:space="preserve"> </v>
      </c>
      <c r="AR72" s="36" t="str">
        <f t="shared" si="79"/>
        <v xml:space="preserve"> </v>
      </c>
      <c r="AS72" s="36" t="str">
        <f t="shared" si="80"/>
        <v xml:space="preserve"> </v>
      </c>
      <c r="AT72" s="36" t="str">
        <f t="shared" si="81"/>
        <v xml:space="preserve"> 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25">
      <c r="B73" s="3" t="str">
        <v/>
      </c>
      <c r="C73" s="36" t="str">
        <v/>
      </c>
      <c r="D73" s="36" t="str">
        <v/>
      </c>
      <c r="E73" s="36" t="str">
        <v/>
      </c>
      <c r="F73" s="36" t="str">
        <v/>
      </c>
      <c r="G73" s="36" t="str">
        <v/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/>
      </c>
      <c r="P73" s="36" t="str">
        <f t="shared" si="51"/>
        <v/>
      </c>
      <c r="Q73" s="36" t="str">
        <f t="shared" si="51"/>
        <v/>
      </c>
      <c r="R73" s="36" t="str">
        <f t="shared" si="51"/>
        <v/>
      </c>
      <c r="S73" s="36" t="str">
        <f t="shared" si="51"/>
        <v/>
      </c>
      <c r="T73" s="36" t="str">
        <f t="shared" si="51"/>
        <v/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/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/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/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/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 xml:space="preserve"> </v>
      </c>
      <c r="AP73" s="36" t="str">
        <f t="shared" si="77"/>
        <v xml:space="preserve"> </v>
      </c>
      <c r="AQ73" s="36" t="str">
        <f t="shared" si="78"/>
        <v xml:space="preserve"> </v>
      </c>
      <c r="AR73" s="36" t="str">
        <f t="shared" si="79"/>
        <v xml:space="preserve"> </v>
      </c>
      <c r="AS73" s="36" t="str">
        <f t="shared" si="80"/>
        <v xml:space="preserve"> 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/>
      </c>
      <c r="BF73" s="36" t="str">
        <v/>
      </c>
      <c r="BG73" s="36" t="str">
        <v/>
      </c>
      <c r="BH73" s="36" t="str">
        <v/>
      </c>
      <c r="BI73" s="36" t="str">
        <v/>
      </c>
      <c r="BJ73" s="36" t="str">
        <v/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/>
      </c>
      <c r="BS73" s="36" t="str">
        <f t="shared" si="53"/>
        <v/>
      </c>
      <c r="BT73" s="36" t="str">
        <f t="shared" si="54"/>
        <v/>
      </c>
      <c r="BU73" s="36" t="str">
        <f t="shared" si="55"/>
        <v/>
      </c>
      <c r="BV73" s="36" t="str">
        <f t="shared" si="56"/>
        <v/>
      </c>
      <c r="BW73" s="36" t="str">
        <f t="shared" si="57"/>
        <v/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25">
      <c r="B74" s="3" t="str">
        <v/>
      </c>
      <c r="C74" s="36" t="str">
        <v/>
      </c>
      <c r="D74" s="36" t="str">
        <v/>
      </c>
      <c r="E74" s="36" t="str">
        <v/>
      </c>
      <c r="F74" s="36" t="str">
        <v/>
      </c>
      <c r="G74" s="36" t="str">
        <v/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/>
      </c>
      <c r="P74" s="36" t="str">
        <f t="shared" si="51"/>
        <v/>
      </c>
      <c r="Q74" s="36" t="str">
        <f t="shared" si="51"/>
        <v/>
      </c>
      <c r="R74" s="36" t="str">
        <f t="shared" si="51"/>
        <v/>
      </c>
      <c r="S74" s="36" t="str">
        <f t="shared" si="51"/>
        <v/>
      </c>
      <c r="T74" s="36" t="str">
        <f t="shared" si="51"/>
        <v/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/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/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 xml:space="preserve"> 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 xml:space="preserve"> 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/>
      </c>
      <c r="BF74" s="36" t="str">
        <v/>
      </c>
      <c r="BG74" s="36" t="str">
        <v/>
      </c>
      <c r="BH74" s="36" t="str">
        <v/>
      </c>
      <c r="BI74" s="36" t="str">
        <v/>
      </c>
      <c r="BJ74" s="36" t="str">
        <v/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/>
      </c>
      <c r="BS74" s="36" t="str">
        <f t="shared" si="53"/>
        <v/>
      </c>
      <c r="BT74" s="36" t="str">
        <f t="shared" si="54"/>
        <v/>
      </c>
      <c r="BU74" s="36" t="str">
        <f t="shared" si="55"/>
        <v/>
      </c>
      <c r="BV74" s="36" t="str">
        <f t="shared" si="56"/>
        <v/>
      </c>
      <c r="BW74" s="36" t="str">
        <f t="shared" si="57"/>
        <v/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25">
      <c r="B75" s="3" t="str">
        <v/>
      </c>
      <c r="C75" s="36" t="str">
        <v/>
      </c>
      <c r="D75" s="36" t="str">
        <v/>
      </c>
      <c r="E75" s="36" t="str">
        <v/>
      </c>
      <c r="F75" s="36" t="str">
        <v/>
      </c>
      <c r="G75" s="36" t="str">
        <v/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/>
      </c>
      <c r="P75" s="36" t="str">
        <f t="shared" si="51"/>
        <v/>
      </c>
      <c r="Q75" s="36" t="str">
        <f t="shared" si="51"/>
        <v/>
      </c>
      <c r="R75" s="36" t="str">
        <f t="shared" si="51"/>
        <v/>
      </c>
      <c r="S75" s="36" t="str">
        <f t="shared" si="51"/>
        <v/>
      </c>
      <c r="T75" s="36" t="str">
        <f t="shared" si="51"/>
        <v/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/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/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 xml:space="preserve"> 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 xml:space="preserve"> 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/>
      </c>
      <c r="BF75" s="36" t="str">
        <v/>
      </c>
      <c r="BG75" s="36" t="str">
        <v/>
      </c>
      <c r="BH75" s="36" t="str">
        <v/>
      </c>
      <c r="BI75" s="36" t="str">
        <v/>
      </c>
      <c r="BJ75" s="36" t="str">
        <v/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/>
      </c>
      <c r="BS75" s="36" t="str">
        <f t="shared" si="53"/>
        <v/>
      </c>
      <c r="BT75" s="36" t="str">
        <f t="shared" si="54"/>
        <v/>
      </c>
      <c r="BU75" s="36" t="str">
        <f t="shared" si="55"/>
        <v/>
      </c>
      <c r="BV75" s="36" t="str">
        <f t="shared" si="56"/>
        <v/>
      </c>
      <c r="BW75" s="36" t="str">
        <f t="shared" si="57"/>
        <v/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25">
      <c r="B76" s="3" t="str">
        <v/>
      </c>
      <c r="C76" s="36" t="str">
        <v/>
      </c>
      <c r="D76" s="36" t="str">
        <v/>
      </c>
      <c r="E76" s="36" t="str">
        <v/>
      </c>
      <c r="F76" s="36" t="str">
        <v/>
      </c>
      <c r="G76" s="36" t="str">
        <v/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/>
      </c>
      <c r="P76" s="36" t="str">
        <f t="shared" si="51"/>
        <v/>
      </c>
      <c r="Q76" s="36" t="str">
        <f t="shared" si="51"/>
        <v/>
      </c>
      <c r="R76" s="36" t="str">
        <f t="shared" si="51"/>
        <v/>
      </c>
      <c r="S76" s="36" t="str">
        <f t="shared" si="51"/>
        <v/>
      </c>
      <c r="T76" s="36" t="str">
        <f t="shared" si="51"/>
        <v/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/>
      </c>
      <c r="BF76" s="36" t="str">
        <v/>
      </c>
      <c r="BG76" s="36" t="str">
        <v/>
      </c>
      <c r="BH76" s="36" t="str">
        <v/>
      </c>
      <c r="BI76" s="36" t="str">
        <v/>
      </c>
      <c r="BJ76" s="36" t="str">
        <v/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/>
      </c>
      <c r="BS76" s="36" t="str">
        <f t="shared" si="53"/>
        <v/>
      </c>
      <c r="BT76" s="36" t="str">
        <f t="shared" si="54"/>
        <v/>
      </c>
      <c r="BU76" s="36" t="str">
        <f t="shared" si="55"/>
        <v/>
      </c>
      <c r="BV76" s="36" t="str">
        <f t="shared" si="56"/>
        <v/>
      </c>
      <c r="BW76" s="36" t="str">
        <f t="shared" si="57"/>
        <v/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2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2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2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2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2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2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2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2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2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2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2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2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2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2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2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2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2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2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2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3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3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25"/>
    <row r="99" spans="1:90" ht="13.5" customHeight="1" thickBot="1" x14ac:dyDescent="0.3">
      <c r="A99" s="1190"/>
      <c r="B99" s="1190"/>
      <c r="C99" s="1190"/>
      <c r="D99" s="1190"/>
      <c r="E99" s="1190"/>
      <c r="F99" s="1190"/>
      <c r="G99" s="1190"/>
      <c r="H99" s="1190"/>
      <c r="I99" s="1190"/>
      <c r="J99" s="1190"/>
      <c r="K99" s="1190"/>
      <c r="L99" s="1190"/>
      <c r="M99" s="1190"/>
      <c r="N99" s="1190"/>
      <c r="O99" s="1190"/>
      <c r="P99" s="1190"/>
      <c r="Q99" s="1190"/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  <c r="AD99" s="1190"/>
      <c r="AE99" s="1190"/>
      <c r="AF99" s="1190"/>
      <c r="AG99" s="1190"/>
      <c r="AH99" s="1190"/>
      <c r="AI99" s="1190"/>
      <c r="AJ99" s="1190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3">
      <c r="A100" s="691"/>
      <c r="B100" s="692"/>
      <c r="C100" s="1187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X100" s="1188"/>
      <c r="Y100" s="1188"/>
      <c r="Z100" s="1188"/>
      <c r="AA100" s="1188"/>
      <c r="AB100" s="1188"/>
      <c r="AC100" s="1188"/>
      <c r="AD100" s="1188"/>
      <c r="AE100" s="1188"/>
      <c r="AF100" s="1188"/>
      <c r="AG100" s="1188"/>
      <c r="AH100" s="1188"/>
      <c r="AI100" s="1188"/>
      <c r="AJ100" s="1189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.75" thickBot="1" x14ac:dyDescent="0.3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75" x14ac:dyDescent="0.25">
      <c r="A102" s="702"/>
      <c r="B102" s="724"/>
      <c r="C102" s="747" t="str">
        <f t="array" ref="C102:AJ102">TRANSPOSE(TRANS2B1)</f>
        <v>O</v>
      </c>
      <c r="D102" s="748" t="str">
        <v>O</v>
      </c>
      <c r="E102" s="748" t="str">
        <v>O</v>
      </c>
      <c r="F102" s="748" t="str">
        <v>R</v>
      </c>
      <c r="G102" s="748" t="str">
        <v>S</v>
      </c>
      <c r="H102" s="748" t="str">
        <v>O</v>
      </c>
      <c r="I102" s="748" t="str">
        <v>O</v>
      </c>
      <c r="J102" s="748" t="str">
        <v>O</v>
      </c>
      <c r="K102" s="748" t="str">
        <v xml:space="preserve"> </v>
      </c>
      <c r="L102" s="748" t="str">
        <v xml:space="preserve"> </v>
      </c>
      <c r="M102" s="748" t="str">
        <v xml:space="preserve"> </v>
      </c>
      <c r="N102" s="748" t="str">
        <v xml:space="preserve"> 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O</v>
      </c>
      <c r="BG102" s="705" t="str">
        <v>O</v>
      </c>
      <c r="BH102" s="705" t="str">
        <v>O</v>
      </c>
      <c r="BI102" s="705" t="str">
        <v>R</v>
      </c>
      <c r="BJ102" s="705" t="str">
        <v>S</v>
      </c>
      <c r="BK102" s="705" t="str">
        <v>O</v>
      </c>
      <c r="BL102" s="705" t="str">
        <v>O</v>
      </c>
      <c r="BM102" s="705" t="str">
        <v>O</v>
      </c>
      <c r="BN102" s="705" t="str">
        <v xml:space="preserve"> </v>
      </c>
      <c r="BO102" s="705" t="str">
        <v xml:space="preserve"> </v>
      </c>
      <c r="BP102" s="705" t="str">
        <v xml:space="preserve"> </v>
      </c>
      <c r="BQ102" s="705" t="str">
        <v xml:space="preserve"> 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75" x14ac:dyDescent="0.25">
      <c r="A103" s="707"/>
      <c r="B103" s="726"/>
      <c r="C103" s="727" t="str">
        <f t="array" ref="C103:AJ103">TRANSPOSE(TRANS2B2)</f>
        <v>O</v>
      </c>
      <c r="D103" s="166" t="str">
        <v>O</v>
      </c>
      <c r="E103" s="166" t="str">
        <v>O</v>
      </c>
      <c r="F103" s="166" t="str">
        <v>O</v>
      </c>
      <c r="G103" s="166" t="str">
        <v>O</v>
      </c>
      <c r="H103" s="166" t="str">
        <v xml:space="preserve"> </v>
      </c>
      <c r="I103" s="166" t="str">
        <v xml:space="preserve"> </v>
      </c>
      <c r="J103" s="166" t="str">
        <v xml:space="preserve"> </v>
      </c>
      <c r="K103" s="166" t="str">
        <v xml:space="preserve"> 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O</v>
      </c>
      <c r="BG103" s="166" t="str">
        <v>O</v>
      </c>
      <c r="BH103" s="166" t="str">
        <v>O</v>
      </c>
      <c r="BI103" s="166" t="str">
        <v>O</v>
      </c>
      <c r="BJ103" s="166" t="str">
        <v>O</v>
      </c>
      <c r="BK103" s="166" t="str">
        <v xml:space="preserve"> </v>
      </c>
      <c r="BL103" s="166" t="str">
        <v xml:space="preserve"> </v>
      </c>
      <c r="BM103" s="166" t="str">
        <v xml:space="preserve"> </v>
      </c>
      <c r="BN103" s="166" t="str">
        <v xml:space="preserve"> 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75" x14ac:dyDescent="0.25">
      <c r="A104" s="707"/>
      <c r="B104" s="726"/>
      <c r="C104" s="727" t="str">
        <f t="array" ref="C104:AJ104">TRANSPOSE(TRANS2B3)</f>
        <v>O</v>
      </c>
      <c r="D104" s="166" t="str">
        <v>O</v>
      </c>
      <c r="E104" s="166" t="str">
        <v>O</v>
      </c>
      <c r="F104" s="166" t="str">
        <v>S</v>
      </c>
      <c r="G104" s="166" t="str">
        <v>O</v>
      </c>
      <c r="H104" s="166" t="str">
        <v>O</v>
      </c>
      <c r="I104" s="166" t="str">
        <v>O</v>
      </c>
      <c r="J104" s="166" t="str">
        <v xml:space="preserve"> </v>
      </c>
      <c r="K104" s="166" t="str">
        <v xml:space="preserve"> </v>
      </c>
      <c r="L104" s="166" t="str">
        <v xml:space="preserve"> 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O</v>
      </c>
      <c r="BG104" s="166" t="str">
        <v>O</v>
      </c>
      <c r="BH104" s="166" t="str">
        <v>O</v>
      </c>
      <c r="BI104" s="166" t="str">
        <v>S</v>
      </c>
      <c r="BJ104" s="166" t="str">
        <v>O</v>
      </c>
      <c r="BK104" s="166" t="str">
        <v>O</v>
      </c>
      <c r="BL104" s="166" t="str">
        <v>O</v>
      </c>
      <c r="BM104" s="166" t="str">
        <v xml:space="preserve"> </v>
      </c>
      <c r="BN104" s="166" t="str">
        <v xml:space="preserve"> </v>
      </c>
      <c r="BO104" s="166" t="str">
        <v xml:space="preserve"> 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75" x14ac:dyDescent="0.25">
      <c r="A105" s="707"/>
      <c r="B105" s="726"/>
      <c r="C105" s="727" t="str">
        <f t="array" ref="C105:AJ105">TRANSPOSE(TRANS2B4)</f>
        <v>O</v>
      </c>
      <c r="D105" s="166" t="str">
        <v>O</v>
      </c>
      <c r="E105" s="166" t="str">
        <v>O</v>
      </c>
      <c r="F105" s="166" t="str">
        <v>S</v>
      </c>
      <c r="G105" s="166" t="str">
        <v>O</v>
      </c>
      <c r="H105" s="166" t="str">
        <v>O</v>
      </c>
      <c r="I105" s="166" t="str">
        <v>O</v>
      </c>
      <c r="J105" s="166" t="str">
        <v>O</v>
      </c>
      <c r="K105" s="166" t="str">
        <v xml:space="preserve"> </v>
      </c>
      <c r="L105" s="166" t="str">
        <v xml:space="preserve"> 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O</v>
      </c>
      <c r="BG105" s="166" t="str">
        <v>O</v>
      </c>
      <c r="BH105" s="166" t="str">
        <v>O</v>
      </c>
      <c r="BI105" s="166" t="str">
        <v>S</v>
      </c>
      <c r="BJ105" s="166" t="str">
        <v>O</v>
      </c>
      <c r="BK105" s="166" t="str">
        <v>O</v>
      </c>
      <c r="BL105" s="166" t="str">
        <v>O</v>
      </c>
      <c r="BM105" s="166" t="str">
        <v>O</v>
      </c>
      <c r="BN105" s="166" t="str">
        <v xml:space="preserve"> </v>
      </c>
      <c r="BO105" s="166" t="str">
        <v xml:space="preserve"> 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75" x14ac:dyDescent="0.25">
      <c r="A106" s="707"/>
      <c r="B106" s="726"/>
      <c r="C106" s="727" t="str">
        <f t="array" ref="C106:AJ106">TRANSPOSE(TRANS2B5)</f>
        <v>S</v>
      </c>
      <c r="D106" s="166" t="str">
        <v>R</v>
      </c>
      <c r="E106" s="166" t="str">
        <v>O</v>
      </c>
      <c r="F106" s="166" t="str">
        <v>O</v>
      </c>
      <c r="G106" s="166" t="str">
        <v>O</v>
      </c>
      <c r="H106" s="166" t="str">
        <v xml:space="preserve"> </v>
      </c>
      <c r="I106" s="166" t="str">
        <v xml:space="preserve"> </v>
      </c>
      <c r="J106" s="166" t="str">
        <v xml:space="preserve"> </v>
      </c>
      <c r="K106" s="166" t="str">
        <v xml:space="preserve"> </v>
      </c>
      <c r="L106" s="166" t="str">
        <v xml:space="preserve"> </v>
      </c>
      <c r="M106" s="166" t="str">
        <v xml:space="preserve"> </v>
      </c>
      <c r="N106" s="166" t="str">
        <v xml:space="preserve"> 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S</v>
      </c>
      <c r="BG106" s="166" t="str">
        <v>R</v>
      </c>
      <c r="BH106" s="166" t="str">
        <v>O</v>
      </c>
      <c r="BI106" s="166" t="str">
        <v>O</v>
      </c>
      <c r="BJ106" s="166" t="str">
        <v>O</v>
      </c>
      <c r="BK106" s="166" t="str">
        <v xml:space="preserve"> </v>
      </c>
      <c r="BL106" s="166" t="str">
        <v xml:space="preserve"> </v>
      </c>
      <c r="BM106" s="166" t="str">
        <v xml:space="preserve"> </v>
      </c>
      <c r="BN106" s="166" t="str">
        <v xml:space="preserve"> </v>
      </c>
      <c r="BO106" s="166" t="str">
        <v xml:space="preserve"> </v>
      </c>
      <c r="BP106" s="166" t="str">
        <v xml:space="preserve"> </v>
      </c>
      <c r="BQ106" s="166" t="str">
        <v xml:space="preserve"> 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75" x14ac:dyDescent="0.25">
      <c r="A107" s="707"/>
      <c r="B107" s="726"/>
      <c r="C107" s="727" t="str">
        <f t="array" ref="C107:AJ107">TRANSPOSE(TRANS2B6)</f>
        <v xml:space="preserve"> </v>
      </c>
      <c r="D107" s="166" t="str">
        <v xml:space="preserve"> </v>
      </c>
      <c r="E107" s="166" t="str">
        <v xml:space="preserve"> </v>
      </c>
      <c r="F107" s="166" t="str">
        <v xml:space="preserve"> </v>
      </c>
      <c r="G107" s="166" t="str">
        <v xml:space="preserve"> </v>
      </c>
      <c r="H107" s="166" t="str">
        <v xml:space="preserve"> </v>
      </c>
      <c r="I107" s="166" t="str">
        <v xml:space="preserve"> </v>
      </c>
      <c r="J107" s="166" t="str">
        <v xml:space="preserve"> </v>
      </c>
      <c r="K107" s="166" t="str">
        <v xml:space="preserve"> 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 xml:space="preserve"> </v>
      </c>
      <c r="BG107" s="166" t="str">
        <v xml:space="preserve"> </v>
      </c>
      <c r="BH107" s="166" t="str">
        <v xml:space="preserve"> </v>
      </c>
      <c r="BI107" s="166" t="str">
        <v xml:space="preserve"> </v>
      </c>
      <c r="BJ107" s="166" t="str">
        <v xml:space="preserve"> </v>
      </c>
      <c r="BK107" s="166" t="str">
        <v xml:space="preserve"> </v>
      </c>
      <c r="BL107" s="166" t="str">
        <v xml:space="preserve"> </v>
      </c>
      <c r="BM107" s="166" t="str">
        <v xml:space="preserve"> </v>
      </c>
      <c r="BN107" s="166" t="str">
        <v xml:space="preserve"> 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75" x14ac:dyDescent="0.2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75" x14ac:dyDescent="0.2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75" x14ac:dyDescent="0.2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75" x14ac:dyDescent="0.2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75" x14ac:dyDescent="0.2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.5" thickBot="1" x14ac:dyDescent="0.3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2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2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2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D17" sqref="D17:AI17"/>
    </sheetView>
  </sheetViews>
  <sheetFormatPr defaultColWidth="9.140625" defaultRowHeight="15" x14ac:dyDescent="0.25"/>
  <cols>
    <col min="1" max="2" width="4.7109375" customWidth="1"/>
    <col min="3" max="27" width="6.42578125" customWidth="1"/>
    <col min="28" max="31" width="7.5703125" bestFit="1" customWidth="1"/>
    <col min="32" max="34" width="2.5703125" bestFit="1" customWidth="1"/>
    <col min="35" max="35" width="7.7109375" bestFit="1" customWidth="1"/>
    <col min="36" max="36" width="17.85546875" bestFit="1" customWidth="1"/>
    <col min="37" max="37" width="28.42578125" customWidth="1"/>
    <col min="38" max="38" width="6.85546875" customWidth="1"/>
    <col min="39" max="39" width="8.7109375" customWidth="1"/>
    <col min="40" max="40" width="53.42578125" style="13" customWidth="1"/>
    <col min="41" max="42" width="6.28515625" style="13" customWidth="1"/>
    <col min="43" max="43" width="12.28515625" style="13" customWidth="1"/>
    <col min="44" max="44" width="21.5703125" style="13" customWidth="1"/>
    <col min="45" max="45" width="22" style="13" customWidth="1"/>
    <col min="46" max="47" width="15.5703125" style="13" customWidth="1"/>
    <col min="48" max="49" width="6.28515625" style="13" customWidth="1"/>
    <col min="50" max="50" width="8.42578125" style="13" bestFit="1" customWidth="1"/>
    <col min="51" max="52" width="12.5703125" style="13" bestFit="1" customWidth="1"/>
    <col min="53" max="54" width="8.42578125" style="13" customWidth="1"/>
    <col min="55" max="104" width="9.140625" customWidth="1"/>
  </cols>
  <sheetData>
    <row r="1" spans="1:68" ht="21" customHeight="1" thickBot="1" x14ac:dyDescent="0.3">
      <c r="A1" s="1194" t="s">
        <v>939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  <c r="AJ1" s="1246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2492</v>
      </c>
      <c r="BB1" s="83" t="s">
        <v>2493</v>
      </c>
      <c r="BC1" s="83" t="s">
        <v>2494</v>
      </c>
      <c r="BD1" s="83" t="s">
        <v>2495</v>
      </c>
      <c r="BE1" s="83" t="s">
        <v>2496</v>
      </c>
      <c r="BF1" s="83" t="s">
        <v>2497</v>
      </c>
      <c r="BG1" s="83" t="s">
        <v>2498</v>
      </c>
      <c r="BH1" s="93"/>
      <c r="BI1" s="83" t="s">
        <v>21</v>
      </c>
    </row>
    <row r="2" spans="1:68" ht="17.25" customHeight="1" x14ac:dyDescent="0.25">
      <c r="A2" s="1207"/>
      <c r="B2" s="1208"/>
      <c r="C2" s="1211" t="s">
        <v>17</v>
      </c>
      <c r="D2" s="1211"/>
      <c r="E2" s="1211"/>
      <c r="F2" s="1211"/>
      <c r="G2" s="1211"/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1"/>
      <c r="U2" s="1211"/>
      <c r="V2" s="1212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16</v>
      </c>
      <c r="AR2" s="93">
        <f>IF(COUNTIF($C$43:$AJ$54,"X2"),COUNTIF($C$43:$AJ$54,"X2"),0)</f>
        <v>9</v>
      </c>
      <c r="AS2" s="93">
        <f>IF(COUNTIF($C$43:$AJ$54,"X3"),COUNTIF($C$43:$AJ$54,"X3"),0)</f>
        <v>1</v>
      </c>
      <c r="AT2" s="93">
        <f>IF(COUNTIF($C$43:$AJ$54,"X4"),COUNTIF($C$43:$AJ$54,"X4"),0)</f>
        <v>0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26</v>
      </c>
    </row>
    <row r="3" spans="1:68" ht="15.75" customHeight="1" thickBot="1" x14ac:dyDescent="0.3">
      <c r="A3" s="1209"/>
      <c r="B3" s="121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0</v>
      </c>
      <c r="BP3" s="36">
        <f>IF(Data!F4&lt;&gt;"",Data!F4,0)</f>
        <v>1146346</v>
      </c>
    </row>
    <row r="4" spans="1:68" ht="23.25" customHeight="1" x14ac:dyDescent="0.25">
      <c r="A4" s="1216" t="s">
        <v>18</v>
      </c>
      <c r="B4" s="6">
        <v>1</v>
      </c>
      <c r="C4" s="344" t="s">
        <v>110</v>
      </c>
      <c r="D4" s="345" t="s">
        <v>110</v>
      </c>
      <c r="E4" s="345" t="s">
        <v>110</v>
      </c>
      <c r="F4" s="345" t="s">
        <v>2534</v>
      </c>
      <c r="G4" s="345" t="s">
        <v>49</v>
      </c>
      <c r="H4" s="345" t="s">
        <v>110</v>
      </c>
      <c r="I4" s="345" t="s">
        <v>110</v>
      </c>
      <c r="J4" s="345" t="s">
        <v>1754</v>
      </c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0</v>
      </c>
      <c r="BP4" s="36">
        <f>IF(Data!F5&lt;&gt;"",Data!F5,0)</f>
        <v>2001155</v>
      </c>
    </row>
    <row r="5" spans="1:68" ht="21" thickBot="1" x14ac:dyDescent="0.3">
      <c r="A5" s="1217"/>
      <c r="B5" s="35">
        <v>2</v>
      </c>
      <c r="C5" s="347" t="s">
        <v>110</v>
      </c>
      <c r="D5" s="348" t="s">
        <v>110</v>
      </c>
      <c r="E5" s="348" t="s">
        <v>110</v>
      </c>
      <c r="F5" s="348" t="s">
        <v>110</v>
      </c>
      <c r="G5" s="348" t="s">
        <v>110</v>
      </c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.25" x14ac:dyDescent="0.25">
      <c r="A6" s="1217"/>
      <c r="B6" s="35">
        <v>3</v>
      </c>
      <c r="C6" s="347" t="s">
        <v>110</v>
      </c>
      <c r="D6" s="348" t="s">
        <v>110</v>
      </c>
      <c r="E6" s="348" t="s">
        <v>110</v>
      </c>
      <c r="F6" s="348" t="s">
        <v>49</v>
      </c>
      <c r="G6" s="348" t="s">
        <v>110</v>
      </c>
      <c r="H6" s="348" t="s">
        <v>110</v>
      </c>
      <c r="I6" s="348" t="s">
        <v>110</v>
      </c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 t="str">
        <f>IF(COUNTIF($C$26:$AJ$37,"*R*1*"),COUNTIF($C$26:$AJ$37,"*R*1*")," ")</f>
        <v xml:space="preserve"> </v>
      </c>
      <c r="AR6" s="93" t="str">
        <f>IF(COUNTIF($C$26:$AJ$37,"*R*2*"),COUNTIF($C$26:$AJ$37,"*R*2*")," ")</f>
        <v xml:space="preserve"> </v>
      </c>
      <c r="AS6" s="93">
        <f>IF(COUNTIF($C$26:$AJ$37,"*R*3*"),COUNTIF($C$26:$AJ$37,"*R*3*")," ")</f>
        <v>2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2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.25" x14ac:dyDescent="0.25">
      <c r="A7" s="1217"/>
      <c r="B7" s="35">
        <v>4</v>
      </c>
      <c r="C7" s="347" t="s">
        <v>110</v>
      </c>
      <c r="D7" s="348" t="s">
        <v>110</v>
      </c>
      <c r="E7" s="348" t="s">
        <v>110</v>
      </c>
      <c r="F7" s="348" t="s">
        <v>49</v>
      </c>
      <c r="G7" s="348" t="s">
        <v>110</v>
      </c>
      <c r="H7" s="348" t="s">
        <v>110</v>
      </c>
      <c r="I7" s="348" t="s">
        <v>110</v>
      </c>
      <c r="J7" s="348" t="s">
        <v>110</v>
      </c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 t="str">
        <f>IF(COUNTIF($C$26:$AJ$37,"*S*2*"),COUNTIF($C$26:$AJ$37,"*S*2*")," ")</f>
        <v xml:space="preserve"> </v>
      </c>
      <c r="AS7" s="93">
        <f>IF(COUNTIF($C$26:$AJ$37,"*S*3*"),COUNTIF($C$26:$AJ$37,"*S*3*")," ")</f>
        <v>4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4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.25" x14ac:dyDescent="0.25">
      <c r="A8" s="1217"/>
      <c r="B8" s="35">
        <v>5</v>
      </c>
      <c r="C8" s="347" t="s">
        <v>49</v>
      </c>
      <c r="D8" s="348" t="s">
        <v>2534</v>
      </c>
      <c r="E8" s="348" t="s">
        <v>110</v>
      </c>
      <c r="F8" s="348" t="s">
        <v>110</v>
      </c>
      <c r="G8" s="348" t="s">
        <v>110</v>
      </c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.25" x14ac:dyDescent="0.25">
      <c r="A9" s="1217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>
        <f>IF(COUNTIF($C$43:$AJ$54,"O*2"),COUNTIF($C$43:$AJ$54,"O*2")," ")</f>
        <v>1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1</v>
      </c>
    </row>
    <row r="10" spans="1:68" ht="20.25" x14ac:dyDescent="0.25">
      <c r="A10" s="1217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.25" x14ac:dyDescent="0.25">
      <c r="A11" s="1217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.25" x14ac:dyDescent="0.25">
      <c r="A12" s="1217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.25" x14ac:dyDescent="0.25">
      <c r="A13" s="1217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16</v>
      </c>
      <c r="AR13" s="93">
        <f t="shared" si="1"/>
        <v>10</v>
      </c>
      <c r="AS13" s="93">
        <f t="shared" si="1"/>
        <v>7</v>
      </c>
      <c r="AT13" s="93">
        <f t="shared" si="1"/>
        <v>0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33</v>
      </c>
    </row>
    <row r="14" spans="1:68" ht="20.25" x14ac:dyDescent="0.25">
      <c r="A14" s="1217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16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10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7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0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33</v>
      </c>
    </row>
    <row r="15" spans="1:68" ht="21" thickBot="1" x14ac:dyDescent="0.3">
      <c r="A15" s="1218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True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3">
      <c r="A16" s="1195"/>
      <c r="B16" s="1225"/>
      <c r="C16" s="1225"/>
      <c r="D16" s="1225"/>
      <c r="E16" s="1225"/>
      <c r="F16" s="1225"/>
      <c r="G16" s="1225"/>
      <c r="H16" s="1225"/>
      <c r="I16" s="1225"/>
      <c r="J16" s="1225"/>
      <c r="K16" s="1225"/>
      <c r="L16" s="1225"/>
      <c r="M16" s="1225"/>
      <c r="N16" s="1225"/>
      <c r="O16" s="1225"/>
      <c r="P16" s="1225"/>
      <c r="Q16" s="1225"/>
      <c r="R16" s="1225"/>
      <c r="S16" s="1225"/>
      <c r="T16" s="1225"/>
      <c r="U16" s="1225"/>
      <c r="V16" s="1225"/>
      <c r="W16" s="1225"/>
      <c r="X16" s="1225"/>
      <c r="Y16" s="1225"/>
      <c r="Z16" s="1225"/>
      <c r="AA16" s="1225"/>
      <c r="AB16" s="1225"/>
      <c r="AC16" s="1225"/>
      <c r="AD16" s="1225"/>
      <c r="AE16" s="1225"/>
      <c r="AF16" s="1225"/>
      <c r="AG16" s="1225"/>
      <c r="AH16" s="1225"/>
      <c r="AI16" s="1225"/>
    </row>
    <row r="17" spans="1:43" ht="61.5" customHeight="1" thickBot="1" x14ac:dyDescent="0.3">
      <c r="A17" s="1222" t="s">
        <v>797</v>
      </c>
      <c r="B17" s="1223"/>
      <c r="C17" s="1224"/>
      <c r="D17" s="1219" t="s">
        <v>2535</v>
      </c>
      <c r="E17" s="1220"/>
      <c r="F17" s="1220"/>
      <c r="G17" s="1220"/>
      <c r="H17" s="1220"/>
      <c r="I17" s="1220"/>
      <c r="J17" s="1220"/>
      <c r="K17" s="1220"/>
      <c r="L17" s="1220"/>
      <c r="M17" s="1220"/>
      <c r="N17" s="1220"/>
      <c r="O17" s="1220"/>
      <c r="P17" s="1220"/>
      <c r="Q17" s="1220"/>
      <c r="R17" s="1220"/>
      <c r="S17" s="1220"/>
      <c r="T17" s="1220"/>
      <c r="U17" s="1220"/>
      <c r="V17" s="1220"/>
      <c r="W17" s="1220"/>
      <c r="X17" s="1220"/>
      <c r="Y17" s="1220"/>
      <c r="Z17" s="1220"/>
      <c r="AA17" s="1220"/>
      <c r="AB17" s="1220"/>
      <c r="AC17" s="1220"/>
      <c r="AD17" s="1220"/>
      <c r="AE17" s="1220"/>
      <c r="AF17" s="1220"/>
      <c r="AG17" s="1220"/>
      <c r="AH17" s="1220"/>
      <c r="AI17" s="1221"/>
      <c r="AK17" t="b">
        <f>AND(COUNTIF(C4,"O"),'Die Check Entry'!C4&lt;&gt;"",'Die Check Entry'!$W$1=1)</f>
        <v>0</v>
      </c>
    </row>
    <row r="18" spans="1:43" ht="24" thickBot="1" x14ac:dyDescent="0.3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16</v>
      </c>
    </row>
    <row r="19" spans="1:43" ht="39" customHeight="1" thickBot="1" x14ac:dyDescent="0.3">
      <c r="A19" s="1232" t="s">
        <v>817</v>
      </c>
      <c r="B19" s="1232"/>
      <c r="C19" s="1233"/>
      <c r="D19" s="1229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Level 5 is 1251085M2. Pin face erosion.  </v>
      </c>
      <c r="E19" s="1230"/>
      <c r="F19" s="1230"/>
      <c r="G19" s="1230"/>
      <c r="H19" s="1230"/>
      <c r="I19" s="1230"/>
      <c r="J19" s="1230"/>
      <c r="K19" s="1230"/>
      <c r="L19" s="1230"/>
      <c r="M19" s="1230"/>
      <c r="N19" s="1230"/>
      <c r="O19" s="1230"/>
      <c r="P19" s="1230"/>
      <c r="Q19" s="1230"/>
      <c r="R19" s="1230"/>
      <c r="S19" s="1230"/>
      <c r="T19" s="1230"/>
      <c r="U19" s="1230"/>
      <c r="V19" s="1230"/>
      <c r="W19" s="1230"/>
      <c r="X19" s="1230"/>
      <c r="Y19" s="1230"/>
      <c r="Z19" s="1230"/>
      <c r="AA19" s="1230"/>
      <c r="AB19" s="1230"/>
      <c r="AC19" s="1230"/>
      <c r="AD19" s="1230"/>
      <c r="AE19" s="1230"/>
      <c r="AF19" s="1230"/>
      <c r="AG19" s="1230"/>
      <c r="AH19" s="1230"/>
      <c r="AI19" s="1231"/>
      <c r="AQ19" s="13">
        <f>COUNTIF($C$43:$AJ$54,"X1")</f>
        <v>16</v>
      </c>
    </row>
    <row r="20" spans="1:43" ht="9.9499999999999993" customHeight="1" thickBot="1" x14ac:dyDescent="0.3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3">
      <c r="A21" s="1232" t="s">
        <v>818</v>
      </c>
      <c r="B21" s="1232"/>
      <c r="C21" s="1233"/>
      <c r="D21" s="1229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>Re-evaluated by Engineer. Pin face erosion.</v>
      </c>
      <c r="E21" s="1230"/>
      <c r="F21" s="1230"/>
      <c r="G21" s="1230"/>
      <c r="H21" s="1230"/>
      <c r="I21" s="1230"/>
      <c r="J21" s="1230"/>
      <c r="K21" s="1230"/>
      <c r="L21" s="1230"/>
      <c r="M21" s="1230"/>
      <c r="N21" s="1230"/>
      <c r="O21" s="1230"/>
      <c r="P21" s="1230"/>
      <c r="Q21" s="1230"/>
      <c r="R21" s="1230"/>
      <c r="S21" s="1230"/>
      <c r="T21" s="1230"/>
      <c r="U21" s="1230"/>
      <c r="V21" s="1230"/>
      <c r="W21" s="1230"/>
      <c r="X21" s="1230"/>
      <c r="Y21" s="1230"/>
      <c r="Z21" s="1230"/>
      <c r="AA21" s="1230"/>
      <c r="AB21" s="1230"/>
      <c r="AC21" s="1230"/>
      <c r="AD21" s="1230"/>
      <c r="AE21" s="1230"/>
      <c r="AF21" s="1230"/>
      <c r="AG21" s="1230"/>
      <c r="AH21" s="1230"/>
      <c r="AI21" s="1231"/>
    </row>
    <row r="22" spans="1:43" ht="23.25" customHeight="1" x14ac:dyDescent="0.2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9.9499999999999993" customHeight="1" thickBot="1" x14ac:dyDescent="0.3">
      <c r="A23" s="1234" t="s">
        <v>305</v>
      </c>
      <c r="B23" s="1234"/>
      <c r="C23" s="1234"/>
      <c r="D23" s="1234"/>
      <c r="E23" s="1234"/>
      <c r="F23" s="1234"/>
      <c r="G23" s="1234"/>
      <c r="H23" s="1234"/>
      <c r="I23" s="1234"/>
      <c r="J23" s="1234"/>
      <c r="K23" s="1234"/>
      <c r="L23" s="1234"/>
      <c r="M23" s="1234"/>
      <c r="N23" s="1234"/>
      <c r="O23" s="1234"/>
      <c r="P23" s="1234"/>
      <c r="Q23" s="1234"/>
      <c r="R23" s="1234"/>
      <c r="S23" s="1234"/>
      <c r="T23" s="1234"/>
      <c r="U23" s="1234"/>
      <c r="V23" s="1234"/>
      <c r="W23" s="1234"/>
      <c r="X23" s="1234"/>
      <c r="Y23" s="1234"/>
      <c r="Z23" s="1234"/>
      <c r="AA23" s="1234"/>
      <c r="AB23" s="1234"/>
      <c r="AC23" s="1234"/>
      <c r="AD23" s="1234"/>
      <c r="AE23" s="1234"/>
      <c r="AF23" s="1234"/>
      <c r="AG23" s="1234"/>
      <c r="AH23" s="1234"/>
      <c r="AI23" s="1234"/>
    </row>
    <row r="24" spans="1:43" ht="15" customHeight="1" x14ac:dyDescent="0.25">
      <c r="A24" s="1197"/>
      <c r="B24" s="1198"/>
      <c r="C24" s="1201" t="s">
        <v>17</v>
      </c>
      <c r="D24" s="1201"/>
      <c r="E24" s="1201"/>
      <c r="F24" s="1201"/>
      <c r="G24" s="1201"/>
      <c r="H24" s="1201"/>
      <c r="I24" s="1201"/>
      <c r="J24" s="1201"/>
      <c r="K24" s="1201"/>
      <c r="L24" s="1201"/>
      <c r="M24" s="1201"/>
      <c r="N24" s="1201"/>
      <c r="O24" s="1201"/>
      <c r="P24" s="1201"/>
      <c r="Q24" s="1201"/>
      <c r="R24" s="1201"/>
      <c r="S24" s="1201"/>
      <c r="T24" s="1201"/>
      <c r="U24" s="1201"/>
      <c r="V24" s="1202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3">
      <c r="A25" s="1199"/>
      <c r="B25" s="1200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25">
      <c r="A26" s="1195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X1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X1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X1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R3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S3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X1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X2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O2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/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/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/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/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X1</v>
      </c>
    </row>
    <row r="27" spans="1:43" ht="23.25" customHeight="1" x14ac:dyDescent="0.25">
      <c r="A27" s="1195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X1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X3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X1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X2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X2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/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/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/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/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25">
      <c r="A28" s="1195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X1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X1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X1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S3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X1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X2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X2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/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/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/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25">
      <c r="A29" s="1195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X1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X1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X1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S3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X1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X1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>X2</v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>X2</v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/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/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/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/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25">
      <c r="A30" s="1195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S3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R3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X1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X2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X2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/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/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/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/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/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/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/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25">
      <c r="A31" s="1195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/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/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/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/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/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/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/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/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/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25">
      <c r="A32" s="1195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25">
      <c r="A33" s="1195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25">
      <c r="A34" s="1195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25">
      <c r="A35" s="1195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25">
      <c r="A36" s="1195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3">
      <c r="A37" s="1196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2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9.9499999999999993" customHeight="1" thickBot="1" x14ac:dyDescent="0.3">
      <c r="A39" s="1234" t="s">
        <v>133</v>
      </c>
      <c r="B39" s="1234"/>
      <c r="C39" s="1234"/>
      <c r="D39" s="1234"/>
      <c r="E39" s="1234"/>
      <c r="F39" s="1234"/>
      <c r="G39" s="1234"/>
      <c r="H39" s="1234"/>
      <c r="I39" s="1234"/>
      <c r="J39" s="1234"/>
      <c r="K39" s="1234"/>
      <c r="L39" s="1234"/>
      <c r="M39" s="1234"/>
      <c r="N39" s="1234"/>
      <c r="O39" s="1234"/>
      <c r="P39" s="1234"/>
      <c r="Q39" s="1234"/>
      <c r="R39" s="1234"/>
      <c r="S39" s="1234"/>
      <c r="T39" s="1234"/>
      <c r="U39" s="1234"/>
      <c r="V39" s="1234"/>
      <c r="W39" s="1234"/>
      <c r="X39" s="1234"/>
      <c r="Y39" s="1234"/>
      <c r="Z39" s="1234"/>
      <c r="AA39" s="1234"/>
      <c r="AB39" s="1234"/>
      <c r="AC39" s="1234"/>
      <c r="AD39" s="1234"/>
      <c r="AE39" s="1234"/>
      <c r="AF39" s="1234"/>
      <c r="AG39" s="1234"/>
      <c r="AH39" s="1234"/>
      <c r="AI39" s="1234"/>
    </row>
    <row r="40" spans="1:54" ht="24" customHeight="1" thickBot="1" x14ac:dyDescent="0.3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25">
      <c r="A41" s="1197"/>
      <c r="B41" s="1198"/>
      <c r="C41" s="1201" t="s">
        <v>17</v>
      </c>
      <c r="D41" s="1201"/>
      <c r="E41" s="1201"/>
      <c r="F41" s="1201"/>
      <c r="G41" s="1201"/>
      <c r="H41" s="1201"/>
      <c r="I41" s="1201"/>
      <c r="J41" s="1201"/>
      <c r="K41" s="1201"/>
      <c r="L41" s="1201"/>
      <c r="M41" s="1201"/>
      <c r="N41" s="1201"/>
      <c r="O41" s="1201"/>
      <c r="P41" s="1201"/>
      <c r="Q41" s="1201"/>
      <c r="R41" s="1201"/>
      <c r="S41" s="1201"/>
      <c r="T41" s="1201"/>
      <c r="U41" s="1201"/>
      <c r="V41" s="1202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3">
      <c r="A42" s="1199"/>
      <c r="B42" s="1200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25">
      <c r="A43" s="1195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X1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X1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X1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R3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S3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X1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X2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O2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/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/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/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/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X1</v>
      </c>
    </row>
    <row r="44" spans="1:54" s="9" customFormat="1" ht="23.25" customHeight="1" x14ac:dyDescent="0.25">
      <c r="A44" s="1195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X1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X3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X1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X2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X2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/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/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/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/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25">
      <c r="A45" s="1195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X1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X1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X1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S3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X1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X2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X2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/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/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/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25">
      <c r="A46" s="1195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X1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X1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X1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S3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X1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X1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>X2</v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>X2</v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/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/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/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/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25">
      <c r="A47" s="1195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S3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R3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X1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X2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X2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/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/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/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/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/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/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/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25">
      <c r="A48" s="1195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/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/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/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/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/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/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/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/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/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25">
      <c r="A49" s="1195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25">
      <c r="A50" s="1195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25">
      <c r="A51" s="1195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25">
      <c r="A52" s="1195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25">
      <c r="A53" s="1195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3">
      <c r="A54" s="1196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25"/>
    <row r="56" spans="1:69" ht="15.75" customHeight="1" thickBot="1" x14ac:dyDescent="0.3"/>
    <row r="57" spans="1:69" ht="9.9499999999999993" customHeight="1" thickBot="1" x14ac:dyDescent="0.3">
      <c r="A57" s="1213" t="s">
        <v>135</v>
      </c>
      <c r="B57" s="1214"/>
      <c r="C57" s="1214"/>
      <c r="D57" s="1214"/>
      <c r="E57" s="1214"/>
      <c r="F57" s="1214"/>
      <c r="G57" s="1214"/>
      <c r="H57" s="1214"/>
      <c r="I57" s="1214"/>
      <c r="J57" s="1214"/>
      <c r="K57" s="1214"/>
      <c r="L57" s="1215"/>
      <c r="M57" s="1213" t="s">
        <v>782</v>
      </c>
      <c r="N57" s="1214"/>
      <c r="O57" s="1214"/>
      <c r="P57" s="1214"/>
      <c r="Q57" s="1214"/>
      <c r="R57" s="1214"/>
      <c r="S57" s="1214"/>
      <c r="T57" s="1214"/>
      <c r="U57" s="1214"/>
      <c r="V57" s="1214"/>
      <c r="W57" s="1214"/>
      <c r="X57" s="1215"/>
      <c r="Y57" s="101" t="str">
        <f>IF(Data!L3&lt;&gt;"",Data!L3," ")</f>
        <v xml:space="preserve"> </v>
      </c>
      <c r="Z57" s="1213"/>
      <c r="AA57" s="1214"/>
      <c r="AB57" s="1214"/>
      <c r="AC57" s="1214"/>
      <c r="AD57" s="1214"/>
      <c r="AE57" s="1214"/>
      <c r="AF57" s="1214"/>
      <c r="AG57" s="1214"/>
      <c r="AH57" s="1214"/>
      <c r="AI57" s="1215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2492</v>
      </c>
      <c r="BB57" s="83" t="s">
        <v>2493</v>
      </c>
      <c r="BC57" s="83" t="s">
        <v>2494</v>
      </c>
      <c r="BD57" s="83" t="s">
        <v>2495</v>
      </c>
      <c r="BE57" s="83" t="s">
        <v>2496</v>
      </c>
      <c r="BF57" s="83" t="s">
        <v>2497</v>
      </c>
      <c r="BG57" s="83" t="s">
        <v>2498</v>
      </c>
      <c r="BH57" s="93"/>
      <c r="BI57" s="83" t="s">
        <v>21</v>
      </c>
    </row>
    <row r="58" spans="1:69" ht="24" customHeight="1" thickBot="1" x14ac:dyDescent="0.3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3">
      <c r="A59" s="1197"/>
      <c r="B59" s="1198"/>
      <c r="C59" s="1201" t="s">
        <v>17</v>
      </c>
      <c r="D59" s="1201"/>
      <c r="E59" s="1201"/>
      <c r="F59" s="1201"/>
      <c r="G59" s="1201"/>
      <c r="H59" s="1201"/>
      <c r="I59" s="1201"/>
      <c r="J59" s="1201"/>
      <c r="K59" s="1201"/>
      <c r="L59" s="1201"/>
      <c r="M59" s="1201"/>
      <c r="N59" s="1201"/>
      <c r="O59" s="1201"/>
      <c r="P59" s="1201"/>
      <c r="Q59" s="1201"/>
      <c r="R59" s="1201"/>
      <c r="S59" s="1201"/>
      <c r="T59" s="1201"/>
      <c r="U59" s="1201"/>
      <c r="V59" s="1202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0</v>
      </c>
      <c r="BP59" s="36">
        <f>IF(Data!F4&lt;&gt;"",Data!F4,0)</f>
        <v>1146346</v>
      </c>
      <c r="BQ59" s="89" t="str">
        <f>"To Replaced Cutter #"&amp;" "&amp;Data!G4</f>
        <v>To Replaced Cutter # 1</v>
      </c>
    </row>
    <row r="60" spans="1:69" ht="21" customHeight="1" thickBot="1" x14ac:dyDescent="0.3">
      <c r="A60" s="1199"/>
      <c r="B60" s="1200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0</v>
      </c>
      <c r="BP60" s="36">
        <f>IF(Data!F5&lt;&gt;"",Data!F5,0)</f>
        <v>2001155</v>
      </c>
      <c r="BQ60" s="89" t="str">
        <f>"To Replaced Cutter #"&amp;" "&amp;Data!G5</f>
        <v>To Replaced Cutter # 3</v>
      </c>
    </row>
    <row r="61" spans="1:69" ht="23.25" customHeight="1" thickBot="1" x14ac:dyDescent="0.3">
      <c r="A61" s="1195" t="s">
        <v>18</v>
      </c>
      <c r="B61" s="21">
        <v>1</v>
      </c>
      <c r="C61" s="41" t="str">
        <f>IF('Eng. Cutter Entry'!C4&lt;&gt;"",'Eng. Cutter Entry'!C4,"")</f>
        <v>O</v>
      </c>
      <c r="D61" s="41" t="str">
        <f>IF('Eng. Cutter Entry'!D4&lt;&gt;"",'Eng. Cutter Entry'!D4,"")</f>
        <v>O</v>
      </c>
      <c r="E61" s="41" t="str">
        <f>IF('Eng. Cutter Entry'!E4&lt;&gt;"",'Eng. Cutter Entry'!E4,"")</f>
        <v>O</v>
      </c>
      <c r="F61" s="41" t="str">
        <f>IF('Eng. Cutter Entry'!F4&lt;&gt;"",'Eng. Cutter Entry'!F4,"")</f>
        <v>R</v>
      </c>
      <c r="G61" s="41" t="str">
        <f>IF('Eng. Cutter Entry'!G4&lt;&gt;"",'Eng. Cutter Entry'!G4,"")</f>
        <v>S</v>
      </c>
      <c r="H61" s="41" t="str">
        <f>IF('Eng. Cutter Entry'!H4&lt;&gt;"",'Eng. Cutter Entry'!H4,"")</f>
        <v>O</v>
      </c>
      <c r="I61" s="1022" t="str">
        <f>IF('Eng. Cutter Entry'!I4&lt;&gt;"",'Eng. Cutter Entry'!I4,"")</f>
        <v>O</v>
      </c>
      <c r="J61" s="41" t="str">
        <f>IF('Eng. Cutter Entry'!J4&lt;&gt;"",'Eng. Cutter Entry'!J4,"")</f>
        <v>O</v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3">
      <c r="A62" s="1195"/>
      <c r="B62" s="22">
        <v>2</v>
      </c>
      <c r="C62" s="41" t="str">
        <f>IF('Eng. Cutter Entry'!C5&lt;&gt;"",'Eng. Cutter Entry'!C5,"")</f>
        <v>O</v>
      </c>
      <c r="D62" s="41" t="str">
        <f>IF('Eng. Cutter Entry'!D5&lt;&gt;"",'Eng. Cutter Entry'!D5,"")</f>
        <v>O</v>
      </c>
      <c r="E62" s="41" t="str">
        <f>IF('Eng. Cutter Entry'!E5&lt;&gt;"",'Eng. Cutter Entry'!E5,"")</f>
        <v>O</v>
      </c>
      <c r="F62" s="41" t="str">
        <f>IF('Eng. Cutter Entry'!F5&lt;&gt;"",'Eng. Cutter Entry'!F5,"")</f>
        <v>O</v>
      </c>
      <c r="G62" s="41" t="str">
        <f>IF('Eng. Cutter Entry'!G5&lt;&gt;"",'Eng. Cutter Entry'!G5,"")</f>
        <v>O</v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2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2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25">
      <c r="A63" s="1195"/>
      <c r="B63" s="22">
        <v>3</v>
      </c>
      <c r="C63" s="41" t="str">
        <f>IF('Eng. Cutter Entry'!C6&lt;&gt;"",'Eng. Cutter Entry'!C6,"")</f>
        <v>O</v>
      </c>
      <c r="D63" s="41" t="str">
        <f>IF('Eng. Cutter Entry'!D6&lt;&gt;"",'Eng. Cutter Entry'!D6,"")</f>
        <v>O</v>
      </c>
      <c r="E63" s="41" t="str">
        <f>IF('Eng. Cutter Entry'!E6&lt;&gt;"",'Eng. Cutter Entry'!E6,"")</f>
        <v>O</v>
      </c>
      <c r="F63" s="41" t="str">
        <f>IF('Eng. Cutter Entry'!F6&lt;&gt;"",'Eng. Cutter Entry'!F6,"")</f>
        <v>S</v>
      </c>
      <c r="G63" s="41" t="str">
        <f>IF('Eng. Cutter Entry'!G6&lt;&gt;"",'Eng. Cutter Entry'!G6,"")</f>
        <v>O</v>
      </c>
      <c r="H63" s="41" t="str">
        <f>IF('Eng. Cutter Entry'!H6&lt;&gt;"",'Eng. Cutter Entry'!H6,"")</f>
        <v>O</v>
      </c>
      <c r="I63" s="41" t="str">
        <f>IF('Eng. Cutter Entry'!I6&lt;&gt;"",'Eng. Cutter Entry'!I6,"")</f>
        <v>O</v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4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4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25">
      <c r="A64" s="1195"/>
      <c r="B64" s="22">
        <v>4</v>
      </c>
      <c r="C64" s="41" t="str">
        <f>IF('Eng. Cutter Entry'!C7&lt;&gt;"",'Eng. Cutter Entry'!C7,"")</f>
        <v>O</v>
      </c>
      <c r="D64" s="41" t="str">
        <f>IF('Eng. Cutter Entry'!D7&lt;&gt;"",'Eng. Cutter Entry'!D7,"")</f>
        <v>O</v>
      </c>
      <c r="E64" s="41" t="str">
        <f>IF('Eng. Cutter Entry'!E7&lt;&gt;"",'Eng. Cutter Entry'!E7,"")</f>
        <v>O</v>
      </c>
      <c r="F64" s="41" t="str">
        <f>IF('Eng. Cutter Entry'!F7&lt;&gt;"",'Eng. Cutter Entry'!F7,"")</f>
        <v>S</v>
      </c>
      <c r="G64" s="41" t="str">
        <f>IF('Eng. Cutter Entry'!G7&lt;&gt;"",'Eng. Cutter Entry'!G7,"")</f>
        <v>O</v>
      </c>
      <c r="H64" s="41" t="str">
        <f>IF('Eng. Cutter Entry'!H7&lt;&gt;"",'Eng. Cutter Entry'!H7,"")</f>
        <v>O</v>
      </c>
      <c r="I64" s="41" t="str">
        <f>IF('Eng. Cutter Entry'!I7&lt;&gt;"",'Eng. Cutter Entry'!I7,"")</f>
        <v>O</v>
      </c>
      <c r="J64" s="41" t="str">
        <f>IF('Eng. Cutter Entry'!J7&lt;&gt;"",'Eng. Cutter Entry'!J7,"")</f>
        <v>O</v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25">
      <c r="A65" s="1195"/>
      <c r="B65" s="22">
        <v>5</v>
      </c>
      <c r="C65" s="41" t="str">
        <f>IF('Eng. Cutter Entry'!C8&lt;&gt;"",'Eng. Cutter Entry'!C8,"")</f>
        <v>S</v>
      </c>
      <c r="D65" s="41" t="str">
        <f>IF('Eng. Cutter Entry'!D8&lt;&gt;"",'Eng. Cutter Entry'!D8,"")</f>
        <v>R</v>
      </c>
      <c r="E65" s="41" t="str">
        <f>IF('Eng. Cutter Entry'!E8&lt;&gt;"",'Eng. Cutter Entry'!E8,"")</f>
        <v>O</v>
      </c>
      <c r="F65" s="41" t="str">
        <f>IF('Eng. Cutter Entry'!F8&lt;&gt;"",'Eng. Cutter Entry'!F8,"")</f>
        <v>O</v>
      </c>
      <c r="G65" s="41" t="str">
        <f>IF('Eng. Cutter Entry'!G8&lt;&gt;"",'Eng. Cutter Entry'!G8,"")</f>
        <v>O</v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16</v>
      </c>
      <c r="AR65" s="93">
        <f>IF(COUNTIF($C$111:$AJ$122,"O*2"),COUNTIF($C$111:$AJ$122,"O*2"),0)</f>
        <v>10</v>
      </c>
      <c r="AS65" s="93">
        <f>IF(COUNTIF($C$111:$AJ$122,"O*3"),COUNTIF($C$111:$AJ$122,"O*3"),0)</f>
        <v>1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27</v>
      </c>
    </row>
    <row r="66" spans="1:61" ht="23.25" customHeight="1" x14ac:dyDescent="0.25">
      <c r="A66" s="1195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25">
      <c r="A67" s="1195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25">
      <c r="A68" s="1195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25">
      <c r="A69" s="1195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16</v>
      </c>
      <c r="AR69" s="93">
        <f>SUM(AR58:AR65)</f>
        <v>10</v>
      </c>
      <c r="AS69" s="93">
        <f t="shared" ref="AS69:BG69" si="5">SUM(AS58:AS65)</f>
        <v>7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33</v>
      </c>
    </row>
    <row r="70" spans="1:61" ht="23.25" customHeight="1" x14ac:dyDescent="0.25">
      <c r="A70" s="1195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16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10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7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0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33</v>
      </c>
    </row>
    <row r="71" spans="1:61" ht="23.25" customHeight="1" x14ac:dyDescent="0.25">
      <c r="A71" s="1195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True</v>
      </c>
      <c r="AR71" s="93" t="str">
        <f>IF(AR69=AR70,"True","Imperfection")</f>
        <v>True</v>
      </c>
      <c r="AS71" s="93" t="str">
        <f>IF(AS69=AS70,"True","Imperfection")</f>
        <v>True</v>
      </c>
      <c r="AT71" s="93" t="str">
        <f>IF(AT69=AT70,"True","Imperfection")</f>
        <v>True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True</v>
      </c>
    </row>
    <row r="72" spans="1:61" ht="24" customHeight="1" thickBot="1" x14ac:dyDescent="0.3">
      <c r="A72" s="1196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3">
      <c r="A73" s="34"/>
      <c r="B73" s="35"/>
      <c r="C73" s="1226" t="s">
        <v>799</v>
      </c>
      <c r="D73" s="1227"/>
      <c r="E73" s="1227"/>
      <c r="F73" s="1227"/>
      <c r="G73" s="1227"/>
      <c r="H73" s="1228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3">
      <c r="A74" s="34"/>
      <c r="B74" s="35"/>
      <c r="C74" s="1235" t="str">
        <f>CONCATENATE("Build up the following: ",AK179,AK200,AK221,IF(AN265&lt;&gt;"fins inbetween . ",AN265,""))</f>
        <v xml:space="preserve">Build up the following: </v>
      </c>
      <c r="D74" s="1236"/>
      <c r="E74" s="1236"/>
      <c r="F74" s="1236"/>
      <c r="G74" s="1236"/>
      <c r="H74" s="1236"/>
      <c r="I74" s="1236"/>
      <c r="J74" s="1236"/>
      <c r="K74" s="1236"/>
      <c r="L74" s="1236"/>
      <c r="M74" s="1236"/>
      <c r="N74" s="1236"/>
      <c r="O74" s="1236"/>
      <c r="P74" s="1236"/>
      <c r="Q74" s="1236"/>
      <c r="R74" s="1236"/>
      <c r="S74" s="1236"/>
      <c r="T74" s="1236"/>
      <c r="U74" s="1236"/>
      <c r="V74" s="1236"/>
      <c r="W74" s="1236"/>
      <c r="X74" s="1236"/>
      <c r="Y74" s="1236"/>
      <c r="Z74" s="1236"/>
      <c r="AA74" s="1236"/>
      <c r="AB74" s="1236"/>
      <c r="AC74" s="1236"/>
      <c r="AD74" s="1236"/>
      <c r="AE74" s="1236"/>
      <c r="AF74" s="1237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2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2492</v>
      </c>
      <c r="BB75" s="83" t="s">
        <v>2493</v>
      </c>
      <c r="BC75" s="83" t="s">
        <v>2494</v>
      </c>
      <c r="BD75" s="83" t="s">
        <v>2495</v>
      </c>
      <c r="BE75" s="83" t="s">
        <v>2496</v>
      </c>
      <c r="BF75" s="83" t="s">
        <v>2497</v>
      </c>
      <c r="BG75" s="83" t="s">
        <v>2498</v>
      </c>
      <c r="BH75" s="93"/>
      <c r="BI75" s="83" t="s">
        <v>21</v>
      </c>
    </row>
    <row r="76" spans="1:61" ht="23.25" customHeight="1" x14ac:dyDescent="0.2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16</v>
      </c>
      <c r="AR76" s="83">
        <f t="shared" si="7"/>
        <v>9</v>
      </c>
      <c r="AS76" s="83">
        <f t="shared" si="7"/>
        <v>1</v>
      </c>
      <c r="AT76" s="83">
        <f t="shared" si="7"/>
        <v>0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26</v>
      </c>
    </row>
    <row r="77" spans="1:61" ht="24" customHeight="1" thickBot="1" x14ac:dyDescent="0.3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5760</v>
      </c>
      <c r="AR77" s="93">
        <f>IFERROR(AR76*Data!$GQ3,0)</f>
        <v>900</v>
      </c>
      <c r="AS77" s="93">
        <f>IFERROR(AS76*Data!$GQ4,0)</f>
        <v>360</v>
      </c>
      <c r="AT77" s="93">
        <f>IFERROR(AT76*Data!$GQ5,0)</f>
        <v>0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7020</v>
      </c>
    </row>
    <row r="78" spans="1:61" ht="24" customHeight="1" thickBot="1" x14ac:dyDescent="0.3">
      <c r="A78" s="34"/>
      <c r="B78" s="35"/>
      <c r="C78" s="1226" t="s">
        <v>798</v>
      </c>
      <c r="D78" s="1227"/>
      <c r="E78" s="1227"/>
      <c r="F78" s="1227"/>
      <c r="G78" s="1227"/>
      <c r="H78" s="1228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0</v>
      </c>
      <c r="AR78" s="93">
        <f t="shared" si="9"/>
        <v>0</v>
      </c>
      <c r="AS78" s="93">
        <f t="shared" si="9"/>
        <v>50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50</v>
      </c>
    </row>
    <row r="79" spans="1:61" ht="24" customHeight="1" thickBot="1" x14ac:dyDescent="0.3">
      <c r="A79" s="34"/>
      <c r="B79" s="35"/>
      <c r="C79" s="1235" t="str">
        <f>IF(C82&gt;24,CONCATENATE("Build up the following: ",AK284,AK305,AK326,IF(AN370&lt;&gt;"fins inbetween . ",AN370,"")),"")</f>
        <v/>
      </c>
      <c r="D79" s="1236"/>
      <c r="E79" s="1236"/>
      <c r="F79" s="1236"/>
      <c r="G79" s="1236"/>
      <c r="H79" s="1236"/>
      <c r="I79" s="1236"/>
      <c r="J79" s="1236"/>
      <c r="K79" s="1236"/>
      <c r="L79" s="1236"/>
      <c r="M79" s="1236"/>
      <c r="N79" s="1236"/>
      <c r="O79" s="1236"/>
      <c r="P79" s="1236"/>
      <c r="Q79" s="1236"/>
      <c r="R79" s="1236"/>
      <c r="S79" s="1236"/>
      <c r="T79" s="1236"/>
      <c r="U79" s="1236"/>
      <c r="V79" s="1236"/>
      <c r="W79" s="1236"/>
      <c r="X79" s="1236"/>
      <c r="Y79" s="1236"/>
      <c r="Z79" s="1236"/>
      <c r="AA79" s="1236"/>
      <c r="AB79" s="1236"/>
      <c r="AC79" s="1236"/>
      <c r="AD79" s="1236"/>
      <c r="AE79" s="1236"/>
      <c r="AF79" s="1237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2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9.9499999999999993" customHeight="1" thickBot="1" x14ac:dyDescent="0.3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3">
      <c r="A82" s="34"/>
      <c r="B82" s="35"/>
      <c r="C82" s="1240">
        <f>LEN(C83)</f>
        <v>24</v>
      </c>
      <c r="D82" s="1241"/>
      <c r="E82" s="1241"/>
      <c r="F82" s="1241"/>
      <c r="G82" s="1241"/>
      <c r="H82" s="1241"/>
      <c r="I82" s="1241"/>
      <c r="J82" s="1241"/>
      <c r="K82" s="1241"/>
      <c r="L82" s="1241"/>
      <c r="M82" s="1241"/>
      <c r="N82" s="1241"/>
      <c r="O82" s="1241"/>
      <c r="P82" s="1241"/>
      <c r="Q82" s="1241"/>
      <c r="R82" s="1241"/>
      <c r="S82" s="1241"/>
      <c r="T82" s="1241"/>
      <c r="U82" s="1241"/>
      <c r="V82" s="1241"/>
      <c r="W82" s="1241"/>
      <c r="X82" s="1241"/>
      <c r="Y82" s="1241"/>
      <c r="Z82" s="1241"/>
      <c r="AA82" s="1241"/>
      <c r="AB82" s="1241"/>
      <c r="AC82" s="1241"/>
      <c r="AD82" s="1241"/>
      <c r="AE82" s="1241"/>
      <c r="AF82" s="1242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3">
      <c r="A83" s="34"/>
      <c r="B83" s="35"/>
      <c r="C83" s="1235" t="str">
        <f>CONCATENATE("Build up the following: ",AK284,AK305,AK326,IF(AN370&lt;&gt;"fins inbetween . ",AN370,""))</f>
        <v xml:space="preserve">Build up the following: </v>
      </c>
      <c r="D83" s="1236"/>
      <c r="E83" s="1236"/>
      <c r="F83" s="1236"/>
      <c r="G83" s="1236"/>
      <c r="H83" s="1236"/>
      <c r="I83" s="1236"/>
      <c r="J83" s="1236"/>
      <c r="K83" s="1236"/>
      <c r="L83" s="1236"/>
      <c r="M83" s="1236"/>
      <c r="N83" s="1236"/>
      <c r="O83" s="1236"/>
      <c r="P83" s="1236"/>
      <c r="Q83" s="1236"/>
      <c r="R83" s="1236"/>
      <c r="S83" s="1236"/>
      <c r="T83" s="1236"/>
      <c r="U83" s="1236"/>
      <c r="V83" s="1236"/>
      <c r="W83" s="1236"/>
      <c r="X83" s="1236"/>
      <c r="Y83" s="1236"/>
      <c r="Z83" s="1236"/>
      <c r="AA83" s="1236"/>
      <c r="AB83" s="1236"/>
      <c r="AC83" s="1236"/>
      <c r="AD83" s="1236"/>
      <c r="AE83" s="1236"/>
      <c r="AF83" s="1237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2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2</v>
      </c>
    </row>
    <row r="84" spans="1:61" ht="23.25" customHeight="1" x14ac:dyDescent="0.2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50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50</v>
      </c>
    </row>
    <row r="85" spans="1:61" ht="23.25" customHeight="1" x14ac:dyDescent="0.2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2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2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2492</v>
      </c>
      <c r="BB87" s="83" t="s">
        <v>2493</v>
      </c>
      <c r="BC87" s="83" t="s">
        <v>2494</v>
      </c>
      <c r="BD87" s="83" t="s">
        <v>2495</v>
      </c>
      <c r="BE87" s="83" t="s">
        <v>2496</v>
      </c>
      <c r="BF87" s="83" t="s">
        <v>2497</v>
      </c>
      <c r="BG87" s="83" t="s">
        <v>2498</v>
      </c>
      <c r="BH87" s="93"/>
      <c r="BI87" s="83" t="s">
        <v>21</v>
      </c>
    </row>
    <row r="88" spans="1:61" ht="23.25" customHeight="1" x14ac:dyDescent="0.2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2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2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9.9499999999999993" customHeight="1" thickBot="1" x14ac:dyDescent="0.3">
      <c r="A91" s="1238" t="s">
        <v>716</v>
      </c>
      <c r="B91" s="1238"/>
      <c r="C91" s="1238"/>
      <c r="D91" s="1238"/>
      <c r="E91" s="1238"/>
      <c r="F91" s="1238"/>
      <c r="G91" s="1238"/>
      <c r="H91" s="1238"/>
      <c r="I91" s="1238"/>
      <c r="J91" s="1238"/>
      <c r="K91" s="1238"/>
      <c r="L91" s="1238"/>
      <c r="M91" s="1238"/>
      <c r="N91" s="1238"/>
      <c r="O91" s="1238"/>
      <c r="P91" s="1238"/>
      <c r="Q91" s="1238"/>
      <c r="R91" s="1238"/>
      <c r="S91" s="1238"/>
      <c r="T91" s="1238"/>
      <c r="U91" s="1238"/>
      <c r="V91" s="1238"/>
      <c r="W91" s="1238"/>
      <c r="X91" s="1238"/>
      <c r="Y91" s="1238"/>
      <c r="Z91" s="1238"/>
      <c r="AA91" s="1238"/>
      <c r="AB91" s="1238"/>
      <c r="AC91" s="1238"/>
      <c r="AD91" s="1238"/>
      <c r="AE91" s="1238"/>
      <c r="AF91" s="1238"/>
      <c r="AG91" s="1238"/>
      <c r="AH91" s="1238"/>
      <c r="AI91" s="1238"/>
    </row>
    <row r="92" spans="1:61" ht="15.75" customHeight="1" thickBot="1" x14ac:dyDescent="0.3">
      <c r="A92" s="1197"/>
      <c r="B92" s="1198"/>
      <c r="C92" s="1239" t="s">
        <v>17</v>
      </c>
      <c r="D92" s="1201"/>
      <c r="E92" s="1201"/>
      <c r="F92" s="1201"/>
      <c r="G92" s="1201"/>
      <c r="H92" s="1201"/>
      <c r="I92" s="1201"/>
      <c r="J92" s="1201"/>
      <c r="K92" s="1201"/>
      <c r="L92" s="1201"/>
      <c r="M92" s="1201"/>
      <c r="N92" s="1201"/>
      <c r="O92" s="1201"/>
      <c r="P92" s="1201"/>
      <c r="Q92" s="1201"/>
      <c r="R92" s="1201"/>
      <c r="S92" s="1201"/>
      <c r="T92" s="1201"/>
      <c r="U92" s="1201"/>
      <c r="V92" s="1202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05" t="s">
        <v>108</v>
      </c>
      <c r="AQ92" s="1205" t="s">
        <v>40</v>
      </c>
      <c r="AR92" s="1205" t="s">
        <v>41</v>
      </c>
      <c r="AS92" s="1205" t="s">
        <v>42</v>
      </c>
      <c r="AT92" s="1204" t="s">
        <v>43</v>
      </c>
      <c r="AU92" s="1204"/>
      <c r="AV92" s="1204" t="s">
        <v>44</v>
      </c>
      <c r="AW92" s="1204"/>
    </row>
    <row r="93" spans="1:61" ht="26.25" customHeight="1" thickBot="1" x14ac:dyDescent="0.3">
      <c r="A93" s="1199"/>
      <c r="B93" s="1200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05"/>
      <c r="AQ93" s="1205"/>
      <c r="AR93" s="1205"/>
      <c r="AS93" s="1205"/>
      <c r="AT93" s="1204"/>
      <c r="AU93" s="1204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3">
      <c r="A94" s="1195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>O1</v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>O1</v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>O1</v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>R3</v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>S3</v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>O1</v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>O2</v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>O2</v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1313</v>
      </c>
      <c r="AS94" s="99">
        <f>IF(Data!GG2&gt;0,IF(Data!GG2&lt;&gt;"",Data!GG2," ")," ")</f>
        <v>1145493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3">
      <c r="A95" s="1195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>O1</v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>O3</v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>O1</v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>O2</v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>O2</v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1308</v>
      </c>
      <c r="AS95" s="99">
        <f>IF(Data!GG3&gt;0,IF(Data!GG3&lt;&gt;"",Data!GG3," ")," ")</f>
        <v>418525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3">
      <c r="A96" s="1195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>O1</v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>O1</v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>O1</v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>S3</v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>O1</v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>O2</v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>O2</v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1313</v>
      </c>
      <c r="AS96" s="99">
        <f>IF(Data!GG4&gt;0,IF(Data!GG4&lt;&gt;"",Data!GG4," ")," ")</f>
        <v>1209332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3">
      <c r="A97" s="1195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>O1</v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>O1</v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>O1</v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>S3</v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>O1</v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>O1</v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>O2</v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>O2</v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>
        <f>IF(Data!GK5&gt;0,IF(Data!GK5&lt;&gt;"",Data!GK5," ")," ")</f>
        <v>1313</v>
      </c>
      <c r="AS97" s="99">
        <f>IF(Data!GG5&gt;0,IF(Data!GG5&lt;&gt;"",Data!GG5," ")," ")</f>
        <v>1146346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3">
      <c r="A98" s="1195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>S3</v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>R3</v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>O1</v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>O2</v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>O2</v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>
        <f>IF(Data!GK6&gt;0,IF(Data!GK6&lt;&gt;"",Data!GK6," ")," ")</f>
        <v>1313</v>
      </c>
      <c r="AS98" s="99">
        <f>IF(Data!GG6&gt;0,IF(Data!GG6&lt;&gt;"",Data!GG6," ")," ")</f>
        <v>2001155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3">
      <c r="A99" s="1195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3">
      <c r="A100" s="1195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3">
      <c r="A101" s="1195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3">
      <c r="A102" s="1195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3">
      <c r="A103" s="1195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3">
      <c r="A104" s="1195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06"/>
      <c r="AS104" s="1206"/>
      <c r="AT104" s="1206"/>
      <c r="AU104" s="1206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3">
      <c r="A105" s="1196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2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3">
      <c r="A107" s="1238" t="s">
        <v>134</v>
      </c>
      <c r="B107" s="1238"/>
      <c r="C107" s="1238"/>
      <c r="D107" s="1238"/>
      <c r="E107" s="1238"/>
      <c r="F107" s="1238"/>
      <c r="G107" s="1238"/>
      <c r="H107" s="1238"/>
      <c r="I107" s="1238"/>
      <c r="J107" s="1238"/>
      <c r="K107" s="1238"/>
      <c r="L107" s="1238"/>
      <c r="M107" s="1238"/>
      <c r="N107" s="1238"/>
      <c r="O107" s="1238"/>
      <c r="P107" s="1238"/>
      <c r="Q107" s="1238"/>
      <c r="R107" s="1238"/>
      <c r="S107" s="1238"/>
      <c r="T107" s="1238"/>
      <c r="U107" s="1238"/>
      <c r="V107" s="1238"/>
      <c r="W107" s="1238"/>
      <c r="X107" s="1238"/>
      <c r="Y107" s="1238"/>
      <c r="Z107" s="1238"/>
      <c r="AA107" s="1238"/>
      <c r="AB107" s="1238"/>
      <c r="AC107" s="1238"/>
      <c r="AD107" s="1238"/>
      <c r="AE107" s="1238"/>
      <c r="AF107" s="1238"/>
      <c r="AG107" s="1238"/>
      <c r="AH107" s="1238"/>
      <c r="AI107" s="1238"/>
    </row>
    <row r="108" spans="1:54" ht="24" customHeight="1" thickBot="1" x14ac:dyDescent="0.3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3">
      <c r="A109" s="1197"/>
      <c r="B109" s="1198"/>
      <c r="C109" s="1201" t="s">
        <v>17</v>
      </c>
      <c r="D109" s="1201"/>
      <c r="E109" s="1201"/>
      <c r="F109" s="1201"/>
      <c r="G109" s="1201"/>
      <c r="H109" s="1201"/>
      <c r="I109" s="1201"/>
      <c r="J109" s="1201"/>
      <c r="K109" s="1201"/>
      <c r="L109" s="1201"/>
      <c r="M109" s="1201"/>
      <c r="N109" s="1201"/>
      <c r="O109" s="1201"/>
      <c r="P109" s="1201"/>
      <c r="Q109" s="1201"/>
      <c r="R109" s="1201"/>
      <c r="S109" s="1201"/>
      <c r="T109" s="1201"/>
      <c r="U109" s="1201"/>
      <c r="V109" s="1202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3">
      <c r="A110" s="1199"/>
      <c r="B110" s="1200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203" t="s">
        <v>792</v>
      </c>
      <c r="AS110" s="1203"/>
      <c r="AT110" s="112"/>
    </row>
    <row r="111" spans="1:54" ht="23.25" customHeight="1" thickBot="1" x14ac:dyDescent="0.3">
      <c r="A111" s="1195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>O1</v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>O1</v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>O1</v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>R3</v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>S3</v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>O1</v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>O2</v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>O2</v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11191</v>
      </c>
      <c r="AT111" s="113"/>
    </row>
    <row r="112" spans="1:54" s="9" customFormat="1" ht="23.25" customHeight="1" thickBot="1" x14ac:dyDescent="0.3">
      <c r="A112" s="1195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>O1</v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>O3</v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>O1</v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>O2</v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>O2</v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4171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4171</v>
      </c>
      <c r="AU112" s="13">
        <f>Data!C53+'ARDT Cutter Entry'!BI84+('ARDT Cutter Entry'!AL62+'ARDT Cutter Entry'!AL63+'ARDT Cutter Entry'!AL64)*100+Data!L8*135+Data!G31+'ARDT Cutter Entry'!BI81</f>
        <v>4171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3">
      <c r="A113" s="1195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>O1</v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>O1</v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>O1</v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>S3</v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>O1</v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>O2</v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>O2</v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4171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3">
      <c r="A114" s="1195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>O1</v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>O1</v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>O1</v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>S3</v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>O1</v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>O1</v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>O2</v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>O2</v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4171</v>
      </c>
      <c r="AT114" s="114"/>
    </row>
    <row r="115" spans="1:54" ht="23.25" customHeight="1" x14ac:dyDescent="0.25">
      <c r="A115" s="1195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>S3</v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>R3</v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>O1</v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>O2</v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>O2</v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25">
      <c r="A116" s="1195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25">
      <c r="A117" s="1195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25">
      <c r="A118" s="1195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25">
      <c r="A119" s="1195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25">
      <c r="A120" s="1195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25">
      <c r="A121" s="1195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3">
      <c r="A122" s="1196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25"/>
    <row r="124" spans="1:54" ht="21" customHeight="1" thickBot="1" x14ac:dyDescent="0.3">
      <c r="A124" s="1243" t="s">
        <v>19</v>
      </c>
      <c r="B124" s="1243"/>
      <c r="C124" s="1243"/>
      <c r="D124" s="1244"/>
      <c r="E124" s="1244"/>
      <c r="F124" s="1244"/>
      <c r="G124" s="1244"/>
      <c r="H124" s="1244"/>
      <c r="I124" s="1244"/>
      <c r="J124" s="1244"/>
      <c r="K124" s="1244"/>
      <c r="L124" s="1244"/>
      <c r="M124" s="1244"/>
      <c r="N124" s="1244"/>
      <c r="O124" s="1244"/>
      <c r="P124" s="1244"/>
      <c r="Q124" s="1244"/>
      <c r="R124" s="1244"/>
      <c r="S124" s="1244"/>
      <c r="T124" s="1244"/>
      <c r="U124" s="1244"/>
      <c r="V124" s="1244"/>
      <c r="W124" s="1244"/>
      <c r="X124" s="1244"/>
      <c r="Y124" s="1244"/>
      <c r="Z124" s="1244"/>
      <c r="AA124" s="1244"/>
      <c r="AB124" s="1244"/>
      <c r="AC124" s="1244"/>
      <c r="AD124" s="1244"/>
      <c r="AE124" s="1244"/>
      <c r="AF124" s="1244"/>
      <c r="AG124" s="1244"/>
      <c r="AH124" s="1244"/>
      <c r="AI124" s="1244"/>
    </row>
    <row r="125" spans="1:54" ht="15" customHeight="1" x14ac:dyDescent="0.25"/>
    <row r="126" spans="1:54" ht="20.25" customHeight="1" thickBot="1" x14ac:dyDescent="0.3">
      <c r="A126" s="1238" t="s">
        <v>134</v>
      </c>
      <c r="B126" s="1238"/>
      <c r="C126" s="1238"/>
      <c r="D126" s="1238"/>
      <c r="E126" s="1238"/>
      <c r="F126" s="1238"/>
      <c r="G126" s="1238"/>
      <c r="H126" s="1238"/>
      <c r="I126" s="1238"/>
      <c r="J126" s="1238"/>
      <c r="K126" s="1238"/>
      <c r="L126" s="1238"/>
      <c r="M126" s="1238"/>
      <c r="N126" s="1238"/>
      <c r="O126" s="1238"/>
      <c r="P126" s="1238"/>
      <c r="Q126" s="1238"/>
      <c r="R126" s="1238"/>
      <c r="S126" s="1238"/>
      <c r="T126" s="1238"/>
      <c r="U126" s="1238"/>
      <c r="V126" s="1238"/>
      <c r="W126" s="1238"/>
      <c r="X126" s="1238"/>
      <c r="Y126" s="1238"/>
      <c r="Z126" s="1238"/>
      <c r="AA126" s="1238"/>
      <c r="AB126" s="1238"/>
      <c r="AC126" s="1238"/>
      <c r="AD126" s="1238"/>
      <c r="AE126" s="1238"/>
      <c r="AF126" s="1238"/>
      <c r="AG126" s="1238"/>
      <c r="AH126" s="1238"/>
      <c r="AI126" s="1238"/>
    </row>
    <row r="127" spans="1:54" ht="24" customHeight="1" thickBot="1" x14ac:dyDescent="0.3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3">
      <c r="A128" s="1197"/>
      <c r="B128" s="1198"/>
      <c r="C128" s="1201" t="s">
        <v>17</v>
      </c>
      <c r="D128" s="1201"/>
      <c r="E128" s="1201"/>
      <c r="F128" s="1201"/>
      <c r="G128" s="1201"/>
      <c r="H128" s="1201"/>
      <c r="I128" s="1201"/>
      <c r="J128" s="1201"/>
      <c r="K128" s="1201"/>
      <c r="L128" s="1201"/>
      <c r="M128" s="1201"/>
      <c r="N128" s="1201"/>
      <c r="O128" s="1201"/>
      <c r="P128" s="1201"/>
      <c r="Q128" s="1201"/>
      <c r="R128" s="1201"/>
      <c r="S128" s="1201"/>
      <c r="T128" s="1201"/>
      <c r="U128" s="1201"/>
      <c r="V128" s="1202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3">
      <c r="A129" s="1199"/>
      <c r="B129" s="1200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203" t="s">
        <v>792</v>
      </c>
      <c r="AS129" s="1203"/>
      <c r="AT129" s="112"/>
    </row>
    <row r="130" spans="1:54" ht="23.25" customHeight="1" thickBot="1" x14ac:dyDescent="0.3">
      <c r="A130" s="1195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3">
      <c r="A131" s="1195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3">
      <c r="A132" s="1195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3">
      <c r="A133" s="1195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25">
      <c r="A134" s="1195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25">
      <c r="A135" s="1195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25">
      <c r="A136" s="1195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25">
      <c r="A137" s="1195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25">
      <c r="A138" s="1195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25">
      <c r="A139" s="1195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25">
      <c r="A140" s="1195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3">
      <c r="A141" s="1196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25"/>
    <row r="143" spans="1:54" ht="21" customHeight="1" thickBot="1" x14ac:dyDescent="0.3">
      <c r="A143" s="1243" t="s">
        <v>19</v>
      </c>
      <c r="B143" s="1243"/>
      <c r="C143" s="1243"/>
      <c r="D143" s="1244"/>
      <c r="E143" s="1244"/>
      <c r="F143" s="1244"/>
      <c r="G143" s="1244"/>
      <c r="H143" s="1244"/>
      <c r="I143" s="1244"/>
      <c r="J143" s="1244"/>
      <c r="K143" s="1244"/>
      <c r="L143" s="1244"/>
      <c r="M143" s="1244"/>
      <c r="N143" s="1244"/>
      <c r="O143" s="1244"/>
      <c r="P143" s="1244"/>
      <c r="Q143" s="1244"/>
      <c r="R143" s="1244"/>
      <c r="S143" s="1244"/>
      <c r="T143" s="1244"/>
      <c r="U143" s="1244"/>
      <c r="V143" s="1244"/>
      <c r="W143" s="1244"/>
      <c r="X143" s="1244"/>
      <c r="Y143" s="1244"/>
      <c r="Z143" s="1244"/>
      <c r="AA143" s="1244"/>
      <c r="AB143" s="1244"/>
      <c r="AC143" s="1244"/>
      <c r="AD143" s="1244"/>
      <c r="AE143" s="1244"/>
      <c r="AF143" s="1244"/>
      <c r="AG143" s="1244"/>
      <c r="AH143" s="1244"/>
      <c r="AI143" s="1244"/>
    </row>
    <row r="144" spans="1:54" ht="15" customHeight="1" x14ac:dyDescent="0.25"/>
    <row r="145" spans="1:36" ht="15.75" customHeight="1" thickBot="1" x14ac:dyDescent="0.3"/>
    <row r="146" spans="1:36" ht="15" customHeight="1" x14ac:dyDescent="0.25">
      <c r="A146" s="1197"/>
      <c r="B146" s="1198"/>
      <c r="C146" s="1201" t="s">
        <v>17</v>
      </c>
      <c r="D146" s="1201"/>
      <c r="E146" s="1201"/>
      <c r="F146" s="1201"/>
      <c r="G146" s="1201"/>
      <c r="H146" s="1201"/>
      <c r="I146" s="1201"/>
      <c r="J146" s="1201"/>
      <c r="K146" s="1201"/>
      <c r="L146" s="1201"/>
      <c r="M146" s="1201"/>
      <c r="N146" s="1201"/>
      <c r="O146" s="1201"/>
      <c r="P146" s="1201"/>
      <c r="Q146" s="1201"/>
      <c r="R146" s="1201"/>
      <c r="S146" s="1201"/>
      <c r="T146" s="1201"/>
      <c r="U146" s="1201"/>
      <c r="V146" s="1202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3">
      <c r="A147" s="1199"/>
      <c r="B147" s="1200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25">
      <c r="A148" s="1195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25">
      <c r="A149" s="1195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25">
      <c r="A150" s="1195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25">
      <c r="A151" s="1195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25">
      <c r="A152" s="1195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25">
      <c r="A153" s="1195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25">
      <c r="A154" s="1195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25">
      <c r="A155" s="1195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25">
      <c r="A156" s="1195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25">
      <c r="A157" s="1195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25">
      <c r="A158" s="1195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3">
      <c r="A159" s="1196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25"/>
    <row r="161" spans="1:37" ht="15.75" customHeight="1" thickBot="1" x14ac:dyDescent="0.3">
      <c r="C161" s="1245" t="s">
        <v>306</v>
      </c>
      <c r="D161" s="1245"/>
      <c r="E161" s="1245"/>
      <c r="F161" s="1245"/>
      <c r="G161" s="1245"/>
      <c r="H161" s="1245"/>
      <c r="I161" s="1245"/>
      <c r="J161" s="1245"/>
      <c r="K161" s="1245"/>
      <c r="L161" s="1245"/>
      <c r="M161" s="1245"/>
      <c r="N161" s="1245"/>
      <c r="O161" s="1245"/>
      <c r="P161" s="1245"/>
      <c r="Q161" s="1245"/>
      <c r="R161" s="1245"/>
      <c r="S161" s="1245"/>
      <c r="T161" s="1245"/>
      <c r="U161" s="1245"/>
      <c r="V161" s="1245"/>
      <c r="W161" s="1245"/>
      <c r="X161" s="1245"/>
      <c r="Y161" s="1245"/>
      <c r="Z161" s="1245"/>
      <c r="AA161" s="1245"/>
      <c r="AB161" s="1245"/>
      <c r="AC161" s="1245"/>
      <c r="AD161" s="1245"/>
      <c r="AE161" s="1245"/>
      <c r="AF161" s="1245"/>
      <c r="AG161" s="1245"/>
      <c r="AH161" s="1245"/>
      <c r="AI161" s="1245"/>
    </row>
    <row r="162" spans="1:37" ht="15" customHeight="1" x14ac:dyDescent="0.25">
      <c r="A162" s="1197"/>
      <c r="B162" s="1198"/>
      <c r="C162" s="1201" t="s">
        <v>17</v>
      </c>
      <c r="D162" s="1201"/>
      <c r="E162" s="1201"/>
      <c r="F162" s="1201"/>
      <c r="G162" s="1201"/>
      <c r="H162" s="1201"/>
      <c r="I162" s="1201"/>
      <c r="J162" s="1201"/>
      <c r="K162" s="1201"/>
      <c r="L162" s="1201"/>
      <c r="M162" s="1201"/>
      <c r="N162" s="1201"/>
      <c r="O162" s="1201"/>
      <c r="P162" s="1201"/>
      <c r="Q162" s="1201"/>
      <c r="R162" s="1201"/>
      <c r="S162" s="1201"/>
      <c r="T162" s="1201"/>
      <c r="U162" s="1201"/>
      <c r="V162" s="1202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3">
      <c r="A163" s="1199"/>
      <c r="B163" s="1200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3">
      <c r="A164" s="1195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3">
      <c r="A165" s="1195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3">
      <c r="A166" s="1195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3">
      <c r="A167" s="1195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3">
      <c r="A168" s="1195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3">
      <c r="A169" s="1195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3">
      <c r="A170" s="1195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3">
      <c r="A171" s="1195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3">
      <c r="A172" s="1195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3">
      <c r="A173" s="1195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3">
      <c r="A174" s="1195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3">
      <c r="A175" s="1196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25">
      <c r="AK176" s="63" t="str">
        <f>CONCATENATE(AK164,AK165,AK166,AK167,AK168,AK169,AK170,AK171,AK172,AK173,AK174,AK175)</f>
        <v/>
      </c>
    </row>
    <row r="177" spans="1:37" ht="15" customHeight="1" x14ac:dyDescent="0.25">
      <c r="AK177" s="63" t="s">
        <v>712</v>
      </c>
    </row>
    <row r="178" spans="1:37" ht="15" customHeight="1" x14ac:dyDescent="0.25">
      <c r="AK178" s="63" t="s">
        <v>713</v>
      </c>
    </row>
    <row r="179" spans="1:37" ht="15.75" customHeight="1" thickBot="1" x14ac:dyDescent="0.3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9.9499999999999993" customHeight="1" x14ac:dyDescent="0.25"/>
    <row r="181" spans="1:37" ht="15" customHeight="1" x14ac:dyDescent="0.25"/>
    <row r="182" spans="1:37" ht="15.75" customHeight="1" thickBot="1" x14ac:dyDescent="0.3">
      <c r="C182" s="1245" t="s">
        <v>709</v>
      </c>
      <c r="D182" s="1245"/>
      <c r="E182" s="1245"/>
      <c r="F182" s="1245"/>
      <c r="G182" s="1245"/>
      <c r="H182" s="1245"/>
      <c r="I182" s="1245"/>
      <c r="J182" s="1245"/>
      <c r="K182" s="1245"/>
      <c r="L182" s="1245"/>
      <c r="M182" s="1245"/>
      <c r="N182" s="1245"/>
      <c r="O182" s="1245"/>
      <c r="P182" s="1245"/>
      <c r="Q182" s="1245"/>
      <c r="R182" s="1245"/>
      <c r="S182" s="1245"/>
      <c r="T182" s="1245"/>
      <c r="U182" s="1245"/>
      <c r="V182" s="1245"/>
      <c r="W182" s="1245"/>
      <c r="X182" s="1245"/>
      <c r="Y182" s="1245"/>
      <c r="Z182" s="1245"/>
      <c r="AA182" s="1245"/>
      <c r="AB182" s="1245"/>
      <c r="AC182" s="1245"/>
      <c r="AD182" s="1245"/>
      <c r="AE182" s="1245"/>
      <c r="AF182" s="1245"/>
      <c r="AG182" s="1245"/>
      <c r="AH182" s="1245"/>
      <c r="AI182" s="1245"/>
    </row>
    <row r="183" spans="1:37" ht="15" customHeight="1" x14ac:dyDescent="0.25">
      <c r="A183" s="1197"/>
      <c r="B183" s="1198"/>
      <c r="C183" s="1201" t="s">
        <v>17</v>
      </c>
      <c r="D183" s="1201"/>
      <c r="E183" s="1201"/>
      <c r="F183" s="1201"/>
      <c r="G183" s="1201"/>
      <c r="H183" s="1201"/>
      <c r="I183" s="1201"/>
      <c r="J183" s="1201"/>
      <c r="K183" s="1201"/>
      <c r="L183" s="1201"/>
      <c r="M183" s="1201"/>
      <c r="N183" s="1201"/>
      <c r="O183" s="1201"/>
      <c r="P183" s="1201"/>
      <c r="Q183" s="1201"/>
      <c r="R183" s="1201"/>
      <c r="S183" s="1201"/>
      <c r="T183" s="1201"/>
      <c r="U183" s="1201"/>
      <c r="V183" s="1202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3">
      <c r="A184" s="1199"/>
      <c r="B184" s="1200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3">
      <c r="A185" s="1195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3">
      <c r="A186" s="1195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3">
      <c r="A187" s="1195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3">
      <c r="A188" s="1195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3">
      <c r="A189" s="1195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3">
      <c r="A190" s="1195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3">
      <c r="A191" s="1195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3">
      <c r="A192" s="1195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3">
      <c r="A193" s="1195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3">
      <c r="A194" s="1195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3">
      <c r="A195" s="1195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3">
      <c r="A196" s="1196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25">
      <c r="AK197" s="63" t="str">
        <f>SUBSTITUTE(CONCATENATE(AK185,AK186,AK187,AK188,AK189,AK190,AK191,AK192,AK193,AK194,AK195,AK196),"P","I")</f>
        <v/>
      </c>
    </row>
    <row r="198" spans="1:37" ht="15" customHeight="1" x14ac:dyDescent="0.25">
      <c r="AK198" s="63" t="s">
        <v>714</v>
      </c>
    </row>
    <row r="199" spans="1:37" ht="15" customHeight="1" x14ac:dyDescent="0.25">
      <c r="AK199" s="63" t="s">
        <v>714</v>
      </c>
    </row>
    <row r="200" spans="1:37" ht="15.75" customHeight="1" thickBot="1" x14ac:dyDescent="0.3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25"/>
    <row r="202" spans="1:37" ht="15" customHeight="1" x14ac:dyDescent="0.25"/>
    <row r="203" spans="1:37" ht="15.75" customHeight="1" thickBot="1" x14ac:dyDescent="0.3">
      <c r="C203" s="1245" t="s">
        <v>710</v>
      </c>
      <c r="D203" s="1245"/>
      <c r="E203" s="1245"/>
      <c r="F203" s="1245"/>
      <c r="G203" s="1245"/>
      <c r="H203" s="1245"/>
      <c r="I203" s="1245"/>
      <c r="J203" s="1245"/>
      <c r="K203" s="1245"/>
      <c r="L203" s="1245"/>
      <c r="M203" s="1245"/>
      <c r="N203" s="1245"/>
      <c r="O203" s="1245"/>
      <c r="P203" s="1245"/>
      <c r="Q203" s="1245"/>
      <c r="R203" s="1245"/>
      <c r="S203" s="1245"/>
      <c r="T203" s="1245"/>
      <c r="U203" s="1245"/>
      <c r="V203" s="1245"/>
      <c r="W203" s="1245"/>
      <c r="X203" s="1245"/>
      <c r="Y203" s="1245"/>
      <c r="Z203" s="1245"/>
      <c r="AA203" s="1245"/>
      <c r="AB203" s="1245"/>
      <c r="AC203" s="1245"/>
      <c r="AD203" s="1245"/>
      <c r="AE203" s="1245"/>
      <c r="AF203" s="1245"/>
      <c r="AG203" s="1245"/>
      <c r="AH203" s="1245"/>
      <c r="AI203" s="1245"/>
    </row>
    <row r="204" spans="1:37" ht="15" customHeight="1" x14ac:dyDescent="0.25">
      <c r="A204" s="1197"/>
      <c r="B204" s="1198"/>
      <c r="C204" s="1201" t="s">
        <v>17</v>
      </c>
      <c r="D204" s="1201"/>
      <c r="E204" s="1201"/>
      <c r="F204" s="1201"/>
      <c r="G204" s="1201"/>
      <c r="H204" s="1201"/>
      <c r="I204" s="1201"/>
      <c r="J204" s="1201"/>
      <c r="K204" s="1201"/>
      <c r="L204" s="1201"/>
      <c r="M204" s="1201"/>
      <c r="N204" s="1201"/>
      <c r="O204" s="1201"/>
      <c r="P204" s="1201"/>
      <c r="Q204" s="1201"/>
      <c r="R204" s="1201"/>
      <c r="S204" s="1201"/>
      <c r="T204" s="1201"/>
      <c r="U204" s="1201"/>
      <c r="V204" s="1202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3">
      <c r="A205" s="1199"/>
      <c r="B205" s="1200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3">
      <c r="A206" s="1195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3">
      <c r="A207" s="1195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3">
      <c r="A208" s="1195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3">
      <c r="A209" s="1195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3">
      <c r="A210" s="1195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3">
      <c r="A211" s="1195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3">
      <c r="A212" s="1195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3">
      <c r="A213" s="1195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3">
      <c r="A214" s="1195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3">
      <c r="A215" s="1195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3">
      <c r="A216" s="1195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3">
      <c r="A217" s="1196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25">
      <c r="AK218" s="63" t="str">
        <f>CONCATENATE(AK206,AK207,AK208,AK209,AK210,AK211,AK212,AK213,AK214,AK215,AK216,AK217)</f>
        <v/>
      </c>
    </row>
    <row r="219" spans="1:37" ht="15" customHeight="1" x14ac:dyDescent="0.25">
      <c r="AK219" s="63" t="s">
        <v>715</v>
      </c>
    </row>
    <row r="220" spans="1:37" ht="15" customHeight="1" x14ac:dyDescent="0.25">
      <c r="AK220" s="63" t="s">
        <v>715</v>
      </c>
    </row>
    <row r="221" spans="1:37" ht="15.75" customHeight="1" thickBot="1" x14ac:dyDescent="0.3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25"/>
    <row r="223" spans="1:37" ht="15" customHeight="1" x14ac:dyDescent="0.25"/>
    <row r="224" spans="1:37" ht="15.75" customHeight="1" thickBot="1" x14ac:dyDescent="0.3">
      <c r="D224" s="1245" t="s">
        <v>711</v>
      </c>
      <c r="E224" s="1245"/>
      <c r="F224" s="1245"/>
      <c r="G224" s="1245"/>
      <c r="H224" s="1245"/>
      <c r="I224" s="1245"/>
      <c r="J224" s="1245"/>
      <c r="K224" s="1245"/>
      <c r="L224" s="1245"/>
      <c r="M224" s="1245"/>
      <c r="N224" s="1245"/>
      <c r="O224" s="1245"/>
      <c r="P224" s="1245"/>
      <c r="Q224" s="1245"/>
      <c r="R224" s="1245"/>
      <c r="S224" s="1245"/>
      <c r="T224" s="1245"/>
      <c r="U224" s="1245"/>
      <c r="V224" s="1245"/>
      <c r="W224" s="1245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25">
      <c r="A225" s="1197"/>
      <c r="B225" s="1198"/>
      <c r="D225" s="1239" t="s">
        <v>17</v>
      </c>
      <c r="E225" s="1201"/>
      <c r="F225" s="1201"/>
      <c r="G225" s="1201"/>
      <c r="H225" s="1201"/>
      <c r="I225" s="1201"/>
      <c r="J225" s="1201"/>
      <c r="K225" s="1201"/>
      <c r="L225" s="1201"/>
      <c r="M225" s="1201"/>
      <c r="N225" s="1201"/>
      <c r="O225" s="1201"/>
      <c r="P225" s="1201"/>
      <c r="Q225" s="1201"/>
      <c r="R225" s="1201"/>
      <c r="S225" s="1201"/>
      <c r="T225" s="1201"/>
      <c r="U225" s="1201"/>
      <c r="V225" s="1201"/>
      <c r="W225" s="1202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3">
      <c r="A226" s="1199"/>
      <c r="B226" s="1200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25">
      <c r="A227" s="1195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25">
      <c r="A228" s="1195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25">
      <c r="A229" s="1195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25">
      <c r="A230" s="1195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25">
      <c r="A231" s="1195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25">
      <c r="A232" s="1195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25">
      <c r="A233" s="1195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9.9499999999999993" customHeight="1" x14ac:dyDescent="0.25">
      <c r="A234" s="1195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25">
      <c r="A235" s="1195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25">
      <c r="A236" s="1195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25">
      <c r="A237" s="1195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3">
      <c r="A238" s="1196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9.9499999999999993" customHeight="1" x14ac:dyDescent="0.25"/>
    <row r="240" spans="1:37" ht="9.9499999999999993" customHeight="1" x14ac:dyDescent="0.25">
      <c r="G240" s="65"/>
    </row>
    <row r="241" spans="1:40" ht="9.9499999999999993" customHeight="1" x14ac:dyDescent="0.25"/>
    <row r="242" spans="1:40" ht="9.9499999999999993" customHeight="1" x14ac:dyDescent="0.25"/>
    <row r="243" spans="1:40" ht="9.9499999999999993" customHeight="1" x14ac:dyDescent="0.25"/>
    <row r="244" spans="1:40" ht="9.9499999999999993" customHeight="1" x14ac:dyDescent="0.2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3">
      <c r="D245" s="1245" t="s">
        <v>822</v>
      </c>
      <c r="E245" s="1245"/>
      <c r="F245" s="1245"/>
      <c r="G245" s="1245"/>
      <c r="H245" s="1245"/>
      <c r="I245" s="1245"/>
      <c r="J245" s="1245"/>
      <c r="K245" s="1245"/>
      <c r="L245" s="1245"/>
      <c r="M245" s="1245"/>
      <c r="N245" s="1245"/>
      <c r="O245" s="1245"/>
      <c r="P245" s="1245"/>
      <c r="Q245" s="1245"/>
      <c r="R245" s="1245"/>
      <c r="S245" s="1245"/>
      <c r="T245" s="1245"/>
      <c r="U245" s="1245"/>
      <c r="V245" s="1245"/>
      <c r="W245" s="1245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25">
      <c r="A246" s="1197"/>
      <c r="B246" s="1198"/>
      <c r="D246" s="1239" t="s">
        <v>17</v>
      </c>
      <c r="E246" s="1201"/>
      <c r="F246" s="1201"/>
      <c r="G246" s="1201"/>
      <c r="H246" s="1201"/>
      <c r="I246" s="1201"/>
      <c r="J246" s="1201"/>
      <c r="K246" s="1201"/>
      <c r="L246" s="1201"/>
      <c r="M246" s="1201"/>
      <c r="N246" s="1201"/>
      <c r="O246" s="1201"/>
      <c r="P246" s="1201"/>
      <c r="Q246" s="1201"/>
      <c r="R246" s="1201"/>
      <c r="S246" s="1201"/>
      <c r="T246" s="1201"/>
      <c r="U246" s="1201"/>
      <c r="V246" s="1201"/>
      <c r="W246" s="1202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3">
      <c r="A247" s="1199"/>
      <c r="B247" s="1200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3">
      <c r="A248" s="1195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3">
      <c r="A249" s="1195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3">
      <c r="A250" s="1195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3">
      <c r="A251" s="1195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3">
      <c r="A252" s="1195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3">
      <c r="A253" s="1195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3">
      <c r="A254" s="1195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9.9499999999999993" customHeight="1" thickBot="1" x14ac:dyDescent="0.3">
      <c r="A255" s="1195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3">
      <c r="A256" s="1195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3">
      <c r="A257" s="1195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3">
      <c r="A258" s="1195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3">
      <c r="A259" s="1196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25">
      <c r="AN260" s="113" t="str">
        <f>CONCATENATE(AN248,AN249,AN250,AN251,AN252,AN253,AN254,AN255,AN256,AN257,AN258,AN259)</f>
        <v/>
      </c>
    </row>
    <row r="261" spans="1:40" ht="15" customHeight="1" x14ac:dyDescent="0.2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25">
      <c r="AN262" s="113"/>
    </row>
    <row r="263" spans="1:40" ht="15" customHeight="1" x14ac:dyDescent="0.25">
      <c r="AN263" s="113" t="s">
        <v>820</v>
      </c>
    </row>
    <row r="264" spans="1:40" ht="15" customHeight="1" x14ac:dyDescent="0.25">
      <c r="AN264" s="113" t="s">
        <v>821</v>
      </c>
    </row>
    <row r="265" spans="1:40" ht="9.9499999999999993" customHeight="1" thickBot="1" x14ac:dyDescent="0.3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3">
      <c r="C266" s="1245" t="s">
        <v>306</v>
      </c>
      <c r="D266" s="1245"/>
      <c r="E266" s="1245"/>
      <c r="F266" s="1245"/>
      <c r="G266" s="1245"/>
      <c r="H266" s="1245"/>
      <c r="I266" s="1245"/>
      <c r="J266" s="1245"/>
      <c r="K266" s="1245"/>
      <c r="L266" s="1245"/>
      <c r="M266" s="1245"/>
      <c r="N266" s="1245"/>
      <c r="O266" s="1245"/>
      <c r="P266" s="1245"/>
      <c r="Q266" s="1245"/>
      <c r="R266" s="1245"/>
      <c r="S266" s="1245"/>
      <c r="T266" s="1245"/>
      <c r="U266" s="1245"/>
      <c r="V266" s="1245"/>
      <c r="W266" s="1245"/>
      <c r="X266" s="1245"/>
      <c r="Y266" s="1245"/>
      <c r="Z266" s="1245"/>
      <c r="AA266" s="1245"/>
      <c r="AB266" s="1245"/>
      <c r="AC266" s="1245"/>
      <c r="AD266" s="1245"/>
      <c r="AE266" s="1245"/>
      <c r="AF266" s="1245"/>
      <c r="AG266" s="1245"/>
      <c r="AH266" s="1245"/>
      <c r="AI266" s="1245"/>
    </row>
    <row r="267" spans="1:40" ht="15" customHeight="1" x14ac:dyDescent="0.25">
      <c r="A267" s="1197"/>
      <c r="B267" s="1198"/>
      <c r="C267" s="1201" t="s">
        <v>17</v>
      </c>
      <c r="D267" s="1201"/>
      <c r="E267" s="1201"/>
      <c r="F267" s="1201"/>
      <c r="G267" s="1201"/>
      <c r="H267" s="1201"/>
      <c r="I267" s="1201"/>
      <c r="J267" s="1201"/>
      <c r="K267" s="1201"/>
      <c r="L267" s="1201"/>
      <c r="M267" s="1201"/>
      <c r="N267" s="1201"/>
      <c r="O267" s="1201"/>
      <c r="P267" s="1201"/>
      <c r="Q267" s="1201"/>
      <c r="R267" s="1201"/>
      <c r="S267" s="1201"/>
      <c r="T267" s="1201"/>
      <c r="U267" s="1201"/>
      <c r="V267" s="1202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3">
      <c r="A268" s="1199"/>
      <c r="B268" s="1200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3">
      <c r="A269" s="1195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3">
      <c r="A270" s="1195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3">
      <c r="A271" s="1195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3">
      <c r="A272" s="1195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3">
      <c r="A273" s="1195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3">
      <c r="A274" s="1195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3">
      <c r="A275" s="1195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3">
      <c r="A276" s="1195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3">
      <c r="A277" s="1195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3">
      <c r="A278" s="1195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3">
      <c r="A279" s="1195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3">
      <c r="A280" s="1196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25">
      <c r="AK281" s="63" t="str">
        <f>CONCATENATE(AK269,AK270,AK271,AK272,AK273,AK274,AK275,AK276,AK277,AK278,AK279,AK280)</f>
        <v/>
      </c>
    </row>
    <row r="282" spans="1:37" ht="15" customHeight="1" x14ac:dyDescent="0.25">
      <c r="AK282" s="63" t="s">
        <v>712</v>
      </c>
    </row>
    <row r="283" spans="1:37" ht="15" customHeight="1" x14ac:dyDescent="0.25">
      <c r="AK283" s="63" t="s">
        <v>713</v>
      </c>
    </row>
    <row r="284" spans="1:37" ht="15.75" customHeight="1" thickBot="1" x14ac:dyDescent="0.3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9.9499999999999993" customHeight="1" x14ac:dyDescent="0.25"/>
    <row r="286" spans="1:37" ht="15" customHeight="1" x14ac:dyDescent="0.25"/>
    <row r="287" spans="1:37" ht="15.75" customHeight="1" thickBot="1" x14ac:dyDescent="0.3">
      <c r="C287" s="1245" t="s">
        <v>709</v>
      </c>
      <c r="D287" s="1245"/>
      <c r="E287" s="1245"/>
      <c r="F287" s="1245"/>
      <c r="G287" s="1245"/>
      <c r="H287" s="1245"/>
      <c r="I287" s="1245"/>
      <c r="J287" s="1245"/>
      <c r="K287" s="1245"/>
      <c r="L287" s="1245"/>
      <c r="M287" s="1245"/>
      <c r="N287" s="1245"/>
      <c r="O287" s="1245"/>
      <c r="P287" s="1245"/>
      <c r="Q287" s="1245"/>
      <c r="R287" s="1245"/>
      <c r="S287" s="1245"/>
      <c r="T287" s="1245"/>
      <c r="U287" s="1245"/>
      <c r="V287" s="1245"/>
      <c r="W287" s="1245"/>
      <c r="X287" s="1245"/>
      <c r="Y287" s="1245"/>
      <c r="Z287" s="1245"/>
      <c r="AA287" s="1245"/>
      <c r="AB287" s="1245"/>
      <c r="AC287" s="1245"/>
      <c r="AD287" s="1245"/>
      <c r="AE287" s="1245"/>
      <c r="AF287" s="1245"/>
      <c r="AG287" s="1245"/>
      <c r="AH287" s="1245"/>
      <c r="AI287" s="1245"/>
    </row>
    <row r="288" spans="1:37" ht="15" customHeight="1" x14ac:dyDescent="0.25">
      <c r="A288" s="1197"/>
      <c r="B288" s="1198"/>
      <c r="C288" s="1201" t="s">
        <v>17</v>
      </c>
      <c r="D288" s="1201"/>
      <c r="E288" s="1201"/>
      <c r="F288" s="1201"/>
      <c r="G288" s="1201"/>
      <c r="H288" s="1201"/>
      <c r="I288" s="1201"/>
      <c r="J288" s="1201"/>
      <c r="K288" s="1201"/>
      <c r="L288" s="1201"/>
      <c r="M288" s="1201"/>
      <c r="N288" s="1201"/>
      <c r="O288" s="1201"/>
      <c r="P288" s="1201"/>
      <c r="Q288" s="1201"/>
      <c r="R288" s="1201"/>
      <c r="S288" s="1201"/>
      <c r="T288" s="1201"/>
      <c r="U288" s="1201"/>
      <c r="V288" s="1202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3">
      <c r="A289" s="1199"/>
      <c r="B289" s="1200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3">
      <c r="A290" s="1195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3">
      <c r="A291" s="1195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3">
      <c r="A292" s="1195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3">
      <c r="A293" s="1195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3">
      <c r="A294" s="1195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3">
      <c r="A295" s="1195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3">
      <c r="A296" s="1195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3">
      <c r="A297" s="1195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3">
      <c r="A298" s="1195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3">
      <c r="A299" s="1195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3">
      <c r="A300" s="1195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3">
      <c r="A301" s="1196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25">
      <c r="AK302" s="63" t="str">
        <f>SUBSTITUTE(CONCATENATE(AK290,AK291,AK292,AK293,AK294,AK295,AK296,AK297,AK298,AK299,AK300,AK301),"P","I")</f>
        <v/>
      </c>
    </row>
    <row r="303" spans="1:37" ht="15" customHeight="1" x14ac:dyDescent="0.25">
      <c r="AK303" s="63" t="s">
        <v>714</v>
      </c>
    </row>
    <row r="304" spans="1:37" ht="15" customHeight="1" x14ac:dyDescent="0.25">
      <c r="AK304" s="63" t="s">
        <v>714</v>
      </c>
    </row>
    <row r="305" spans="1:37" ht="15.75" customHeight="1" thickBot="1" x14ac:dyDescent="0.3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25"/>
    <row r="307" spans="1:37" ht="15" customHeight="1" x14ac:dyDescent="0.25"/>
    <row r="308" spans="1:37" ht="15.75" customHeight="1" thickBot="1" x14ac:dyDescent="0.3">
      <c r="C308" s="1245" t="s">
        <v>710</v>
      </c>
      <c r="D308" s="1245"/>
      <c r="E308" s="1245"/>
      <c r="F308" s="1245"/>
      <c r="G308" s="1245"/>
      <c r="H308" s="1245"/>
      <c r="I308" s="1245"/>
      <c r="J308" s="1245"/>
      <c r="K308" s="1245"/>
      <c r="L308" s="1245"/>
      <c r="M308" s="1245"/>
      <c r="N308" s="1245"/>
      <c r="O308" s="1245"/>
      <c r="P308" s="1245"/>
      <c r="Q308" s="1245"/>
      <c r="R308" s="1245"/>
      <c r="S308" s="1245"/>
      <c r="T308" s="1245"/>
      <c r="U308" s="1245"/>
      <c r="V308" s="1245"/>
      <c r="W308" s="1245"/>
      <c r="X308" s="1245"/>
      <c r="Y308" s="1245"/>
      <c r="Z308" s="1245"/>
      <c r="AA308" s="1245"/>
      <c r="AB308" s="1245"/>
      <c r="AC308" s="1245"/>
      <c r="AD308" s="1245"/>
      <c r="AE308" s="1245"/>
      <c r="AF308" s="1245"/>
      <c r="AG308" s="1245"/>
      <c r="AH308" s="1245"/>
      <c r="AI308" s="1245"/>
    </row>
    <row r="309" spans="1:37" ht="15" customHeight="1" x14ac:dyDescent="0.25">
      <c r="A309" s="1197"/>
      <c r="B309" s="1198"/>
      <c r="C309" s="1201" t="s">
        <v>17</v>
      </c>
      <c r="D309" s="1201"/>
      <c r="E309" s="1201"/>
      <c r="F309" s="1201"/>
      <c r="G309" s="1201"/>
      <c r="H309" s="1201"/>
      <c r="I309" s="1201"/>
      <c r="J309" s="1201"/>
      <c r="K309" s="1201"/>
      <c r="L309" s="1201"/>
      <c r="M309" s="1201"/>
      <c r="N309" s="1201"/>
      <c r="O309" s="1201"/>
      <c r="P309" s="1201"/>
      <c r="Q309" s="1201"/>
      <c r="R309" s="1201"/>
      <c r="S309" s="1201"/>
      <c r="T309" s="1201"/>
      <c r="U309" s="1201"/>
      <c r="V309" s="1202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3">
      <c r="A310" s="1199"/>
      <c r="B310" s="1200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3">
      <c r="A311" s="1195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3">
      <c r="A312" s="1195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3">
      <c r="A313" s="1195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3">
      <c r="A314" s="1195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3">
      <c r="A315" s="1195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3">
      <c r="A316" s="1195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3">
      <c r="A317" s="1195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3">
      <c r="A318" s="1195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3">
      <c r="A319" s="1195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3">
      <c r="A320" s="1195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3">
      <c r="A321" s="1195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3">
      <c r="A322" s="1196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25">
      <c r="AK323" s="63" t="str">
        <f>CONCATENATE(AK311,AK312,AK313,AK314,AK315,AK316,AK317,AK318,AK319,AK320,AK321,AK322)</f>
        <v/>
      </c>
    </row>
    <row r="324" spans="1:37" ht="15" customHeight="1" x14ac:dyDescent="0.25">
      <c r="AK324" s="63" t="s">
        <v>715</v>
      </c>
    </row>
    <row r="325" spans="1:37" ht="15" customHeight="1" x14ac:dyDescent="0.25">
      <c r="AK325" s="63" t="s">
        <v>715</v>
      </c>
    </row>
    <row r="326" spans="1:37" ht="15.75" customHeight="1" thickBot="1" x14ac:dyDescent="0.3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25"/>
    <row r="328" spans="1:37" ht="15" customHeight="1" x14ac:dyDescent="0.25"/>
    <row r="329" spans="1:37" ht="15.75" customHeight="1" thickBot="1" x14ac:dyDescent="0.3">
      <c r="D329" s="1245" t="s">
        <v>711</v>
      </c>
      <c r="E329" s="1245"/>
      <c r="F329" s="1245"/>
      <c r="G329" s="1245"/>
      <c r="H329" s="1245"/>
      <c r="I329" s="1245"/>
      <c r="J329" s="1245"/>
      <c r="K329" s="1245"/>
      <c r="L329" s="1245"/>
      <c r="M329" s="1245"/>
      <c r="N329" s="1245"/>
      <c r="O329" s="1245"/>
      <c r="P329" s="1245"/>
      <c r="Q329" s="1245"/>
      <c r="R329" s="1245"/>
      <c r="S329" s="1245"/>
      <c r="T329" s="1245"/>
      <c r="U329" s="1245"/>
      <c r="V329" s="1245"/>
      <c r="W329" s="1245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25">
      <c r="A330" s="1197"/>
      <c r="B330" s="1198"/>
      <c r="D330" s="1239" t="s">
        <v>17</v>
      </c>
      <c r="E330" s="1201"/>
      <c r="F330" s="1201"/>
      <c r="G330" s="1201"/>
      <c r="H330" s="1201"/>
      <c r="I330" s="1201"/>
      <c r="J330" s="1201"/>
      <c r="K330" s="1201"/>
      <c r="L330" s="1201"/>
      <c r="M330" s="1201"/>
      <c r="N330" s="1201"/>
      <c r="O330" s="1201"/>
      <c r="P330" s="1201"/>
      <c r="Q330" s="1201"/>
      <c r="R330" s="1201"/>
      <c r="S330" s="1201"/>
      <c r="T330" s="1201"/>
      <c r="U330" s="1201"/>
      <c r="V330" s="1201"/>
      <c r="W330" s="1202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3">
      <c r="A331" s="1199"/>
      <c r="B331" s="1200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25">
      <c r="A332" s="1195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25">
      <c r="A333" s="1195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25">
      <c r="A334" s="1195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25">
      <c r="A335" s="1195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25">
      <c r="A336" s="1195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25">
      <c r="A337" s="1195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25">
      <c r="A338" s="1195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9.9499999999999993" customHeight="1" x14ac:dyDescent="0.25">
      <c r="A339" s="1195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25">
      <c r="A340" s="1195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25">
      <c r="A341" s="1195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25">
      <c r="A342" s="1195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3">
      <c r="A343" s="1196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9.9499999999999993" customHeight="1" x14ac:dyDescent="0.25"/>
    <row r="345" spans="1:37" ht="9.9499999999999993" customHeight="1" x14ac:dyDescent="0.25"/>
    <row r="346" spans="1:37" ht="9.9499999999999993" customHeight="1" x14ac:dyDescent="0.25"/>
    <row r="347" spans="1:37" ht="9.9499999999999993" customHeight="1" x14ac:dyDescent="0.25"/>
    <row r="348" spans="1:37" ht="9.9499999999999993" customHeight="1" x14ac:dyDescent="0.25"/>
    <row r="349" spans="1:37" ht="9.9499999999999993" customHeight="1" x14ac:dyDescent="0.25"/>
    <row r="350" spans="1:37" ht="15.75" customHeight="1" thickBot="1" x14ac:dyDescent="0.3">
      <c r="D350" s="1245" t="s">
        <v>823</v>
      </c>
      <c r="E350" s="1245"/>
      <c r="F350" s="1245"/>
      <c r="G350" s="1245"/>
      <c r="H350" s="1245"/>
      <c r="I350" s="1245"/>
      <c r="J350" s="1245"/>
      <c r="K350" s="1245"/>
      <c r="L350" s="1245"/>
      <c r="M350" s="1245"/>
      <c r="N350" s="1245"/>
      <c r="O350" s="1245"/>
      <c r="P350" s="1245"/>
      <c r="Q350" s="1245"/>
      <c r="R350" s="1245"/>
      <c r="S350" s="1245"/>
      <c r="T350" s="1245"/>
      <c r="U350" s="1245"/>
      <c r="V350" s="1245"/>
      <c r="W350" s="1245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25">
      <c r="A351" s="1197"/>
      <c r="B351" s="1198"/>
      <c r="D351" s="1239" t="s">
        <v>17</v>
      </c>
      <c r="E351" s="1201"/>
      <c r="F351" s="1201"/>
      <c r="G351" s="1201"/>
      <c r="H351" s="1201"/>
      <c r="I351" s="1201"/>
      <c r="J351" s="1201"/>
      <c r="K351" s="1201"/>
      <c r="L351" s="1201"/>
      <c r="M351" s="1201"/>
      <c r="N351" s="1201"/>
      <c r="O351" s="1201"/>
      <c r="P351" s="1201"/>
      <c r="Q351" s="1201"/>
      <c r="R351" s="1201"/>
      <c r="S351" s="1201"/>
      <c r="T351" s="1201"/>
      <c r="U351" s="1201"/>
      <c r="V351" s="1201"/>
      <c r="W351" s="1202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3">
      <c r="A352" s="1199"/>
      <c r="B352" s="1200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3">
      <c r="A353" s="1195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3">
      <c r="A354" s="1195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3">
      <c r="A355" s="1195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3">
      <c r="A356" s="1195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3">
      <c r="A357" s="1195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3">
      <c r="A358" s="1195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3">
      <c r="A359" s="1195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9.9499999999999993" customHeight="1" thickBot="1" x14ac:dyDescent="0.3">
      <c r="A360" s="1195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3">
      <c r="A361" s="1195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3">
      <c r="A362" s="1195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3">
      <c r="A363" s="1195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3">
      <c r="A364" s="1196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25">
      <c r="AN365" s="113" t="str">
        <f>CONCATENATE(AN353,AN354,AN355,AN356,AN357,AN358,AN359,AN360,AN361,AN362,AN363,AN364)</f>
        <v/>
      </c>
    </row>
    <row r="366" spans="1:40" ht="15" customHeight="1" thickBot="1" x14ac:dyDescent="0.3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25">
      <c r="A367" s="1197"/>
      <c r="B367" s="1198"/>
      <c r="C367" s="1201" t="s">
        <v>17</v>
      </c>
      <c r="D367" s="1201"/>
      <c r="E367" s="1201"/>
      <c r="F367" s="1201"/>
      <c r="G367" s="1201"/>
      <c r="H367" s="1201"/>
      <c r="I367" s="1201"/>
      <c r="J367" s="1201"/>
      <c r="K367" s="1201"/>
      <c r="L367" s="1201"/>
      <c r="M367" s="1201"/>
      <c r="N367" s="1201"/>
      <c r="O367" s="1201"/>
      <c r="P367" s="1201"/>
      <c r="Q367" s="1201"/>
      <c r="R367" s="1201"/>
      <c r="S367" s="1201"/>
      <c r="T367" s="1201"/>
      <c r="U367" s="1201"/>
      <c r="V367" s="1202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3">
      <c r="A368" s="1199"/>
      <c r="B368" s="1200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25">
      <c r="A369" s="1195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3">
      <c r="A370" s="1195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25">
      <c r="A371" s="1195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25">
      <c r="A372" s="1195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25">
      <c r="A373" s="1195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25">
      <c r="A374" s="1195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25">
      <c r="A375" s="1195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25">
      <c r="A376" s="1195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25">
      <c r="A377" s="1195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25">
      <c r="A378" s="1195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25">
      <c r="A379" s="1195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3">
      <c r="A380" s="1196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3">
      <c r="AN381" s="113"/>
    </row>
    <row r="382" spans="1:40" ht="15" customHeight="1" x14ac:dyDescent="0.25">
      <c r="A382" s="1197"/>
      <c r="B382" s="1198"/>
      <c r="C382" s="1201" t="s">
        <v>17</v>
      </c>
      <c r="D382" s="1201"/>
      <c r="E382" s="1201"/>
      <c r="F382" s="1201"/>
      <c r="G382" s="1201"/>
      <c r="H382" s="1201"/>
      <c r="I382" s="1201"/>
      <c r="J382" s="1201"/>
      <c r="K382" s="1201"/>
      <c r="L382" s="1201"/>
      <c r="M382" s="1201"/>
      <c r="N382" s="1201"/>
      <c r="O382" s="1201"/>
      <c r="P382" s="1201"/>
      <c r="Q382" s="1201"/>
      <c r="R382" s="1201"/>
      <c r="S382" s="1201"/>
      <c r="T382" s="1201"/>
      <c r="U382" s="1201"/>
      <c r="V382" s="1202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3">
      <c r="A383" s="1199"/>
      <c r="B383" s="1200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25">
      <c r="A384" s="1195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25">
      <c r="A385" s="1195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25">
      <c r="A386" s="1195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25">
      <c r="A387" s="1195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25">
      <c r="A388" s="1195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25">
      <c r="A389" s="1195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25">
      <c r="A390" s="1195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25">
      <c r="A391" s="1195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25">
      <c r="A392" s="1195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25">
      <c r="A393" s="1195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25">
      <c r="A394" s="1195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3">
      <c r="A395" s="1196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25"/>
    <row r="397" spans="1:37" ht="15" customHeight="1" x14ac:dyDescent="0.25"/>
    <row r="399" spans="1:37" ht="9.9499999999999993" customHeight="1" thickBot="1" x14ac:dyDescent="0.3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25">
      <c r="A400" s="1197"/>
      <c r="B400" s="1198"/>
      <c r="C400" s="1201" t="s">
        <v>17</v>
      </c>
      <c r="D400" s="1201"/>
      <c r="E400" s="1201"/>
      <c r="F400" s="1201"/>
      <c r="G400" s="1201"/>
      <c r="H400" s="1201"/>
      <c r="I400" s="1201"/>
      <c r="J400" s="1201"/>
      <c r="K400" s="1201"/>
      <c r="L400" s="1201"/>
      <c r="M400" s="1201"/>
      <c r="N400" s="1201"/>
      <c r="O400" s="1201"/>
      <c r="P400" s="1201"/>
      <c r="Q400" s="1201"/>
      <c r="R400" s="1201"/>
      <c r="S400" s="1201"/>
      <c r="T400" s="1201"/>
      <c r="U400" s="1201"/>
      <c r="V400" s="1202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.75" thickBot="1" x14ac:dyDescent="0.3">
      <c r="A401" s="1199"/>
      <c r="B401" s="1200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25">
      <c r="A402" s="1195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0a</v>
      </c>
      <c r="L402" s="40" t="str">
        <f t="shared" si="93"/>
        <v>0a</v>
      </c>
      <c r="M402" s="40" t="str">
        <f t="shared" si="93"/>
        <v>0a</v>
      </c>
      <c r="N402" s="40" t="str">
        <f t="shared" si="93"/>
        <v>0a</v>
      </c>
      <c r="O402" s="40" t="str">
        <f t="shared" si="93"/>
        <v>0a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25">
      <c r="A403" s="1195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0a</v>
      </c>
      <c r="L403" s="40" t="str">
        <f t="shared" si="93"/>
        <v>0a</v>
      </c>
      <c r="M403" s="40" t="str">
        <f t="shared" si="93"/>
        <v>0a</v>
      </c>
      <c r="N403" s="40" t="str">
        <f t="shared" si="93"/>
        <v>0a</v>
      </c>
      <c r="O403" s="40" t="str">
        <f t="shared" si="93"/>
        <v>0a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25">
      <c r="A404" s="1195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0a</v>
      </c>
      <c r="L404" s="40" t="str">
        <f t="shared" si="93"/>
        <v>0a</v>
      </c>
      <c r="M404" s="40" t="str">
        <f t="shared" si="93"/>
        <v>0a</v>
      </c>
      <c r="N404" s="40" t="str">
        <f t="shared" si="93"/>
        <v>0a</v>
      </c>
      <c r="O404" s="40" t="str">
        <f t="shared" si="93"/>
        <v>0a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25">
      <c r="A405" s="1195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0a</v>
      </c>
      <c r="L405" s="40" t="str">
        <f t="shared" si="93"/>
        <v>0a</v>
      </c>
      <c r="M405" s="40" t="str">
        <f t="shared" si="93"/>
        <v>0a</v>
      </c>
      <c r="N405" s="40" t="str">
        <f t="shared" si="93"/>
        <v>0a</v>
      </c>
      <c r="O405" s="40" t="str">
        <f t="shared" si="93"/>
        <v>0a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25">
      <c r="A406" s="1195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0a</v>
      </c>
      <c r="L406" s="40" t="str">
        <f t="shared" si="93"/>
        <v>0a</v>
      </c>
      <c r="M406" s="40" t="str">
        <f t="shared" si="93"/>
        <v>0a</v>
      </c>
      <c r="N406" s="40" t="str">
        <f t="shared" si="93"/>
        <v>0a</v>
      </c>
      <c r="O406" s="40" t="str">
        <f t="shared" si="93"/>
        <v>0a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25">
      <c r="A407" s="1195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0a</v>
      </c>
      <c r="L407" s="40" t="str">
        <f t="shared" si="93"/>
        <v>0a</v>
      </c>
      <c r="M407" s="40" t="str">
        <f t="shared" si="93"/>
        <v>0a</v>
      </c>
      <c r="N407" s="40" t="str">
        <f t="shared" si="93"/>
        <v>0a</v>
      </c>
      <c r="O407" s="40" t="str">
        <f t="shared" si="93"/>
        <v>0a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25">
      <c r="A408" s="1195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0a</v>
      </c>
      <c r="L408" s="40" t="str">
        <f t="shared" si="93"/>
        <v>0a</v>
      </c>
      <c r="M408" s="40" t="str">
        <f t="shared" si="93"/>
        <v>0a</v>
      </c>
      <c r="N408" s="40" t="str">
        <f t="shared" si="93"/>
        <v>0a</v>
      </c>
      <c r="O408" s="40" t="str">
        <f t="shared" si="93"/>
        <v>0a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25">
      <c r="A409" s="1195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0a</v>
      </c>
      <c r="L409" s="40" t="str">
        <f t="shared" si="93"/>
        <v>0a</v>
      </c>
      <c r="M409" s="40" t="str">
        <f t="shared" si="93"/>
        <v>0a</v>
      </c>
      <c r="N409" s="40" t="str">
        <f t="shared" si="93"/>
        <v>0a</v>
      </c>
      <c r="O409" s="40" t="str">
        <f t="shared" si="93"/>
        <v>0a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25">
      <c r="A410" s="1195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0a</v>
      </c>
      <c r="L410" s="40" t="str">
        <f t="shared" si="95"/>
        <v>0a</v>
      </c>
      <c r="M410" s="40" t="str">
        <f t="shared" si="95"/>
        <v>0a</v>
      </c>
      <c r="N410" s="40" t="str">
        <f t="shared" si="95"/>
        <v>0a</v>
      </c>
      <c r="O410" s="40" t="str">
        <f t="shared" si="95"/>
        <v>0a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25">
      <c r="A411" s="1195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0a</v>
      </c>
      <c r="L411" s="40" t="str">
        <f t="shared" si="95"/>
        <v>0a</v>
      </c>
      <c r="M411" s="40" t="str">
        <f t="shared" si="95"/>
        <v>0a</v>
      </c>
      <c r="N411" s="40" t="str">
        <f t="shared" si="95"/>
        <v>0a</v>
      </c>
      <c r="O411" s="40" t="str">
        <f t="shared" si="95"/>
        <v>0a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25">
      <c r="A412" s="1195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0a</v>
      </c>
      <c r="L412" s="40" t="str">
        <f t="shared" si="95"/>
        <v>0a</v>
      </c>
      <c r="M412" s="40" t="str">
        <f t="shared" si="95"/>
        <v>0a</v>
      </c>
      <c r="N412" s="40" t="str">
        <f t="shared" si="95"/>
        <v>0a</v>
      </c>
      <c r="O412" s="40" t="str">
        <f t="shared" si="95"/>
        <v>0a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.75" thickBot="1" x14ac:dyDescent="0.3">
      <c r="A413" s="1196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0a</v>
      </c>
      <c r="L413" s="40" t="str">
        <f t="shared" si="95"/>
        <v>0a</v>
      </c>
      <c r="M413" s="40" t="str">
        <f t="shared" si="95"/>
        <v>0a</v>
      </c>
      <c r="N413" s="40" t="str">
        <f t="shared" si="95"/>
        <v>0a</v>
      </c>
      <c r="O413" s="40" t="str">
        <f t="shared" si="95"/>
        <v>0a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.75" thickBot="1" x14ac:dyDescent="0.3"/>
    <row r="416" spans="1:63" x14ac:dyDescent="0.25">
      <c r="A416" s="1197"/>
      <c r="B416" s="1198"/>
      <c r="C416" s="1201" t="s">
        <v>17</v>
      </c>
      <c r="D416" s="1201"/>
      <c r="E416" s="1201"/>
      <c r="F416" s="1201"/>
      <c r="G416" s="1201"/>
      <c r="H416" s="1201"/>
      <c r="I416" s="1201"/>
      <c r="J416" s="1201"/>
      <c r="K416" s="1201"/>
      <c r="L416" s="1201"/>
      <c r="M416" s="1201"/>
      <c r="N416" s="1201"/>
      <c r="O416" s="1201"/>
      <c r="P416" s="1201"/>
      <c r="Q416" s="1201"/>
      <c r="R416" s="1201"/>
      <c r="S416" s="1201"/>
      <c r="T416" s="1201"/>
      <c r="U416" s="1201"/>
      <c r="V416" s="1202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.75" thickBot="1" x14ac:dyDescent="0.3">
      <c r="A417" s="1199"/>
      <c r="B417" s="1200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25">
      <c r="A418" s="1195" t="s">
        <v>18</v>
      </c>
      <c r="B418" s="21">
        <v>1</v>
      </c>
      <c r="C418" s="40">
        <f>IFERROR(INDEX(Data!$BI$46:$BJ$56,MATCH(Data!BR46,Data!$BI$46:$BI$56,0),2),"")</f>
        <v>1145493</v>
      </c>
      <c r="D418" s="40">
        <f>IFERROR(INDEX(Data!$BI$46:$BJ$56,MATCH(Data!BS46,Data!$BI$46:$BI$56,0),2),"")</f>
        <v>1145493</v>
      </c>
      <c r="E418" s="40">
        <f>IFERROR(INDEX(Data!$BI$46:$BJ$56,MATCH(Data!BT46,Data!$BI$46:$BI$56,0),2),"")</f>
        <v>1145493</v>
      </c>
      <c r="F418" s="40">
        <f>IFERROR(INDEX(Data!$BI$46:$BJ$56,MATCH(Data!BU46,Data!$BI$46:$BI$56,0),2),"")</f>
        <v>1209332</v>
      </c>
      <c r="G418" s="40">
        <f>IFERROR(INDEX(Data!$BI$46:$BJ$56,MATCH(Data!BV46,Data!$BI$46:$BI$56,0),2),"")</f>
        <v>1209332</v>
      </c>
      <c r="H418" s="40">
        <f>IFERROR(INDEX(Data!$BI$46:$BJ$56,MATCH(Data!BW46,Data!$BI$46:$BI$56,0),2),"")</f>
        <v>1145493</v>
      </c>
      <c r="I418" s="40">
        <f>IFERROR(INDEX(Data!$BI$46:$BJ$56,MATCH(Data!BX46,Data!$BI$46:$BI$56,0),2),"")</f>
        <v>418525</v>
      </c>
      <c r="J418" s="40">
        <f>IFERROR(INDEX(Data!$BI$46:$BJ$56,MATCH(Data!BY46,Data!$BI$46:$BI$56,0),2),"")</f>
        <v>418525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0</v>
      </c>
      <c r="M418" s="40">
        <f>IFERROR(INDEX(Data!$BI$46:$BJ$56,MATCH(Data!CB46,Data!$BI$46:$BI$56,0),2),"")</f>
        <v>0</v>
      </c>
      <c r="N418" s="40">
        <f>IFERROR(INDEX(Data!$BI$46:$BJ$56,MATCH(Data!CC46,Data!$BI$46:$BI$56,0),2),"")</f>
        <v>0</v>
      </c>
      <c r="O418" s="40">
        <f>IFERROR(INDEX(Data!$BI$46:$BJ$56,MATCH(Data!CD46,Data!$BI$46:$BI$56,0),2),"")</f>
        <v>0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25">
      <c r="A419" s="1195"/>
      <c r="B419" s="22">
        <v>2</v>
      </c>
      <c r="C419" s="40">
        <f>IFERROR(INDEX(Data!$BI$46:$BJ$56,MATCH(Data!BR47,Data!$BI$46:$BI$56,0),2),"")</f>
        <v>1145493</v>
      </c>
      <c r="D419" s="40">
        <f>IFERROR(INDEX(Data!$BI$46:$BJ$56,MATCH(Data!BS47,Data!$BI$46:$BI$56,0),2),"")</f>
        <v>1209332</v>
      </c>
      <c r="E419" s="40">
        <f>IFERROR(INDEX(Data!$BI$46:$BJ$56,MATCH(Data!BT47,Data!$BI$46:$BI$56,0),2),"")</f>
        <v>1145493</v>
      </c>
      <c r="F419" s="40">
        <f>IFERROR(INDEX(Data!$BI$46:$BJ$56,MATCH(Data!BU47,Data!$BI$46:$BI$56,0),2),"")</f>
        <v>418525</v>
      </c>
      <c r="G419" s="40">
        <f>IFERROR(INDEX(Data!$BI$46:$BJ$56,MATCH(Data!BV47,Data!$BI$46:$BI$56,0),2),"")</f>
        <v>418525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0</v>
      </c>
      <c r="M419" s="40">
        <f>IFERROR(INDEX(Data!$BI$46:$BJ$56,MATCH(Data!CB47,Data!$BI$46:$BI$56,0),2),"")</f>
        <v>0</v>
      </c>
      <c r="N419" s="40">
        <f>IFERROR(INDEX(Data!$BI$46:$BJ$56,MATCH(Data!CC47,Data!$BI$46:$BI$56,0),2),"")</f>
        <v>0</v>
      </c>
      <c r="O419" s="40">
        <f>IFERROR(INDEX(Data!$BI$46:$BJ$56,MATCH(Data!CD47,Data!$BI$46:$BI$56,0),2),"")</f>
        <v>0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25">
      <c r="A420" s="1195"/>
      <c r="B420" s="22">
        <v>3</v>
      </c>
      <c r="C420" s="40">
        <f>IFERROR(INDEX(Data!$BI$46:$BJ$56,MATCH(Data!BR48,Data!$BI$46:$BI$56,0),2),"")</f>
        <v>1145493</v>
      </c>
      <c r="D420" s="40">
        <f>IFERROR(INDEX(Data!$BI$46:$BJ$56,MATCH(Data!BS48,Data!$BI$46:$BI$56,0),2),"")</f>
        <v>1145493</v>
      </c>
      <c r="E420" s="40">
        <f>IFERROR(INDEX(Data!$BI$46:$BJ$56,MATCH(Data!BT48,Data!$BI$46:$BI$56,0),2),"")</f>
        <v>1145493</v>
      </c>
      <c r="F420" s="40">
        <f>IFERROR(INDEX(Data!$BI$46:$BJ$56,MATCH(Data!BU48,Data!$BI$46:$BI$56,0),2),"")</f>
        <v>1209332</v>
      </c>
      <c r="G420" s="40">
        <f>IFERROR(INDEX(Data!$BI$46:$BJ$56,MATCH(Data!BV48,Data!$BI$46:$BI$56,0),2),"")</f>
        <v>1145493</v>
      </c>
      <c r="H420" s="40">
        <f>IFERROR(INDEX(Data!$BI$46:$BJ$56,MATCH(Data!BW48,Data!$BI$46:$BI$56,0),2),"")</f>
        <v>418525</v>
      </c>
      <c r="I420" s="40">
        <f>IFERROR(INDEX(Data!$BI$46:$BJ$56,MATCH(Data!BX48,Data!$BI$46:$BI$56,0),2),"")</f>
        <v>418525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0</v>
      </c>
      <c r="M420" s="40">
        <f>IFERROR(INDEX(Data!$BI$46:$BJ$56,MATCH(Data!CB48,Data!$BI$46:$BI$56,0),2),"")</f>
        <v>0</v>
      </c>
      <c r="N420" s="40">
        <f>IFERROR(INDEX(Data!$BI$46:$BJ$56,MATCH(Data!CC48,Data!$BI$46:$BI$56,0),2),"")</f>
        <v>0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25">
      <c r="A421" s="1195"/>
      <c r="B421" s="22">
        <v>4</v>
      </c>
      <c r="C421" s="40">
        <f>IFERROR(INDEX(Data!$BI$46:$BJ$56,MATCH(Data!BR49,Data!$BI$46:$BI$56,0),2),"")</f>
        <v>1145493</v>
      </c>
      <c r="D421" s="40">
        <f>IFERROR(INDEX(Data!$BI$46:$BJ$56,MATCH(Data!BS49,Data!$BI$46:$BI$56,0),2),"")</f>
        <v>1145493</v>
      </c>
      <c r="E421" s="40">
        <f>IFERROR(INDEX(Data!$BI$46:$BJ$56,MATCH(Data!BT49,Data!$BI$46:$BI$56,0),2),"")</f>
        <v>1145493</v>
      </c>
      <c r="F421" s="40">
        <f>IFERROR(INDEX(Data!$BI$46:$BJ$56,MATCH(Data!BU49,Data!$BI$46:$BI$56,0),2),"")</f>
        <v>1209332</v>
      </c>
      <c r="G421" s="40">
        <f>IFERROR(INDEX(Data!$BI$46:$BJ$56,MATCH(Data!BV49,Data!$BI$46:$BI$56,0),2),"")</f>
        <v>1145493</v>
      </c>
      <c r="H421" s="40">
        <f>IFERROR(INDEX(Data!$BI$46:$BJ$56,MATCH(Data!BW49,Data!$BI$46:$BI$56,0),2),"")</f>
        <v>1145493</v>
      </c>
      <c r="I421" s="40">
        <f>IFERROR(INDEX(Data!$BI$46:$BJ$56,MATCH(Data!BX49,Data!$BI$46:$BI$56,0),2),"")</f>
        <v>418525</v>
      </c>
      <c r="J421" s="40">
        <f>IFERROR(INDEX(Data!$BI$46:$BJ$56,MATCH(Data!BY49,Data!$BI$46:$BI$56,0),2),"")</f>
        <v>418525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0</v>
      </c>
      <c r="M421" s="40">
        <f>IFERROR(INDEX(Data!$BI$46:$BJ$56,MATCH(Data!CB49,Data!$BI$46:$BI$56,0),2),"")</f>
        <v>0</v>
      </c>
      <c r="N421" s="40">
        <f>IFERROR(INDEX(Data!$BI$46:$BJ$56,MATCH(Data!CC49,Data!$BI$46:$BI$56,0),2),"")</f>
        <v>0</v>
      </c>
      <c r="O421" s="40">
        <f>IFERROR(INDEX(Data!$BI$46:$BJ$56,MATCH(Data!CD49,Data!$BI$46:$BI$56,0),2),"")</f>
        <v>0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25">
      <c r="A422" s="1195"/>
      <c r="B422" s="22">
        <v>5</v>
      </c>
      <c r="C422" s="40">
        <f>IFERROR(INDEX(Data!$BI$46:$BJ$56,MATCH(Data!BR50,Data!$BI$46:$BI$56,0),2),"")</f>
        <v>1209332</v>
      </c>
      <c r="D422" s="40">
        <f>IFERROR(INDEX(Data!$BI$46:$BJ$56,MATCH(Data!BS50,Data!$BI$46:$BI$56,0),2),"")</f>
        <v>1209332</v>
      </c>
      <c r="E422" s="40">
        <f>IFERROR(INDEX(Data!$BI$46:$BJ$56,MATCH(Data!BT50,Data!$BI$46:$BI$56,0),2),"")</f>
        <v>1145493</v>
      </c>
      <c r="F422" s="40">
        <f>IFERROR(INDEX(Data!$BI$46:$BJ$56,MATCH(Data!BU50,Data!$BI$46:$BI$56,0),2),"")</f>
        <v>418525</v>
      </c>
      <c r="G422" s="40">
        <f>IFERROR(INDEX(Data!$BI$46:$BJ$56,MATCH(Data!BV50,Data!$BI$46:$BI$56,0),2),"")</f>
        <v>418525</v>
      </c>
      <c r="H422" s="40">
        <f>IFERROR(INDEX(Data!$BI$46:$BJ$56,MATCH(Data!BW50,Data!$BI$46:$BI$56,0),2),"")</f>
        <v>0</v>
      </c>
      <c r="I422" s="40">
        <f>IFERROR(INDEX(Data!$BI$46:$BJ$56,MATCH(Data!BX50,Data!$BI$46:$BI$56,0),2),"")</f>
        <v>0</v>
      </c>
      <c r="J422" s="40">
        <f>IFERROR(INDEX(Data!$BI$46:$BJ$56,MATCH(Data!BY50,Data!$BI$46:$BI$56,0),2),"")</f>
        <v>0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0</v>
      </c>
      <c r="M422" s="40">
        <f>IFERROR(INDEX(Data!$BI$46:$BJ$56,MATCH(Data!CB50,Data!$BI$46:$BI$56,0),2),"")</f>
        <v>0</v>
      </c>
      <c r="N422" s="40">
        <f>IFERROR(INDEX(Data!$BI$46:$BJ$56,MATCH(Data!CC50,Data!$BI$46:$BI$56,0),2),"")</f>
        <v>0</v>
      </c>
      <c r="O422" s="40">
        <f>IFERROR(INDEX(Data!$BI$46:$BJ$56,MATCH(Data!CD50,Data!$BI$46:$BI$56,0),2),"")</f>
        <v>0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25">
      <c r="A423" s="1195"/>
      <c r="B423" s="22">
        <v>6</v>
      </c>
      <c r="C423" s="40" t="str">
        <f>IFERROR(INDEX(Data!$BI$46:$BJ$56,MATCH(Data!BR51,Data!$BI$46:$BI$56,0),2),"")</f>
        <v/>
      </c>
      <c r="D423" s="40" t="str">
        <f>IFERROR(INDEX(Data!$BI$46:$BJ$56,MATCH(Data!BS51,Data!$BI$46:$BI$56,0),2),"")</f>
        <v/>
      </c>
      <c r="E423" s="40" t="str">
        <f>IFERROR(INDEX(Data!$BI$46:$BJ$56,MATCH(Data!BT51,Data!$BI$46:$BI$56,0),2),"")</f>
        <v/>
      </c>
      <c r="F423" s="40" t="str">
        <f>IFERROR(INDEX(Data!$BI$46:$BJ$56,MATCH(Data!BU51,Data!$BI$46:$BI$56,0),2),"")</f>
        <v/>
      </c>
      <c r="G423" s="40" t="str">
        <f>IFERROR(INDEX(Data!$BI$46:$BJ$56,MATCH(Data!BV51,Data!$BI$46:$BI$56,0),2),"")</f>
        <v/>
      </c>
      <c r="H423" s="40" t="str">
        <f>IFERROR(INDEX(Data!$BI$46:$BJ$56,MATCH(Data!BW51,Data!$BI$46:$BI$56,0),2),"")</f>
        <v/>
      </c>
      <c r="I423" s="40" t="str">
        <f>IFERROR(INDEX(Data!$BI$46:$BJ$56,MATCH(Data!BX51,Data!$BI$46:$BI$56,0),2),"")</f>
        <v/>
      </c>
      <c r="J423" s="40" t="str">
        <f>IFERROR(INDEX(Data!$BI$46:$BJ$56,MATCH(Data!BY51,Data!$BI$46:$BI$56,0),2),"")</f>
        <v/>
      </c>
      <c r="K423" s="40" t="str">
        <f>IFERROR(INDEX(Data!$BI$46:$BJ$56,MATCH(Data!BZ51,Data!$BI$46:$BI$56,0),2),"")</f>
        <v/>
      </c>
      <c r="L423" s="40" t="str">
        <f>IFERROR(INDEX(Data!$BI$46:$BJ$56,MATCH(Data!CA51,Data!$BI$46:$BI$56,0),2),"")</f>
        <v/>
      </c>
      <c r="M423" s="40" t="str">
        <f>IFERROR(INDEX(Data!$BI$46:$BJ$56,MATCH(Data!CB51,Data!$BI$46:$BI$56,0),2),"")</f>
        <v/>
      </c>
      <c r="N423" s="40" t="str">
        <f>IFERROR(INDEX(Data!$BI$46:$BJ$56,MATCH(Data!CC51,Data!$BI$46:$BI$56,0),2),"")</f>
        <v/>
      </c>
      <c r="O423" s="40" t="str">
        <f>IFERROR(INDEX(Data!$BI$46:$BJ$56,MATCH(Data!CD51,Data!$BI$46:$BI$56,0),2),"")</f>
        <v/>
      </c>
      <c r="P423" s="40" t="str">
        <f>IFERROR(INDEX(Data!$BI$46:$BJ$56,MATCH(Data!CE51,Data!$BI$46:$BI$56,0),2),"")</f>
        <v/>
      </c>
      <c r="Q423" s="40" t="str">
        <f>IFERROR(INDEX(Data!$BI$46:$BJ$56,MATCH(Data!CF51,Data!$BI$46:$BI$56,0),2),"")</f>
        <v/>
      </c>
      <c r="R423" s="40" t="str">
        <f>IFERROR(INDEX(Data!$BI$46:$BJ$56,MATCH(Data!CG51,Data!$BI$46:$BI$56,0),2),"")</f>
        <v/>
      </c>
      <c r="S423" s="40" t="str">
        <f>IFERROR(INDEX(Data!$BI$46:$BJ$56,MATCH(Data!CH51,Data!$BI$46:$BI$56,0),2),"")</f>
        <v/>
      </c>
      <c r="T423" s="40" t="str">
        <f>IFERROR(INDEX(Data!$BI$46:$BJ$56,MATCH(Data!CI51,Data!$BI$46:$BI$56,0),2),"")</f>
        <v/>
      </c>
      <c r="U423" s="40" t="str">
        <f>IFERROR(INDEX(Data!$BI$46:$BJ$56,MATCH(Data!CJ51,Data!$BI$46:$BI$56,0),2),"")</f>
        <v/>
      </c>
      <c r="V423" s="40" t="str">
        <f>IFERROR(INDEX(Data!$BI$46:$BJ$56,MATCH(Data!CK51,Data!$BI$46:$BI$56,0),2),"")</f>
        <v/>
      </c>
      <c r="W423" s="40" t="str">
        <f>IFERROR(INDEX(Data!$BI$46:$BJ$56,MATCH(Data!CL51,Data!$BI$46:$BI$56,0),2),"")</f>
        <v/>
      </c>
      <c r="X423" s="40" t="str">
        <f>IFERROR(INDEX(Data!$BI$46:$BJ$56,MATCH(Data!CM51,Data!$BI$46:$BI$56,0),2),"")</f>
        <v/>
      </c>
      <c r="Y423" s="40" t="str">
        <f>IFERROR(INDEX(Data!$BI$46:$BJ$56,MATCH(Data!CN51,Data!$BI$46:$BI$56,0),2),"")</f>
        <v/>
      </c>
      <c r="Z423" s="40" t="str">
        <f>IFERROR(INDEX(Data!$BI$46:$BJ$56,MATCH(Data!CO51,Data!$BI$46:$BI$56,0),2),"")</f>
        <v/>
      </c>
      <c r="AA423" s="40" t="str">
        <f>IFERROR(INDEX(Data!$BI$46:$BJ$56,MATCH(Data!CP51,Data!$BI$46:$BI$56,0),2),"")</f>
        <v/>
      </c>
      <c r="AB423" s="40" t="str">
        <f>IFERROR(INDEX(Data!$BI$46:$BJ$56,MATCH(Data!CQ51,Data!$BI$46:$BI$56,0),2),"")</f>
        <v/>
      </c>
      <c r="AC423" s="40" t="str">
        <f>IFERROR(INDEX(Data!$BI$46:$BJ$56,MATCH(Data!CR51,Data!$BI$46:$BI$56,0),2),"")</f>
        <v/>
      </c>
      <c r="AD423" s="40" t="str">
        <f>IFERROR(INDEX(Data!$BI$46:$BJ$56,MATCH(Data!CS51,Data!$BI$46:$BI$56,0),2),"")</f>
        <v/>
      </c>
      <c r="AE423" s="40" t="str">
        <f>IFERROR(INDEX(Data!$BI$46:$BJ$56,MATCH(Data!CT51,Data!$BI$46:$BI$56,0),2),"")</f>
        <v/>
      </c>
      <c r="AF423" s="40" t="str">
        <f>IFERROR(INDEX(Data!$BI$46:$BJ$56,MATCH(Data!CU51,Data!$BI$46:$BI$56,0),2),"")</f>
        <v/>
      </c>
      <c r="AG423" s="40" t="str">
        <f>IFERROR(INDEX(Data!$BI$46:$BJ$56,MATCH(Data!CV51,Data!$BI$46:$BI$56,0),2),"")</f>
        <v/>
      </c>
      <c r="AH423" s="40" t="str">
        <f>IFERROR(INDEX(Data!$BI$46:$BJ$56,MATCH(Data!CW51,Data!$BI$46:$BI$56,0),2),"")</f>
        <v/>
      </c>
      <c r="AI423" s="40" t="str">
        <f>IFERROR(INDEX(Data!$BI$46:$BJ$56,MATCH(Data!CX51,Data!$BI$46:$BI$56,0),2),"")</f>
        <v/>
      </c>
    </row>
    <row r="424" spans="1:35" x14ac:dyDescent="0.25">
      <c r="A424" s="1195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25">
      <c r="A425" s="1195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25">
      <c r="A426" s="1195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25">
      <c r="A427" s="1195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25">
      <c r="A428" s="1195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.75" thickBot="1" x14ac:dyDescent="0.3">
      <c r="A429" s="1196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.75" thickBot="1" x14ac:dyDescent="0.3"/>
    <row r="432" spans="1:35" x14ac:dyDescent="0.25">
      <c r="A432" s="1197"/>
      <c r="B432" s="1198"/>
      <c r="C432" s="1201" t="s">
        <v>17</v>
      </c>
      <c r="D432" s="1201"/>
      <c r="E432" s="1201"/>
      <c r="F432" s="1201"/>
      <c r="G432" s="1201"/>
      <c r="H432" s="1201"/>
      <c r="I432" s="1201"/>
      <c r="J432" s="1201"/>
      <c r="K432" s="1201"/>
      <c r="L432" s="1201"/>
      <c r="M432" s="1201"/>
      <c r="N432" s="1201"/>
      <c r="O432" s="1201"/>
      <c r="P432" s="1201"/>
      <c r="Q432" s="1201"/>
      <c r="R432" s="1201"/>
      <c r="S432" s="1201"/>
      <c r="T432" s="1201"/>
      <c r="U432" s="1201"/>
      <c r="V432" s="1202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.75" thickBot="1" x14ac:dyDescent="0.3">
      <c r="A433" s="1199"/>
      <c r="B433" s="1200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25">
      <c r="A434" s="1195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1</v>
      </c>
      <c r="J434" s="40" t="b">
        <f t="shared" si="97"/>
        <v>1</v>
      </c>
      <c r="K434" s="40" t="b">
        <f t="shared" si="97"/>
        <v>1</v>
      </c>
      <c r="L434" s="40" t="b">
        <f>OR(COUNTIF(L418,418525),COUNTIF(K418,418525),COUNTIF(J418,418525))</f>
        <v>1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25">
      <c r="A435" s="1195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1</v>
      </c>
      <c r="G435" s="40" t="b">
        <f t="shared" ref="G435:G445" si="103">OR(COUNTIF(G419,418525),COUNTIF(F419,418525),COUNTIF(E419,418525))</f>
        <v>1</v>
      </c>
      <c r="H435" s="40" t="b">
        <f t="shared" ref="H435:H445" si="104">OR(COUNTIF(H419,418525),COUNTIF(G419,418525),COUNTIF(F419,418525))</f>
        <v>1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25">
      <c r="A436" s="1195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1</v>
      </c>
      <c r="I436" s="40" t="b">
        <f t="shared" si="105"/>
        <v>1</v>
      </c>
      <c r="J436" s="40" t="b">
        <f t="shared" si="106"/>
        <v>1</v>
      </c>
      <c r="K436" s="40" t="b">
        <f t="shared" si="107"/>
        <v>1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25">
      <c r="A437" s="1195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0</v>
      </c>
      <c r="I437" s="40" t="b">
        <f t="shared" si="105"/>
        <v>1</v>
      </c>
      <c r="J437" s="40" t="b">
        <f t="shared" si="106"/>
        <v>1</v>
      </c>
      <c r="K437" s="40" t="b">
        <f t="shared" si="107"/>
        <v>1</v>
      </c>
      <c r="L437" s="40" t="b">
        <f t="shared" si="130"/>
        <v>1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25">
      <c r="A438" s="1195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1</v>
      </c>
      <c r="G438" s="40" t="b">
        <f t="shared" si="103"/>
        <v>1</v>
      </c>
      <c r="H438" s="40" t="b">
        <f t="shared" si="104"/>
        <v>1</v>
      </c>
      <c r="I438" s="40" t="b">
        <f t="shared" si="105"/>
        <v>1</v>
      </c>
      <c r="J438" s="40" t="b">
        <f t="shared" si="106"/>
        <v>0</v>
      </c>
      <c r="K438" s="40" t="b">
        <f t="shared" si="107"/>
        <v>0</v>
      </c>
      <c r="L438" s="40" t="b">
        <f t="shared" si="130"/>
        <v>0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25">
      <c r="A439" s="1195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0</v>
      </c>
      <c r="H439" s="40" t="b">
        <f t="shared" si="104"/>
        <v>0</v>
      </c>
      <c r="I439" s="40" t="b">
        <f t="shared" si="105"/>
        <v>0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25">
      <c r="A440" s="1195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25">
      <c r="A441" s="1195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25">
      <c r="A442" s="1195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25">
      <c r="A443" s="1195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25">
      <c r="A444" s="1195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.75" thickBot="1" x14ac:dyDescent="0.3">
      <c r="A445" s="1196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.75" thickBot="1" x14ac:dyDescent="0.3"/>
    <row r="449" spans="1:35" x14ac:dyDescent="0.25">
      <c r="A449" s="1197"/>
      <c r="B449" s="1198"/>
      <c r="C449" s="1201" t="s">
        <v>17</v>
      </c>
      <c r="D449" s="1201"/>
      <c r="E449" s="1201"/>
      <c r="F449" s="1201"/>
      <c r="G449" s="1201"/>
      <c r="H449" s="1201"/>
      <c r="I449" s="1201"/>
      <c r="J449" s="1201"/>
      <c r="K449" s="1201"/>
      <c r="L449" s="1201"/>
      <c r="M449" s="1201"/>
      <c r="N449" s="1201"/>
      <c r="O449" s="1201"/>
      <c r="P449" s="1201"/>
      <c r="Q449" s="1201"/>
      <c r="R449" s="1201"/>
      <c r="S449" s="1201"/>
      <c r="T449" s="1201"/>
      <c r="U449" s="1201"/>
      <c r="V449" s="1202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.75" thickBot="1" x14ac:dyDescent="0.3">
      <c r="A450" s="1199"/>
      <c r="B450" s="1200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25">
      <c r="A451" s="1195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BR</v>
      </c>
      <c r="J451" s="40" t="str">
        <f t="shared" si="132"/>
        <v>BR</v>
      </c>
      <c r="K451" s="40" t="str">
        <f t="shared" si="132"/>
        <v/>
      </c>
      <c r="L451" s="40" t="str">
        <f t="shared" si="132"/>
        <v/>
      </c>
      <c r="M451" s="40" t="str">
        <f t="shared" si="132"/>
        <v/>
      </c>
      <c r="N451" s="40" t="str">
        <f t="shared" si="132"/>
        <v/>
      </c>
      <c r="O451" s="40" t="str">
        <f t="shared" si="132"/>
        <v/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25">
      <c r="A452" s="1195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BR</v>
      </c>
      <c r="G452" s="40" t="str">
        <f t="shared" si="134"/>
        <v>BR</v>
      </c>
      <c r="H452" s="40" t="str">
        <f t="shared" si="134"/>
        <v>BR</v>
      </c>
      <c r="I452" s="40" t="str">
        <f t="shared" si="134"/>
        <v>BR</v>
      </c>
      <c r="J452" s="40" t="str">
        <f t="shared" si="134"/>
        <v>Prim</v>
      </c>
      <c r="K452" s="40" t="str">
        <f t="shared" si="134"/>
        <v/>
      </c>
      <c r="L452" s="40" t="str">
        <f t="shared" si="134"/>
        <v/>
      </c>
      <c r="M452" s="40" t="str">
        <f t="shared" si="134"/>
        <v/>
      </c>
      <c r="N452" s="40" t="str">
        <f t="shared" si="134"/>
        <v/>
      </c>
      <c r="O452" s="40" t="str">
        <f t="shared" si="134"/>
        <v/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25">
      <c r="A453" s="1195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BR</v>
      </c>
      <c r="I453" s="40" t="str">
        <f t="shared" si="135"/>
        <v>BR</v>
      </c>
      <c r="J453" s="40" t="str">
        <f t="shared" si="135"/>
        <v>BR</v>
      </c>
      <c r="K453" s="40" t="str">
        <f t="shared" si="135"/>
        <v/>
      </c>
      <c r="L453" s="40" t="str">
        <f t="shared" si="135"/>
        <v/>
      </c>
      <c r="M453" s="40" t="str">
        <f t="shared" si="135"/>
        <v/>
      </c>
      <c r="N453" s="40" t="str">
        <f t="shared" si="135"/>
        <v/>
      </c>
      <c r="O453" s="40" t="str">
        <f t="shared" si="135"/>
        <v/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25">
      <c r="A454" s="1195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Prim</v>
      </c>
      <c r="I454" s="40" t="str">
        <f t="shared" si="136"/>
        <v>BR</v>
      </c>
      <c r="J454" s="40" t="str">
        <f t="shared" si="136"/>
        <v>BR</v>
      </c>
      <c r="K454" s="40" t="str">
        <f t="shared" si="136"/>
        <v/>
      </c>
      <c r="L454" s="40" t="str">
        <f t="shared" si="136"/>
        <v/>
      </c>
      <c r="M454" s="40" t="str">
        <f t="shared" si="136"/>
        <v/>
      </c>
      <c r="N454" s="40" t="str">
        <f t="shared" si="136"/>
        <v/>
      </c>
      <c r="O454" s="40" t="str">
        <f t="shared" si="136"/>
        <v/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25">
      <c r="A455" s="1195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BR</v>
      </c>
      <c r="G455" s="40" t="str">
        <f t="shared" si="137"/>
        <v>BR</v>
      </c>
      <c r="H455" s="40" t="str">
        <f t="shared" si="137"/>
        <v>BR</v>
      </c>
      <c r="I455" s="40" t="str">
        <f t="shared" si="137"/>
        <v>BR</v>
      </c>
      <c r="J455" s="40" t="str">
        <f t="shared" si="137"/>
        <v>Prim</v>
      </c>
      <c r="K455" s="40" t="str">
        <f t="shared" si="137"/>
        <v/>
      </c>
      <c r="L455" s="40" t="str">
        <f t="shared" si="137"/>
        <v/>
      </c>
      <c r="M455" s="40" t="str">
        <f t="shared" si="137"/>
        <v/>
      </c>
      <c r="N455" s="40" t="str">
        <f t="shared" si="137"/>
        <v/>
      </c>
      <c r="O455" s="40" t="str">
        <f t="shared" si="137"/>
        <v/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25">
      <c r="A456" s="1195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Prim</v>
      </c>
      <c r="H456" s="40" t="str">
        <f t="shared" si="138"/>
        <v>Prim</v>
      </c>
      <c r="I456" s="40" t="str">
        <f t="shared" si="138"/>
        <v>Prim</v>
      </c>
      <c r="J456" s="40" t="str">
        <f t="shared" si="138"/>
        <v>Prim</v>
      </c>
      <c r="K456" s="40" t="str">
        <f t="shared" si="138"/>
        <v/>
      </c>
      <c r="L456" s="40" t="str">
        <f t="shared" si="138"/>
        <v/>
      </c>
      <c r="M456" s="40" t="str">
        <f t="shared" si="138"/>
        <v/>
      </c>
      <c r="N456" s="40" t="str">
        <f t="shared" si="138"/>
        <v/>
      </c>
      <c r="O456" s="40" t="str">
        <f t="shared" si="138"/>
        <v/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25">
      <c r="A457" s="1195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/>
      </c>
      <c r="L457" s="40" t="str">
        <f t="shared" si="139"/>
        <v/>
      </c>
      <c r="M457" s="40" t="str">
        <f t="shared" si="139"/>
        <v/>
      </c>
      <c r="N457" s="40" t="str">
        <f t="shared" si="139"/>
        <v/>
      </c>
      <c r="O457" s="40" t="str">
        <f t="shared" si="139"/>
        <v/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25">
      <c r="A458" s="1195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/>
      </c>
      <c r="L458" s="40" t="str">
        <f t="shared" si="140"/>
        <v/>
      </c>
      <c r="M458" s="40" t="str">
        <f t="shared" si="140"/>
        <v/>
      </c>
      <c r="N458" s="40" t="str">
        <f t="shared" si="140"/>
        <v/>
      </c>
      <c r="O458" s="40" t="str">
        <f t="shared" si="140"/>
        <v/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25">
      <c r="A459" s="1195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/>
      </c>
      <c r="L459" s="40" t="str">
        <f t="shared" si="141"/>
        <v/>
      </c>
      <c r="M459" s="40" t="str">
        <f t="shared" si="141"/>
        <v/>
      </c>
      <c r="N459" s="40" t="str">
        <f t="shared" si="141"/>
        <v/>
      </c>
      <c r="O459" s="40" t="str">
        <f t="shared" si="141"/>
        <v/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25">
      <c r="A460" s="1195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/>
      </c>
      <c r="L460" s="40" t="str">
        <f t="shared" si="142"/>
        <v/>
      </c>
      <c r="M460" s="40" t="str">
        <f t="shared" si="142"/>
        <v/>
      </c>
      <c r="N460" s="40" t="str">
        <f t="shared" si="142"/>
        <v/>
      </c>
      <c r="O460" s="40" t="str">
        <f t="shared" si="142"/>
        <v/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25">
      <c r="A461" s="1195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/>
      </c>
      <c r="L461" s="40" t="str">
        <f t="shared" si="143"/>
        <v/>
      </c>
      <c r="M461" s="40" t="str">
        <f t="shared" si="143"/>
        <v/>
      </c>
      <c r="N461" s="40" t="str">
        <f t="shared" si="143"/>
        <v/>
      </c>
      <c r="O461" s="40" t="str">
        <f t="shared" si="143"/>
        <v/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.75" thickBot="1" x14ac:dyDescent="0.3">
      <c r="A462" s="1196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/>
      </c>
      <c r="L462" s="40" t="str">
        <f t="shared" si="144"/>
        <v/>
      </c>
      <c r="M462" s="40" t="str">
        <f t="shared" si="144"/>
        <v/>
      </c>
      <c r="N462" s="40" t="str">
        <f t="shared" si="144"/>
        <v/>
      </c>
      <c r="O462" s="40" t="str">
        <f t="shared" si="144"/>
        <v/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.75" thickBot="1" x14ac:dyDescent="0.3"/>
    <row r="466" spans="1:43" ht="15.75" thickBot="1" x14ac:dyDescent="0.3">
      <c r="A466" s="1197"/>
      <c r="B466" s="1198"/>
      <c r="C466" s="1201" t="s">
        <v>17</v>
      </c>
      <c r="D466" s="1201"/>
      <c r="E466" s="1201"/>
      <c r="F466" s="1201"/>
      <c r="G466" s="1201"/>
      <c r="H466" s="1201"/>
      <c r="I466" s="1201"/>
      <c r="J466" s="1201"/>
      <c r="K466" s="1201"/>
      <c r="L466" s="1201"/>
      <c r="M466" s="1201"/>
      <c r="N466" s="1201"/>
      <c r="O466" s="1201"/>
      <c r="P466" s="1201"/>
      <c r="Q466" s="1201"/>
      <c r="R466" s="1201"/>
      <c r="S466" s="1201"/>
      <c r="T466" s="1201"/>
      <c r="U466" s="1201"/>
      <c r="V466" s="1202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.75" thickBot="1" x14ac:dyDescent="0.3">
      <c r="A467" s="1199"/>
      <c r="B467" s="1200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1954</v>
      </c>
      <c r="AL467" s="935" t="s">
        <v>1955</v>
      </c>
      <c r="AM467" s="935" t="s">
        <v>1956</v>
      </c>
      <c r="AN467" s="935" t="s">
        <v>1957</v>
      </c>
      <c r="AO467" s="935" t="s">
        <v>1958</v>
      </c>
      <c r="AP467" s="936" t="s">
        <v>1959</v>
      </c>
      <c r="AQ467" s="13" t="s">
        <v>21</v>
      </c>
    </row>
    <row r="468" spans="1:43" ht="15.75" thickBot="1" x14ac:dyDescent="0.3">
      <c r="A468" s="1195" t="s">
        <v>18</v>
      </c>
      <c r="B468" s="21">
        <v>1</v>
      </c>
      <c r="C468" s="40" t="b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0</v>
      </c>
      <c r="D468" s="40" t="b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0</v>
      </c>
      <c r="E468" s="40" t="b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0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RPRIM</v>
      </c>
      <c r="G468" s="40" t="b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0</v>
      </c>
      <c r="H468" s="40" t="b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0</v>
      </c>
      <c r="I468" s="40" t="b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0</v>
      </c>
      <c r="J468" s="40" t="b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0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b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0</v>
      </c>
      <c r="N468" s="40" t="b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0</v>
      </c>
      <c r="O468" s="40" t="b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0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0</v>
      </c>
      <c r="AL468" s="937">
        <f>COUNTIF($C$468:$AI$479,"RPRIM")</f>
        <v>2</v>
      </c>
      <c r="AM468" s="937">
        <f>COUNTIF($C$468:$AI$479,"XBU")</f>
        <v>0</v>
      </c>
      <c r="AN468" s="937">
        <f>COUNTIF($C$468:$AI$479,"RBU")</f>
        <v>0</v>
      </c>
      <c r="AO468" s="937">
        <f>COUNTIF($C$468:$AI$479,"XBR")</f>
        <v>0</v>
      </c>
      <c r="AP468" s="938">
        <f>COUNTIF($C$468:$AI$479,"RBR")</f>
        <v>0</v>
      </c>
      <c r="AQ468" s="13">
        <f>SUM(AK468:AP468)</f>
        <v>2</v>
      </c>
    </row>
    <row r="469" spans="1:43" x14ac:dyDescent="0.25">
      <c r="A469" s="1195"/>
      <c r="B469" s="22">
        <v>2</v>
      </c>
      <c r="C469" s="40" t="b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0</v>
      </c>
      <c r="D469" s="40" t="b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0</v>
      </c>
      <c r="E469" s="40" t="b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0</v>
      </c>
      <c r="F469" s="40" t="b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0</v>
      </c>
      <c r="G469" s="40" t="b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0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b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0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25">
      <c r="A470" s="1195"/>
      <c r="B470" s="22">
        <v>3</v>
      </c>
      <c r="C470" s="40" t="b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0</v>
      </c>
      <c r="D470" s="40" t="b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0</v>
      </c>
      <c r="E470" s="40" t="b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0</v>
      </c>
      <c r="F470" s="40" t="b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0</v>
      </c>
      <c r="G470" s="40" t="b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0</v>
      </c>
      <c r="H470" s="40" t="b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0</v>
      </c>
      <c r="I470" s="40" t="b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0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b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0</v>
      </c>
      <c r="M470" s="40" t="b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0</v>
      </c>
      <c r="N470" s="40" t="b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0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25">
      <c r="A471" s="1195"/>
      <c r="B471" s="22">
        <v>4</v>
      </c>
      <c r="C471" s="40" t="b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0</v>
      </c>
      <c r="D471" s="40" t="b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0</v>
      </c>
      <c r="E471" s="40" t="b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0</v>
      </c>
      <c r="F471" s="40" t="b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0</v>
      </c>
      <c r="G471" s="40" t="b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0</v>
      </c>
      <c r="H471" s="40" t="b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0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b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0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b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0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25">
      <c r="A472" s="1195"/>
      <c r="B472" s="22">
        <v>5</v>
      </c>
      <c r="C472" s="40" t="b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0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b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0</v>
      </c>
      <c r="F472" s="40" t="b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0</v>
      </c>
      <c r="G472" s="40" t="b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0</v>
      </c>
      <c r="H472" s="40" t="b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0</v>
      </c>
      <c r="I472" s="40" t="b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0</v>
      </c>
      <c r="J472" s="40" t="b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0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b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0</v>
      </c>
      <c r="M472" s="40" t="b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0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25">
      <c r="A473" s="1195"/>
      <c r="B473" s="22">
        <v>6</v>
      </c>
      <c r="C473" s="40" t="b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0</v>
      </c>
      <c r="D473" s="40" t="b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0</v>
      </c>
      <c r="E473" s="40" t="b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0</v>
      </c>
      <c r="F473" s="40" t="b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0</v>
      </c>
      <c r="G473" s="40" t="b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0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b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0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25">
      <c r="A474" s="1195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25">
      <c r="A475" s="1195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25">
      <c r="A476" s="1195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25">
      <c r="A477" s="1195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25">
      <c r="A478" s="1195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.75" thickBot="1" x14ac:dyDescent="0.3">
      <c r="A479" s="1196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J8" sqref="J8"/>
    </sheetView>
  </sheetViews>
  <sheetFormatPr defaultRowHeight="15" x14ac:dyDescent="0.25"/>
  <cols>
    <col min="1" max="2" width="4.7109375" customWidth="1"/>
    <col min="3" max="27" width="6.42578125" customWidth="1"/>
    <col min="28" max="36" width="7" customWidth="1"/>
    <col min="37" max="37" width="25.7109375" customWidth="1"/>
    <col min="38" max="38" width="7" customWidth="1"/>
  </cols>
  <sheetData>
    <row r="1" spans="1:38" ht="21" customHeight="1" thickBot="1" x14ac:dyDescent="0.3">
      <c r="A1" s="1247" t="s">
        <v>1109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9"/>
      <c r="AK1" s="365" t="s">
        <v>3</v>
      </c>
      <c r="AL1" s="366" t="s">
        <v>4</v>
      </c>
    </row>
    <row r="2" spans="1:38" ht="17.25" customHeight="1" thickBot="1" x14ac:dyDescent="0.3">
      <c r="A2" s="1255"/>
      <c r="B2" s="1256"/>
      <c r="C2" s="1259" t="s">
        <v>17</v>
      </c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59"/>
      <c r="T2" s="1259"/>
      <c r="U2" s="1259"/>
      <c r="V2" s="1260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3">
      <c r="A3" s="1257"/>
      <c r="B3" s="125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25">
      <c r="A4" s="1261" t="s">
        <v>18</v>
      </c>
      <c r="B4" s="6">
        <v>1</v>
      </c>
      <c r="C4" s="344" t="s">
        <v>1754</v>
      </c>
      <c r="D4" s="345" t="s">
        <v>1754</v>
      </c>
      <c r="E4" s="345" t="s">
        <v>1754</v>
      </c>
      <c r="F4" s="345" t="s">
        <v>2534</v>
      </c>
      <c r="G4" s="345" t="s">
        <v>49</v>
      </c>
      <c r="H4" s="345" t="s">
        <v>1754</v>
      </c>
      <c r="I4" s="345" t="s">
        <v>1754</v>
      </c>
      <c r="J4" s="345" t="s">
        <v>1754</v>
      </c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3">
      <c r="A5" s="1262"/>
      <c r="B5" s="35">
        <v>2</v>
      </c>
      <c r="C5" s="347" t="s">
        <v>1754</v>
      </c>
      <c r="D5" s="348" t="s">
        <v>1754</v>
      </c>
      <c r="E5" s="348" t="s">
        <v>1754</v>
      </c>
      <c r="F5" s="348" t="s">
        <v>1754</v>
      </c>
      <c r="G5" s="348" t="s">
        <v>1754</v>
      </c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25">
      <c r="A6" s="1262"/>
      <c r="B6" s="35">
        <v>3</v>
      </c>
      <c r="C6" s="347" t="s">
        <v>1754</v>
      </c>
      <c r="D6" s="348" t="s">
        <v>1754</v>
      </c>
      <c r="E6" s="348" t="s">
        <v>1754</v>
      </c>
      <c r="F6" s="348" t="s">
        <v>49</v>
      </c>
      <c r="G6" s="348" t="s">
        <v>1754</v>
      </c>
      <c r="H6" s="348" t="s">
        <v>1754</v>
      </c>
      <c r="I6" s="348" t="s">
        <v>1754</v>
      </c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25">
      <c r="A7" s="1262"/>
      <c r="B7" s="35">
        <v>4</v>
      </c>
      <c r="C7" s="347" t="s">
        <v>1754</v>
      </c>
      <c r="D7" s="348" t="s">
        <v>1754</v>
      </c>
      <c r="E7" s="348" t="s">
        <v>1754</v>
      </c>
      <c r="F7" s="348" t="s">
        <v>49</v>
      </c>
      <c r="G7" s="348" t="s">
        <v>1754</v>
      </c>
      <c r="H7" s="348" t="s">
        <v>1754</v>
      </c>
      <c r="I7" s="348" t="s">
        <v>1754</v>
      </c>
      <c r="J7" s="348" t="s">
        <v>1754</v>
      </c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25">
      <c r="A8" s="1262"/>
      <c r="B8" s="35">
        <v>5</v>
      </c>
      <c r="C8" s="347" t="s">
        <v>49</v>
      </c>
      <c r="D8" s="348" t="s">
        <v>2534</v>
      </c>
      <c r="E8" s="348" t="s">
        <v>1754</v>
      </c>
      <c r="F8" s="348" t="s">
        <v>1754</v>
      </c>
      <c r="G8" s="348" t="s">
        <v>1754</v>
      </c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25">
      <c r="A9" s="126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25">
      <c r="A10" s="126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25">
      <c r="A11" s="126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25">
      <c r="A12" s="126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25">
      <c r="A13" s="126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25">
      <c r="A14" s="126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3">
      <c r="A15" s="126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3">
      <c r="A16" s="1245"/>
      <c r="B16" s="1245"/>
      <c r="C16" s="1245"/>
      <c r="D16" s="1245"/>
      <c r="E16" s="1245"/>
      <c r="F16" s="1245"/>
      <c r="G16" s="1245"/>
      <c r="H16" s="1245"/>
      <c r="I16" s="1245"/>
      <c r="J16" s="1245"/>
      <c r="K16" s="1245"/>
      <c r="L16" s="1245"/>
      <c r="M16" s="1245"/>
      <c r="N16" s="1245"/>
      <c r="O16" s="1245"/>
      <c r="P16" s="1245"/>
      <c r="Q16" s="1245"/>
      <c r="R16" s="1245"/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</row>
    <row r="17" spans="1:54" ht="60.75" customHeight="1" thickBot="1" x14ac:dyDescent="0.3">
      <c r="A17" s="1250" t="s">
        <v>797</v>
      </c>
      <c r="B17" s="1251"/>
      <c r="C17" s="1251"/>
      <c r="D17" s="1252" t="s">
        <v>2536</v>
      </c>
      <c r="E17" s="1253"/>
      <c r="F17" s="1253"/>
      <c r="G17" s="1253"/>
      <c r="H17" s="1253"/>
      <c r="I17" s="1253"/>
      <c r="J17" s="1253"/>
      <c r="K17" s="1253"/>
      <c r="L17" s="1253"/>
      <c r="M17" s="1253"/>
      <c r="N17" s="1253"/>
      <c r="O17" s="1253"/>
      <c r="P17" s="1253"/>
      <c r="Q17" s="1253"/>
      <c r="R17" s="1253"/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4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2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1</v>
      </c>
      <c r="G27" s="152" t="b">
        <f>EXACT(G4,'ARDT Cutter Entry'!G4)</f>
        <v>1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1</v>
      </c>
      <c r="K27" s="152" t="b">
        <f>EXACT(K4,'ARDT Cutter Entry'!K4)</f>
        <v>1</v>
      </c>
      <c r="L27" s="152" t="b">
        <f>EXACT(L4,'ARDT Cutter Entry'!L4)</f>
        <v>1</v>
      </c>
      <c r="M27" s="152" t="b">
        <f>EXACT(M4,'ARDT Cutter Entry'!M4)</f>
        <v>1</v>
      </c>
      <c r="N27" s="152" t="b">
        <f>EXACT(N4,'ARDT Cutter Entry'!N4)</f>
        <v>1</v>
      </c>
      <c r="O27" s="152" t="b">
        <f>EXACT(O4,'ARDT Cutter Entry'!O4)</f>
        <v>1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2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1</v>
      </c>
      <c r="M28" t="b">
        <f>EXACT(M5,'ARDT Cutter Entry'!M5)</f>
        <v>1</v>
      </c>
      <c r="N28" t="b">
        <f>EXACT(N5,'ARDT Cutter Entry'!N5)</f>
        <v>1</v>
      </c>
      <c r="O28" t="b">
        <f>EXACT(O5,'ARDT Cutter Entry'!O5)</f>
        <v>1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2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1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1</v>
      </c>
      <c r="M29" t="b">
        <f>EXACT(M6,'ARDT Cutter Entry'!M6)</f>
        <v>1</v>
      </c>
      <c r="N29" t="b">
        <f>EXACT(N6,'ARDT Cutter Entry'!N6)</f>
        <v>1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2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1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0</v>
      </c>
      <c r="J30" t="b">
        <f>EXACT(J7,'ARDT Cutter Entry'!J7)</f>
        <v>0</v>
      </c>
      <c r="K30" t="b">
        <f>EXACT(K7,'ARDT Cutter Entry'!K7)</f>
        <v>1</v>
      </c>
      <c r="L30" t="b">
        <f>EXACT(L7,'ARDT Cutter Entry'!L7)</f>
        <v>1</v>
      </c>
      <c r="M30" t="b">
        <f>EXACT(M7,'ARDT Cutter Entry'!M7)</f>
        <v>1</v>
      </c>
      <c r="N30" t="b">
        <f>EXACT(N7,'ARDT Cutter Entry'!N7)</f>
        <v>1</v>
      </c>
      <c r="O30" t="b">
        <f>EXACT(O7,'ARDT Cutter Entry'!O7)</f>
        <v>1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25">
      <c r="C31" s="154" t="b">
        <f>EXACT(C8,'ARDT Cutter Entry'!C8)</f>
        <v>1</v>
      </c>
      <c r="D31" t="b">
        <f>EXACT(D8,'ARDT Cutter Entry'!D8)</f>
        <v>1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1</v>
      </c>
      <c r="I31" t="b">
        <f>EXACT(I8,'ARDT Cutter Entry'!I8)</f>
        <v>1</v>
      </c>
      <c r="J31" t="b">
        <f>EXACT(J8,'ARDT Cutter Entry'!J8)</f>
        <v>1</v>
      </c>
      <c r="K31" t="b">
        <f>EXACT(K8,'ARDT Cutter Entry'!K8)</f>
        <v>1</v>
      </c>
      <c r="L31" t="b">
        <f>EXACT(L8,'ARDT Cutter Entry'!L8)</f>
        <v>1</v>
      </c>
      <c r="M31" t="b">
        <f>EXACT(M8,'ARDT Cutter Entry'!M8)</f>
        <v>1</v>
      </c>
      <c r="N31" t="b">
        <f>EXACT(N8,'ARDT Cutter Entry'!N8)</f>
        <v>1</v>
      </c>
      <c r="O31" t="b">
        <f>EXACT(O8,'ARDT Cutter Entry'!O8)</f>
        <v>1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25">
      <c r="C32" s="154" t="b">
        <f>EXACT(C9,'ARDT Cutter Entry'!C9)</f>
        <v>1</v>
      </c>
      <c r="D32" t="b">
        <f>EXACT(D9,'ARDT Cutter Entry'!D9)</f>
        <v>1</v>
      </c>
      <c r="E32" t="b">
        <f>EXACT(E9,'ARDT Cutter Entry'!E9)</f>
        <v>1</v>
      </c>
      <c r="F32" t="b">
        <f>EXACT(F9,'ARDT Cutter Entry'!F9)</f>
        <v>1</v>
      </c>
      <c r="G32" t="b">
        <f>EXACT(G9,'ARDT Cutter Entry'!G9)</f>
        <v>1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1</v>
      </c>
      <c r="M32" t="b">
        <f>EXACT(M9,'ARDT Cutter Entry'!M9)</f>
        <v>1</v>
      </c>
      <c r="N32" t="b">
        <f>EXACT(N9,'ARDT Cutter Entry'!N9)</f>
        <v>1</v>
      </c>
      <c r="O32" t="b">
        <f>EXACT(O9,'ARDT Cutter Entry'!O9)</f>
        <v>1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2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2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2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2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2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2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25">
      <c r="C39" s="36">
        <f>IF(C4&lt;&gt;"",COUNTIF(C27:AJ38,"FALSE"),0)</f>
        <v>26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zoomScaleNormal="100" zoomScaleSheetLayoutView="100" workbookViewId="0">
      <selection activeCell="F12" sqref="F12:L12"/>
    </sheetView>
  </sheetViews>
  <sheetFormatPr defaultColWidth="9.140625" defaultRowHeight="15" x14ac:dyDescent="0.25"/>
  <cols>
    <col min="1" max="2" width="4.140625" style="656" customWidth="1"/>
    <col min="3" max="36" width="2.5703125" style="656" customWidth="1"/>
    <col min="37" max="37" width="6.28515625" style="656" bestFit="1" customWidth="1"/>
    <col min="38" max="38" width="3" style="656" customWidth="1"/>
    <col min="39" max="39" width="3" style="656" hidden="1" customWidth="1"/>
    <col min="40" max="40" width="5.14062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40625" style="656" customWidth="1"/>
    <col min="60" max="158" width="9.140625" style="656"/>
    <col min="159" max="159" width="9.140625" style="656" customWidth="1"/>
    <col min="160" max="16384" width="9.140625" style="656"/>
  </cols>
  <sheetData>
    <row r="1" spans="1:37" ht="18" customHeight="1" thickBot="1" x14ac:dyDescent="0.3">
      <c r="A1" s="1397"/>
      <c r="B1" s="1398"/>
      <c r="C1" s="1399"/>
      <c r="D1" s="1391" t="s">
        <v>22</v>
      </c>
      <c r="E1" s="1392"/>
      <c r="F1" s="1392"/>
      <c r="G1" s="1392"/>
      <c r="H1" s="1392"/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1392"/>
      <c r="X1" s="1392"/>
      <c r="Y1" s="1392"/>
      <c r="Z1" s="1392"/>
      <c r="AA1" s="1392"/>
      <c r="AB1" s="1392"/>
      <c r="AC1" s="1392"/>
      <c r="AD1" s="1392"/>
      <c r="AE1" s="1392"/>
      <c r="AF1" s="1392"/>
      <c r="AG1" s="1392"/>
      <c r="AH1" s="1392"/>
      <c r="AI1" s="1392"/>
      <c r="AJ1" s="1393"/>
    </row>
    <row r="2" spans="1:37" ht="10.5" customHeight="1" thickBot="1" x14ac:dyDescent="0.3">
      <c r="A2" s="1400"/>
      <c r="B2" s="1401"/>
      <c r="C2" s="1402"/>
      <c r="D2" s="1296" t="s">
        <v>24</v>
      </c>
      <c r="E2" s="1297"/>
      <c r="F2" s="1297"/>
      <c r="G2" s="1297"/>
      <c r="H2" s="1297"/>
      <c r="I2" s="1297"/>
      <c r="J2" s="1297"/>
      <c r="K2" s="1297"/>
      <c r="L2" s="1297"/>
      <c r="M2" s="1298"/>
      <c r="N2" s="1299" t="s">
        <v>1913</v>
      </c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1"/>
      <c r="Z2" s="1296" t="s">
        <v>1912</v>
      </c>
      <c r="AA2" s="1297"/>
      <c r="AB2" s="1297"/>
      <c r="AC2" s="1297"/>
      <c r="AD2" s="1297"/>
      <c r="AE2" s="1297"/>
      <c r="AF2" s="1297"/>
      <c r="AG2" s="1297"/>
      <c r="AH2" s="1297"/>
      <c r="AI2" s="1297"/>
      <c r="AJ2" s="1298"/>
    </row>
    <row r="3" spans="1:37" ht="12.75" customHeight="1" thickBot="1" x14ac:dyDescent="0.3">
      <c r="A3" s="1400"/>
      <c r="B3" s="1401"/>
      <c r="C3" s="1402"/>
      <c r="D3" s="1394" t="s">
        <v>1067</v>
      </c>
      <c r="E3" s="1395"/>
      <c r="F3" s="1395"/>
      <c r="G3" s="1395"/>
      <c r="H3" s="1395"/>
      <c r="I3" s="1395"/>
      <c r="J3" s="1395"/>
      <c r="K3" s="1395"/>
      <c r="L3" s="1395"/>
      <c r="M3" s="1395"/>
      <c r="N3" s="1395"/>
      <c r="O3" s="1395"/>
      <c r="P3" s="1395"/>
      <c r="Q3" s="1395"/>
      <c r="R3" s="1395"/>
      <c r="S3" s="1395"/>
      <c r="T3" s="1395"/>
      <c r="U3" s="1395"/>
      <c r="V3" s="1395"/>
      <c r="W3" s="1395"/>
      <c r="X3" s="1395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6"/>
    </row>
    <row r="4" spans="1:37" ht="12.75" customHeight="1" thickBot="1" x14ac:dyDescent="0.3">
      <c r="A4" s="1403"/>
      <c r="B4" s="1404"/>
      <c r="C4" s="1405"/>
      <c r="D4" s="1318" t="s">
        <v>1499</v>
      </c>
      <c r="E4" s="1320"/>
      <c r="F4" s="1320"/>
      <c r="G4" s="1320"/>
      <c r="H4" s="1320"/>
      <c r="I4" s="1320"/>
      <c r="J4" s="1320"/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19"/>
      <c r="AA4" s="1357" t="s">
        <v>26</v>
      </c>
      <c r="AB4" s="1358"/>
      <c r="AC4" s="1358"/>
      <c r="AD4" s="1358"/>
      <c r="AE4" s="1358"/>
      <c r="AF4" s="1358"/>
      <c r="AG4" s="1358"/>
      <c r="AH4" s="1358"/>
      <c r="AI4" s="1358"/>
      <c r="AJ4" s="1359"/>
    </row>
    <row r="5" spans="1:37" ht="6.75" customHeight="1" thickBot="1" x14ac:dyDescent="0.3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3">
      <c r="A6" s="1406" t="s">
        <v>27</v>
      </c>
      <c r="B6" s="1406"/>
      <c r="C6" s="1406"/>
      <c r="D6" s="1406"/>
      <c r="E6" s="1407"/>
      <c r="F6" s="1318">
        <f>IF(Data!B1&lt;&gt;"", Data!B1, " ")</f>
        <v>20261004</v>
      </c>
      <c r="G6" s="1320"/>
      <c r="H6" s="1320"/>
      <c r="I6" s="1320"/>
      <c r="J6" s="1320"/>
      <c r="K6" s="1320"/>
      <c r="L6" s="1319"/>
      <c r="M6" s="730"/>
      <c r="N6" s="1385" t="s">
        <v>28</v>
      </c>
      <c r="O6" s="1385"/>
      <c r="P6" s="1385"/>
      <c r="Q6" s="1318" t="str">
        <f>IF(Data!B2&lt;&gt;"", Data!B2, " ")</f>
        <v>14304769R1</v>
      </c>
      <c r="R6" s="1320"/>
      <c r="S6" s="1320"/>
      <c r="T6" s="1320"/>
      <c r="U6" s="1320"/>
      <c r="V6" s="1320"/>
      <c r="W6" s="1319"/>
      <c r="X6" s="730"/>
      <c r="Y6" s="1376" t="s">
        <v>1500</v>
      </c>
      <c r="Z6" s="1376"/>
      <c r="AA6" s="1376"/>
      <c r="AB6" s="1376"/>
      <c r="AC6" s="1409"/>
      <c r="AD6" s="1318" t="str">
        <f>IF(LEN(Q6)&gt;3,IF(COUNTIF(Q6,"*R1"),SUBSTITUTE(Q6,"R1","R2"),IF(AND(NOT(COUNTIF(Q6,"*R")),NOT(COUNTIF(Q6,"*R2"))),Q6&amp;"R",IF(COUNTIF(Q6,"*R"),Q6&amp;"2",IF(COUNTIF(Q6,"*R2"),SUBSTITUTE(Q6,"R2","R3"))))),"")</f>
        <v>14304769R2</v>
      </c>
      <c r="AE6" s="1320"/>
      <c r="AF6" s="1320"/>
      <c r="AG6" s="1320"/>
      <c r="AH6" s="1320"/>
      <c r="AI6" s="1320"/>
      <c r="AJ6" s="1319"/>
    </row>
    <row r="7" spans="1:37" ht="6.75" customHeight="1" thickBot="1" x14ac:dyDescent="0.3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3">
      <c r="D8" s="1406" t="s">
        <v>29</v>
      </c>
      <c r="E8" s="1407"/>
      <c r="F8" s="1318" t="str">
        <f>IF(LEN(Data!B3)&gt;3,IF(AND(Data!B43&lt;&gt;"",Data!B43&lt;&gt;"0 0/1"""),Data!B43,""),IF(Data!B3&lt;&gt;"",Data!B3&amp;"""",""))</f>
        <v>6 1/8"</v>
      </c>
      <c r="G8" s="1320"/>
      <c r="H8" s="1320"/>
      <c r="I8" s="1320"/>
      <c r="J8" s="1320"/>
      <c r="K8" s="1320"/>
      <c r="L8" s="1319"/>
      <c r="O8" s="1385" t="s">
        <v>32</v>
      </c>
      <c r="P8" s="1386"/>
      <c r="Q8" s="1318" t="str">
        <f>IF(Data!B7&lt;&gt;"",Data!B7, " ")</f>
        <v>LSTK</v>
      </c>
      <c r="R8" s="1320"/>
      <c r="S8" s="1320"/>
      <c r="T8" s="1320"/>
      <c r="U8" s="1320"/>
      <c r="V8" s="1320"/>
      <c r="W8" s="1319"/>
      <c r="X8" s="659"/>
      <c r="Y8" s="1408" t="s">
        <v>1777</v>
      </c>
      <c r="Z8" s="1385"/>
      <c r="AA8" s="1385"/>
      <c r="AB8" s="1385"/>
      <c r="AC8" s="1385"/>
      <c r="AD8" s="1410">
        <f>IF(Data!B6&lt;&gt;"",Data!B6," ")</f>
        <v>46035</v>
      </c>
      <c r="AE8" s="1411"/>
      <c r="AF8" s="1411"/>
      <c r="AG8" s="1411"/>
      <c r="AH8" s="1411"/>
      <c r="AI8" s="1411"/>
      <c r="AJ8" s="1412"/>
    </row>
    <row r="9" spans="1:37" ht="6.75" customHeight="1" thickBot="1" x14ac:dyDescent="0.3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385"/>
      <c r="Z9" s="1385"/>
      <c r="AA9" s="1385"/>
      <c r="AB9" s="1385"/>
      <c r="AC9" s="1385"/>
      <c r="AD9" s="660"/>
      <c r="AE9" s="660"/>
      <c r="AF9" s="660"/>
      <c r="AG9" s="660"/>
      <c r="AH9" s="660"/>
      <c r="AI9" s="660"/>
    </row>
    <row r="10" spans="1:37" ht="13.5" customHeight="1" thickBot="1" x14ac:dyDescent="0.3">
      <c r="B10" s="1385" t="s">
        <v>2009</v>
      </c>
      <c r="C10" s="1385"/>
      <c r="D10" s="1385"/>
      <c r="E10" s="1386"/>
      <c r="F10" s="1318" t="str">
        <f>IF(Data!B4&lt;&gt;"",Data!B4," ")</f>
        <v>HD54</v>
      </c>
      <c r="G10" s="1320"/>
      <c r="H10" s="1320"/>
      <c r="I10" s="1320"/>
      <c r="J10" s="1320"/>
      <c r="K10" s="1320"/>
      <c r="L10" s="1319"/>
      <c r="M10" s="1376" t="s">
        <v>1501</v>
      </c>
      <c r="N10" s="1376"/>
      <c r="O10" s="1376"/>
      <c r="P10" s="1376"/>
      <c r="Q10" s="1318" t="str">
        <f>IF(Data!B22&lt;&gt;"",Data!B22, " ")</f>
        <v xml:space="preserve"> </v>
      </c>
      <c r="R10" s="1320"/>
      <c r="S10" s="1320"/>
      <c r="T10" s="1320"/>
      <c r="U10" s="1320"/>
      <c r="V10" s="1320"/>
      <c r="W10" s="1319"/>
      <c r="X10" s="730"/>
      <c r="Y10" s="1376" t="s">
        <v>33</v>
      </c>
      <c r="Z10" s="1376"/>
      <c r="AA10" s="1376"/>
      <c r="AB10" s="1376"/>
      <c r="AC10" s="1376"/>
      <c r="AD10" s="1318">
        <f>IF(Data!B24&lt;&gt;"",Data!B24,IFERROR(VLOOKUP(Data!$B$7,Data!F63:G70,2,FALSE),""))</f>
        <v>960031408</v>
      </c>
      <c r="AE10" s="1320"/>
      <c r="AF10" s="1320"/>
      <c r="AG10" s="1320"/>
      <c r="AH10" s="1320"/>
      <c r="AI10" s="1320"/>
      <c r="AJ10" s="1319"/>
    </row>
    <row r="11" spans="1:37" ht="6.75" customHeight="1" thickBot="1" x14ac:dyDescent="0.3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3">
      <c r="B12" s="1385" t="s">
        <v>1502</v>
      </c>
      <c r="C12" s="1385"/>
      <c r="D12" s="1385"/>
      <c r="E12" s="1386"/>
      <c r="F12" s="1318" t="str">
        <f>IF(Data!B10&lt;&gt;"", Data!B10, "")</f>
        <v/>
      </c>
      <c r="G12" s="1320"/>
      <c r="H12" s="1320"/>
      <c r="I12" s="1320"/>
      <c r="J12" s="1320"/>
      <c r="K12" s="1320"/>
      <c r="L12" s="1319"/>
      <c r="M12" s="1376" t="s">
        <v>1503</v>
      </c>
      <c r="N12" s="1376"/>
      <c r="O12" s="1376"/>
      <c r="P12" s="1376"/>
      <c r="Q12" s="1318" t="str">
        <f>IF(Data!B23&lt;&gt;"",Data!B23, " ")</f>
        <v xml:space="preserve"> </v>
      </c>
      <c r="R12" s="1320"/>
      <c r="S12" s="1320"/>
      <c r="T12" s="1320"/>
      <c r="U12" s="1320"/>
      <c r="V12" s="1320"/>
      <c r="W12" s="1319"/>
      <c r="X12" s="730"/>
      <c r="Y12" s="1376" t="s">
        <v>1504</v>
      </c>
      <c r="Z12" s="1376"/>
      <c r="AA12" s="1376"/>
      <c r="AB12" s="1376"/>
      <c r="AC12" s="1376"/>
      <c r="AD12" s="1318">
        <f>IF(Data!B25&lt;&gt;"",Data!B25, " ")</f>
        <v>10012130</v>
      </c>
      <c r="AE12" s="1320"/>
      <c r="AF12" s="1320"/>
      <c r="AG12" s="1320"/>
      <c r="AH12" s="1320"/>
      <c r="AI12" s="1320"/>
      <c r="AJ12" s="1319"/>
    </row>
    <row r="13" spans="1:37" ht="15.75" thickBot="1" x14ac:dyDescent="0.3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25">
      <c r="A14" s="1413"/>
      <c r="B14" s="1414"/>
      <c r="C14" s="1381" t="s">
        <v>17</v>
      </c>
      <c r="D14" s="1382"/>
      <c r="E14" s="1382"/>
      <c r="F14" s="1382"/>
      <c r="G14" s="1382"/>
      <c r="H14" s="1382"/>
      <c r="I14" s="1382"/>
      <c r="J14" s="1382"/>
      <c r="K14" s="1382"/>
      <c r="L14" s="1382"/>
      <c r="M14" s="1382"/>
      <c r="N14" s="1382"/>
      <c r="O14" s="1382"/>
      <c r="P14" s="1382"/>
      <c r="Q14" s="1382"/>
      <c r="R14" s="1382"/>
      <c r="S14" s="1382"/>
      <c r="T14" s="1382"/>
      <c r="U14" s="1382"/>
      <c r="V14" s="1382"/>
      <c r="W14" s="1382"/>
      <c r="X14" s="1382"/>
      <c r="Y14" s="1382"/>
      <c r="Z14" s="1382"/>
      <c r="AA14" s="1382"/>
      <c r="AB14" s="1382"/>
      <c r="AC14" s="1382"/>
      <c r="AD14" s="1382"/>
      <c r="AE14" s="1382"/>
      <c r="AF14" s="1382"/>
      <c r="AG14" s="1382"/>
      <c r="AH14" s="1382"/>
      <c r="AI14" s="1382"/>
      <c r="AJ14" s="1383"/>
      <c r="AK14" s="731">
        <f>COUNTBLANK(AK15:AK22)</f>
        <v>7</v>
      </c>
    </row>
    <row r="15" spans="1:37" ht="9" customHeight="1" thickBot="1" x14ac:dyDescent="0.3">
      <c r="A15" s="1415"/>
      <c r="B15" s="1416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0</v>
      </c>
      <c r="L15" s="835">
        <f>IF(Data!$BQ$44&lt;&gt;0,IF(AND(K15&lt;&gt;0,Data!$BQ$44&gt;K15),K15+1,0),0)</f>
        <v>0</v>
      </c>
      <c r="M15" s="835">
        <f>IF(Data!$BQ$44&lt;&gt;0,IF(AND(L15&lt;&gt;0,Data!$BQ$44&gt;L15),L15+1,0),0)</f>
        <v>0</v>
      </c>
      <c r="N15" s="835">
        <f>IF(Data!$BQ$44&lt;&gt;0,IF(AND(M15&lt;&gt;0,Data!$BQ$44&gt;M15),M15+1,0),0)</f>
        <v>0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25">
      <c r="A16" s="1417" t="s">
        <v>18</v>
      </c>
      <c r="B16" s="910">
        <v>1</v>
      </c>
      <c r="C16" s="816" t="str">
        <f>TRIM(IF(TRANSPOSE!C42&lt;&gt;"",TRANSPOSE!C42,""))</f>
        <v>O</v>
      </c>
      <c r="D16" s="817" t="str">
        <f>TRIM(IF(TRANSPOSE!D42&lt;&gt;"",TRANSPOSE!D42,""))</f>
        <v>O</v>
      </c>
      <c r="E16" s="817" t="str">
        <f>TRIM(IF(TRANSPOSE!E42&lt;&gt;"",TRANSPOSE!E42,""))</f>
        <v>O</v>
      </c>
      <c r="F16" s="817" t="str">
        <f>TRIM(IF(TRANSPOSE!F42&lt;&gt;"",TRANSPOSE!F42,""))</f>
        <v>R</v>
      </c>
      <c r="G16" s="817" t="str">
        <f>TRIM(IF(TRANSPOSE!G42&lt;&gt;"",TRANSPOSE!G42,""))</f>
        <v>O</v>
      </c>
      <c r="H16" s="817" t="str">
        <f>TRIM(IF(TRANSPOSE!H42&lt;&gt;"",TRANSPOSE!H42,""))</f>
        <v>O</v>
      </c>
      <c r="I16" s="817" t="str">
        <f>TRIM(IF(TRANSPOSE!I42&lt;&gt;"",TRANSPOSE!I42,""))</f>
        <v>O</v>
      </c>
      <c r="J16" s="817" t="str">
        <f>TRIM(IF(TRANSPOSE!J42&lt;&gt;"",TRANSPOSE!J42,""))</f>
        <v>O</v>
      </c>
      <c r="K16" s="817" t="str">
        <f>TRIM(IF(TRANSPOSE!K42&lt;&gt;"",TRANSPOSE!K42,""))</f>
        <v/>
      </c>
      <c r="L16" s="817" t="str">
        <f>TRIM(IF(TRANSPOSE!L42&lt;&gt;"",TRANSPOSE!L42,""))</f>
        <v/>
      </c>
      <c r="M16" s="817" t="str">
        <f>TRIM(IF(TRANSPOSE!M42&lt;&gt;"",TRANSPOSE!M42,""))</f>
        <v/>
      </c>
      <c r="N16" s="817" t="str">
        <f>TRIM(IF(TRANSPOSE!N42&lt;&gt;"",TRANSPOSE!N42,""))</f>
        <v/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25">
      <c r="A17" s="1418"/>
      <c r="B17" s="730">
        <v>2</v>
      </c>
      <c r="C17" s="907" t="str">
        <f>TRIM(IF(TRANSPOSE!C43&lt;&gt;"",TRANSPOSE!C43,""))</f>
        <v>O</v>
      </c>
      <c r="D17" s="908" t="str">
        <f>TRIM(IF(TRANSPOSE!D43&lt;&gt;"",TRANSPOSE!D43,""))</f>
        <v>O</v>
      </c>
      <c r="E17" s="908" t="str">
        <f>TRIM(IF(TRANSPOSE!E43&lt;&gt;"",TRANSPOSE!E43,""))</f>
        <v>O</v>
      </c>
      <c r="F17" s="908" t="str">
        <f>TRIM(IF(TRANSPOSE!F43&lt;&gt;"",TRANSPOSE!F43,""))</f>
        <v>O</v>
      </c>
      <c r="G17" s="908" t="str">
        <f>TRIM(IF(TRANSPOSE!G43&lt;&gt;"",TRANSPOSE!G43,""))</f>
        <v>O</v>
      </c>
      <c r="H17" s="908" t="str">
        <f>TRIM(IF(TRANSPOSE!H43&lt;&gt;"",TRANSPOSE!H43,""))</f>
        <v/>
      </c>
      <c r="I17" s="908" t="str">
        <f>TRIM(IF(TRANSPOSE!I43&lt;&gt;"",TRANSPOSE!I43,""))</f>
        <v/>
      </c>
      <c r="J17" s="908" t="str">
        <f>TRIM(IF(TRANSPOSE!J43&lt;&gt;"",TRANSPOSE!J43,""))</f>
        <v/>
      </c>
      <c r="K17" s="908" t="str">
        <f>TRIM(IF(TRANSPOSE!K43&lt;&gt;"",TRANSPOSE!K43,""))</f>
        <v/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25">
      <c r="A18" s="1418"/>
      <c r="B18" s="730">
        <v>3</v>
      </c>
      <c r="C18" s="907" t="str">
        <f>TRIM(IF(TRANSPOSE!C44&lt;&gt;"",TRANSPOSE!C44,""))</f>
        <v>O</v>
      </c>
      <c r="D18" s="908" t="str">
        <f>TRIM(IF(TRANSPOSE!D44&lt;&gt;"",TRANSPOSE!D44,""))</f>
        <v>O</v>
      </c>
      <c r="E18" s="908" t="str">
        <f>TRIM(IF(TRANSPOSE!E44&lt;&gt;"",TRANSPOSE!E44,""))</f>
        <v>O</v>
      </c>
      <c r="F18" s="908" t="str">
        <f>TRIM(IF(TRANSPOSE!F44&lt;&gt;"",TRANSPOSE!F44,""))</f>
        <v>O</v>
      </c>
      <c r="G18" s="908" t="str">
        <f>TRIM(IF(TRANSPOSE!G44&lt;&gt;"",TRANSPOSE!G44,""))</f>
        <v>O</v>
      </c>
      <c r="H18" s="908" t="str">
        <f>TRIM(IF(TRANSPOSE!H44&lt;&gt;"",TRANSPOSE!H44,""))</f>
        <v>O</v>
      </c>
      <c r="I18" s="908" t="str">
        <f>TRIM(IF(TRANSPOSE!I44&lt;&gt;"",TRANSPOSE!I44,""))</f>
        <v>O</v>
      </c>
      <c r="J18" s="908" t="str">
        <f>TRIM(IF(TRANSPOSE!J44&lt;&gt;"",TRANSPOSE!J44,""))</f>
        <v/>
      </c>
      <c r="K18" s="908" t="str">
        <f>TRIM(IF(TRANSPOSE!K44&lt;&gt;"",TRANSPOSE!K44,""))</f>
        <v/>
      </c>
      <c r="L18" s="908" t="str">
        <f>TRIM(IF(TRANSPOSE!L44&lt;&gt;"",TRANSPOSE!L44,""))</f>
        <v/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25">
      <c r="A19" s="1418"/>
      <c r="B19" s="730">
        <v>4</v>
      </c>
      <c r="C19" s="907" t="str">
        <f>TRIM(IF(TRANSPOSE!C45&lt;&gt;"",TRANSPOSE!C45,""))</f>
        <v>O</v>
      </c>
      <c r="D19" s="908" t="str">
        <f>TRIM(IF(TRANSPOSE!D45&lt;&gt;"",TRANSPOSE!D45,""))</f>
        <v>O</v>
      </c>
      <c r="E19" s="908" t="str">
        <f>TRIM(IF(TRANSPOSE!E45&lt;&gt;"",TRANSPOSE!E45,""))</f>
        <v>O</v>
      </c>
      <c r="F19" s="908" t="str">
        <f>TRIM(IF(TRANSPOSE!F45&lt;&gt;"",TRANSPOSE!F45,""))</f>
        <v>O</v>
      </c>
      <c r="G19" s="908" t="str">
        <f>TRIM(IF(TRANSPOSE!G45&lt;&gt;"",TRANSPOSE!G45,""))</f>
        <v>O</v>
      </c>
      <c r="H19" s="908" t="str">
        <f>TRIM(IF(TRANSPOSE!H45&lt;&gt;"",TRANSPOSE!H45,""))</f>
        <v>O</v>
      </c>
      <c r="I19" s="908" t="str">
        <f>TRIM(IF(TRANSPOSE!I45&lt;&gt;"",TRANSPOSE!I45,""))</f>
        <v>O</v>
      </c>
      <c r="J19" s="908" t="str">
        <f>TRIM(IF(TRANSPOSE!J45&lt;&gt;"",TRANSPOSE!J45,""))</f>
        <v>O</v>
      </c>
      <c r="K19" s="908" t="str">
        <f>TRIM(IF(TRANSPOSE!K45&lt;&gt;"",TRANSPOSE!K45,""))</f>
        <v/>
      </c>
      <c r="L19" s="908" t="str">
        <f>TRIM(IF(TRANSPOSE!L45&lt;&gt;"",TRANSPOSE!L45,""))</f>
        <v/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2</v>
      </c>
    </row>
    <row r="20" spans="1:57" ht="12" customHeight="1" x14ac:dyDescent="0.25">
      <c r="A20" s="1418"/>
      <c r="B20" s="730">
        <v>5</v>
      </c>
      <c r="C20" s="907" t="str">
        <f>TRIM(IF(TRANSPOSE!C46&lt;&gt;"",TRANSPOSE!C46,""))</f>
        <v>O</v>
      </c>
      <c r="D20" s="908" t="str">
        <f>TRIM(IF(TRANSPOSE!D46&lt;&gt;"",TRANSPOSE!D46,""))</f>
        <v>R</v>
      </c>
      <c r="E20" s="908" t="str">
        <f>TRIM(IF(TRANSPOSE!E46&lt;&gt;"",TRANSPOSE!E46,""))</f>
        <v>O</v>
      </c>
      <c r="F20" s="908" t="str">
        <f>TRIM(IF(TRANSPOSE!F46&lt;&gt;"",TRANSPOSE!F46,""))</f>
        <v>O</v>
      </c>
      <c r="G20" s="908" t="str">
        <f>TRIM(IF(TRANSPOSE!G46&lt;&gt;"",TRANSPOSE!G46,""))</f>
        <v>O</v>
      </c>
      <c r="H20" s="908" t="str">
        <f>TRIM(IF(TRANSPOSE!H46&lt;&gt;"",TRANSPOSE!H46,""))</f>
        <v/>
      </c>
      <c r="I20" s="908" t="str">
        <f>TRIM(IF(TRANSPOSE!I46&lt;&gt;"",TRANSPOSE!I46,""))</f>
        <v/>
      </c>
      <c r="J20" s="908" t="str">
        <f>TRIM(IF(TRANSPOSE!J46&lt;&gt;"",TRANSPOSE!J46,""))</f>
        <v/>
      </c>
      <c r="K20" s="908" t="str">
        <f>TRIM(IF(TRANSPOSE!K46&lt;&gt;"",TRANSPOSE!K46,""))</f>
        <v/>
      </c>
      <c r="L20" s="908" t="str">
        <f>TRIM(IF(TRANSPOSE!L46&lt;&gt;"",TRANSPOSE!L46,""))</f>
        <v/>
      </c>
      <c r="M20" s="908" t="str">
        <f>TRIM(IF(TRANSPOSE!M46&lt;&gt;"",TRANSPOSE!M46,""))</f>
        <v/>
      </c>
      <c r="N20" s="908" t="str">
        <f>TRIM(IF(TRANSPOSE!N46&lt;&gt;"",TRANSPOSE!N46,""))</f>
        <v/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31</v>
      </c>
    </row>
    <row r="21" spans="1:57" ht="12" customHeight="1" x14ac:dyDescent="0.25">
      <c r="A21" s="1418"/>
      <c r="B21" s="730">
        <v>6</v>
      </c>
      <c r="C21" s="907" t="str">
        <f>TRIM(IF(TRANSPOSE!C47&lt;&gt;"",TRANSPOSE!C47,""))</f>
        <v/>
      </c>
      <c r="D21" s="908" t="str">
        <f>TRIM(IF(TRANSPOSE!D47&lt;&gt;"",TRANSPOSE!D47,""))</f>
        <v/>
      </c>
      <c r="E21" s="908" t="str">
        <f>TRIM(IF(TRANSPOSE!E47&lt;&gt;"",TRANSPOSE!E47,""))</f>
        <v/>
      </c>
      <c r="F21" s="908" t="str">
        <f>TRIM(IF(TRANSPOSE!F47&lt;&gt;"",TRANSPOSE!F47,""))</f>
        <v/>
      </c>
      <c r="G21" s="908" t="str">
        <f>TRIM(IF(TRANSPOSE!G47&lt;&gt;"",TRANSPOSE!G47,""))</f>
        <v/>
      </c>
      <c r="H21" s="908" t="str">
        <f>TRIM(IF(TRANSPOSE!H47&lt;&gt;"",TRANSPOSE!H47,""))</f>
        <v/>
      </c>
      <c r="I21" s="908" t="str">
        <f>TRIM(IF(TRANSPOSE!I47&lt;&gt;"",TRANSPOSE!I47,""))</f>
        <v/>
      </c>
      <c r="J21" s="908" t="str">
        <f>TRIM(IF(TRANSPOSE!J47&lt;&gt;"",TRANSPOSE!J47,""))</f>
        <v/>
      </c>
      <c r="K21" s="908" t="str">
        <f>TRIM(IF(TRANSPOSE!K47&lt;&gt;"",TRANSPOSE!K47,""))</f>
        <v/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0</v>
      </c>
    </row>
    <row r="22" spans="1:57" ht="12" customHeight="1" x14ac:dyDescent="0.25">
      <c r="A22" s="1418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25">
      <c r="A23" s="1418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25">
      <c r="A24" s="1418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25">
      <c r="A25" s="1418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3">
      <c r="A26" s="1418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3">
      <c r="A27" s="1419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364" t="s">
        <v>1793</v>
      </c>
      <c r="AQ27" s="1365"/>
      <c r="AR27" s="1365"/>
      <c r="AS27" s="1365"/>
      <c r="AT27" s="1365"/>
      <c r="AU27" s="1365"/>
      <c r="AV27" s="1360" t="str">
        <f>IF(Data!B7="SAUDI ARAMCO",IF(Data!B14&lt;&gt;"",Data!B14,"")&amp;"  "&amp;IF(Data!B14&lt;&gt;"N/A",IF(Data!B15&lt;&gt;"",TEXT(Data!B15,"MM/DD/YYYY"),""),""),"")</f>
        <v/>
      </c>
      <c r="AW27" s="1360"/>
      <c r="AX27" s="1360"/>
      <c r="AY27" s="1360"/>
      <c r="AZ27" s="1360"/>
      <c r="BA27" s="1360"/>
      <c r="BB27" s="1360"/>
      <c r="BC27" s="1360"/>
      <c r="BD27" s="1360"/>
      <c r="BE27" s="1361"/>
    </row>
    <row r="28" spans="1:57" ht="6" customHeight="1" thickBot="1" x14ac:dyDescent="0.3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366"/>
      <c r="AQ28" s="1367"/>
      <c r="AR28" s="1367"/>
      <c r="AS28" s="1367"/>
      <c r="AT28" s="1367"/>
      <c r="AU28" s="1367"/>
      <c r="AV28" s="1362"/>
      <c r="AW28" s="1362"/>
      <c r="AX28" s="1362"/>
      <c r="AY28" s="1362"/>
      <c r="AZ28" s="1362"/>
      <c r="BA28" s="1362"/>
      <c r="BB28" s="1362"/>
      <c r="BC28" s="1362"/>
      <c r="BD28" s="1362"/>
      <c r="BE28" s="1363"/>
    </row>
    <row r="29" spans="1:57" ht="13.5" customHeight="1" x14ac:dyDescent="0.25">
      <c r="A29" s="1377" t="s">
        <v>795</v>
      </c>
      <c r="B29" s="1377"/>
      <c r="C29" s="1377"/>
      <c r="D29" s="1377"/>
      <c r="E29" s="1378" t="str">
        <f>IF(Data!B11&lt;&gt;"",Data!B11,"")</f>
        <v>Yakoob Alajawad</v>
      </c>
      <c r="F29" s="1378"/>
      <c r="G29" s="1378"/>
      <c r="H29" s="1378"/>
      <c r="I29" s="1378"/>
      <c r="J29" s="1378"/>
      <c r="K29" s="1377" t="s">
        <v>1506</v>
      </c>
      <c r="L29" s="1377"/>
      <c r="M29" s="1379" t="str">
        <f>IF(Data!B12&lt;&gt;"",Data!B12,"")</f>
        <v>Ramzi Kassab</v>
      </c>
      <c r="N29" s="1379"/>
      <c r="O29" s="1379"/>
      <c r="P29" s="1379"/>
      <c r="Q29" s="1379"/>
      <c r="R29" s="1379"/>
      <c r="S29" s="1379"/>
      <c r="T29" s="1384" t="s">
        <v>36</v>
      </c>
      <c r="U29" s="1384"/>
      <c r="V29" s="1384"/>
      <c r="W29" s="1380">
        <f>IF(Data!B13&lt;&gt;"",Data!B13,"")</f>
        <v>46035</v>
      </c>
      <c r="X29" s="1380"/>
      <c r="Y29" s="1380"/>
      <c r="Z29" s="1380"/>
      <c r="AA29" s="1380"/>
      <c r="AB29" s="1380"/>
    </row>
    <row r="30" spans="1:57" ht="6" customHeight="1" thickBot="1" x14ac:dyDescent="0.3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3">
      <c r="A31" s="1318" t="s">
        <v>1507</v>
      </c>
      <c r="B31" s="1320"/>
      <c r="C31" s="1320"/>
      <c r="D31" s="1320"/>
      <c r="E31" s="1320"/>
      <c r="F31" s="1320"/>
      <c r="G31" s="1319"/>
      <c r="H31" s="1318" t="s">
        <v>1508</v>
      </c>
      <c r="I31" s="1320"/>
      <c r="J31" s="1320"/>
      <c r="K31" s="1319"/>
      <c r="L31" s="1318" t="s">
        <v>1509</v>
      </c>
      <c r="M31" s="1320"/>
      <c r="N31" s="1320"/>
      <c r="O31" s="1319"/>
      <c r="P31" s="1318" t="s">
        <v>1510</v>
      </c>
      <c r="Q31" s="1320"/>
      <c r="R31" s="1320"/>
      <c r="S31" s="1320"/>
      <c r="T31" s="1319"/>
    </row>
    <row r="32" spans="1:57" ht="12.75" customHeight="1" thickBot="1" x14ac:dyDescent="0.3">
      <c r="A32" s="1346">
        <f>COUNTIF($C$16:$AJ$27,"R")</f>
        <v>2</v>
      </c>
      <c r="B32" s="1347"/>
      <c r="C32" s="1347"/>
      <c r="D32" s="1347"/>
      <c r="E32" s="1347"/>
      <c r="F32" s="1347"/>
      <c r="G32" s="1348"/>
      <c r="H32" s="1346">
        <f>COUNTIF($C$16:$AJ$27,"O")</f>
        <v>31</v>
      </c>
      <c r="I32" s="1347"/>
      <c r="J32" s="1347"/>
      <c r="K32" s="1348"/>
      <c r="L32" s="1346">
        <f>COUNTIF($C$16:$AJ$27,"X")</f>
        <v>0</v>
      </c>
      <c r="M32" s="1347"/>
      <c r="N32" s="1347"/>
      <c r="O32" s="1348"/>
      <c r="P32" s="1349">
        <f>IF(Data!O29&lt;&gt;"",Data!O29,"")</f>
        <v>33</v>
      </c>
      <c r="Q32" s="1350"/>
      <c r="R32" s="1350"/>
      <c r="S32" s="1350"/>
      <c r="T32" s="1351"/>
    </row>
    <row r="33" spans="1:41" ht="12.75" customHeight="1" thickBot="1" x14ac:dyDescent="0.3">
      <c r="A33" s="1370" t="s">
        <v>1875</v>
      </c>
      <c r="B33" s="1371"/>
      <c r="C33" s="1371"/>
      <c r="D33" s="1371"/>
      <c r="E33" s="1371"/>
      <c r="F33" s="1371"/>
      <c r="G33" s="1371"/>
      <c r="H33" s="1371"/>
      <c r="I33" s="1371"/>
      <c r="J33" s="1371"/>
      <c r="K33" s="1371"/>
      <c r="L33" s="1371"/>
      <c r="M33" s="1371"/>
      <c r="N33" s="1371"/>
      <c r="O33" s="1371"/>
      <c r="P33" s="1371"/>
      <c r="Q33" s="1371"/>
      <c r="R33" s="1371"/>
      <c r="S33" s="1371"/>
      <c r="T33" s="1371"/>
      <c r="U33" s="1371"/>
      <c r="V33" s="1371"/>
      <c r="W33" s="1371"/>
      <c r="X33" s="1371"/>
      <c r="Y33" s="1371"/>
      <c r="Z33" s="1371"/>
      <c r="AA33" s="1371"/>
      <c r="AB33" s="1371"/>
      <c r="AC33" s="1371"/>
      <c r="AD33" s="1371"/>
      <c r="AE33" s="1371"/>
      <c r="AF33" s="1371"/>
      <c r="AG33" s="1371"/>
      <c r="AH33" s="1371"/>
      <c r="AI33" s="1371"/>
      <c r="AJ33" s="1372"/>
    </row>
    <row r="34" spans="1:41" ht="9.75" customHeight="1" x14ac:dyDescent="0.25">
      <c r="A34" s="1373" t="s">
        <v>1911</v>
      </c>
      <c r="B34" s="1374"/>
      <c r="C34" s="1374"/>
      <c r="D34" s="1374"/>
      <c r="E34" s="1374"/>
      <c r="F34" s="1374"/>
      <c r="G34" s="1374"/>
      <c r="H34" s="1374"/>
      <c r="I34" s="1374"/>
      <c r="J34" s="1374"/>
      <c r="K34" s="1374"/>
      <c r="L34" s="1374"/>
      <c r="M34" s="1374"/>
      <c r="N34" s="1374"/>
      <c r="O34" s="1374"/>
      <c r="P34" s="1374"/>
      <c r="Q34" s="1374"/>
      <c r="R34" s="1374"/>
      <c r="S34" s="1374"/>
      <c r="T34" s="1374"/>
      <c r="U34" s="1374"/>
      <c r="V34" s="1374"/>
      <c r="W34" s="1374"/>
      <c r="X34" s="1374"/>
      <c r="Y34" s="1374"/>
      <c r="Z34" s="1374"/>
      <c r="AA34" s="1374"/>
      <c r="AB34" s="1375"/>
      <c r="AC34" s="1368" t="s">
        <v>1877</v>
      </c>
      <c r="AD34" s="1368"/>
      <c r="AE34" s="1368"/>
      <c r="AF34" s="1368"/>
      <c r="AG34" s="1368"/>
      <c r="AH34" s="1368"/>
      <c r="AI34" s="1368"/>
      <c r="AJ34" s="1369"/>
    </row>
    <row r="35" spans="1:41" ht="11.25" customHeight="1" x14ac:dyDescent="0.25">
      <c r="A35" s="1275" t="s">
        <v>1878</v>
      </c>
      <c r="B35" s="1276"/>
      <c r="C35" s="1276"/>
      <c r="D35" s="1276"/>
      <c r="E35" s="1308" t="s">
        <v>2532</v>
      </c>
      <c r="F35" s="1308"/>
      <c r="G35" s="1308"/>
      <c r="H35" s="1308"/>
      <c r="I35" s="1308"/>
      <c r="J35" s="1308"/>
      <c r="K35" s="1308"/>
      <c r="L35" s="1308"/>
      <c r="M35" s="1308"/>
      <c r="N35" s="1308"/>
      <c r="O35" s="1308"/>
      <c r="P35" s="1308"/>
      <c r="Q35" s="1308"/>
      <c r="R35" s="1308"/>
      <c r="S35" s="1308"/>
      <c r="T35" s="1308"/>
      <c r="U35" s="1308"/>
      <c r="V35" s="1308"/>
      <c r="W35" s="1308"/>
      <c r="X35" s="1308"/>
      <c r="Y35" s="1308"/>
      <c r="Z35" s="1308"/>
      <c r="AA35" s="1308"/>
      <c r="AB35" s="1308"/>
      <c r="AC35" s="1309" t="s">
        <v>847</v>
      </c>
      <c r="AD35" s="1309"/>
      <c r="AE35" s="1309"/>
      <c r="AF35" s="1309"/>
      <c r="AG35" s="1309"/>
      <c r="AH35" s="1309"/>
      <c r="AI35" s="1310" t="str">
        <f>IF(Data!B7="SAUDI ARAMCO",IF(AND(Data!L5&lt;&gt;1,Data!L6=1),"√",""),"")</f>
        <v/>
      </c>
      <c r="AJ35" s="1311"/>
    </row>
    <row r="36" spans="1:41" ht="11.25" customHeight="1" x14ac:dyDescent="0.25">
      <c r="A36" s="1275"/>
      <c r="B36" s="1276"/>
      <c r="C36" s="1276"/>
      <c r="D36" s="1276"/>
      <c r="E36" s="1308"/>
      <c r="F36" s="1308"/>
      <c r="G36" s="1308"/>
      <c r="H36" s="1308"/>
      <c r="I36" s="1308"/>
      <c r="J36" s="1308"/>
      <c r="K36" s="1308"/>
      <c r="L36" s="1308"/>
      <c r="M36" s="1308"/>
      <c r="N36" s="1308"/>
      <c r="O36" s="1308"/>
      <c r="P36" s="1308"/>
      <c r="Q36" s="1308"/>
      <c r="R36" s="1308"/>
      <c r="S36" s="1308"/>
      <c r="T36" s="1308"/>
      <c r="U36" s="1308"/>
      <c r="V36" s="1308"/>
      <c r="W36" s="1308"/>
      <c r="X36" s="1308"/>
      <c r="Y36" s="1308"/>
      <c r="Z36" s="1308"/>
      <c r="AA36" s="1308"/>
      <c r="AB36" s="1308"/>
      <c r="AC36" s="1309" t="s">
        <v>1876</v>
      </c>
      <c r="AD36" s="1309"/>
      <c r="AE36" s="1309"/>
      <c r="AF36" s="1309"/>
      <c r="AG36" s="1309"/>
      <c r="AH36" s="1309"/>
      <c r="AI36" s="1310" t="str">
        <f>IF(Data!B7="SAUDI ARAMCO",IF(Data!L5=1,"√",""),"")</f>
        <v/>
      </c>
      <c r="AJ36" s="1311"/>
    </row>
    <row r="37" spans="1:41" ht="11.25" customHeight="1" x14ac:dyDescent="0.25">
      <c r="A37" s="1275" t="s">
        <v>19</v>
      </c>
      <c r="B37" s="1276"/>
      <c r="C37" s="1276"/>
      <c r="D37" s="1276"/>
      <c r="E37" s="1277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Re-evaluated by Engineer. Pin face erosion.</v>
      </c>
      <c r="F37" s="1277"/>
      <c r="G37" s="1277"/>
      <c r="H37" s="1277"/>
      <c r="I37" s="1277"/>
      <c r="J37" s="1277"/>
      <c r="K37" s="1277"/>
      <c r="L37" s="1277"/>
      <c r="M37" s="1277"/>
      <c r="N37" s="1277"/>
      <c r="O37" s="1277"/>
      <c r="P37" s="1277"/>
      <c r="Q37" s="1277"/>
      <c r="R37" s="1277"/>
      <c r="S37" s="1277"/>
      <c r="T37" s="1277"/>
      <c r="U37" s="1277"/>
      <c r="V37" s="1277"/>
      <c r="W37" s="1277"/>
      <c r="X37" s="1277"/>
      <c r="Y37" s="1277"/>
      <c r="Z37" s="1277"/>
      <c r="AA37" s="1277"/>
      <c r="AB37" s="1277"/>
      <c r="AC37" s="1277"/>
      <c r="AD37" s="1277"/>
      <c r="AE37" s="1277"/>
      <c r="AF37" s="1277"/>
      <c r="AG37" s="1277"/>
      <c r="AH37" s="1277"/>
      <c r="AI37" s="1277"/>
      <c r="AJ37" s="1278"/>
    </row>
    <row r="38" spans="1:41" ht="11.25" customHeight="1" x14ac:dyDescent="0.25">
      <c r="A38" s="1275"/>
      <c r="B38" s="1276"/>
      <c r="C38" s="1276"/>
      <c r="D38" s="1276"/>
      <c r="E38" s="1277"/>
      <c r="F38" s="1277"/>
      <c r="G38" s="1277"/>
      <c r="H38" s="1277"/>
      <c r="I38" s="1277"/>
      <c r="J38" s="1277"/>
      <c r="K38" s="1277"/>
      <c r="L38" s="1277"/>
      <c r="M38" s="1277"/>
      <c r="N38" s="1277"/>
      <c r="O38" s="1277"/>
      <c r="P38" s="1277"/>
      <c r="Q38" s="1277"/>
      <c r="R38" s="1277"/>
      <c r="S38" s="1277"/>
      <c r="T38" s="1277"/>
      <c r="U38" s="1277"/>
      <c r="V38" s="1277"/>
      <c r="W38" s="1277"/>
      <c r="X38" s="1277"/>
      <c r="Y38" s="1277"/>
      <c r="Z38" s="1277"/>
      <c r="AA38" s="1277"/>
      <c r="AB38" s="1277"/>
      <c r="AC38" s="1277"/>
      <c r="AD38" s="1277"/>
      <c r="AE38" s="1277"/>
      <c r="AF38" s="1277"/>
      <c r="AG38" s="1277"/>
      <c r="AH38" s="1277"/>
      <c r="AI38" s="1277"/>
      <c r="AJ38" s="1278"/>
    </row>
    <row r="39" spans="1:41" ht="11.25" customHeight="1" x14ac:dyDescent="0.25">
      <c r="A39" s="1275"/>
      <c r="B39" s="1276"/>
      <c r="C39" s="1276"/>
      <c r="D39" s="1276"/>
      <c r="E39" s="1277"/>
      <c r="F39" s="1277"/>
      <c r="G39" s="1277"/>
      <c r="H39" s="1277"/>
      <c r="I39" s="1277"/>
      <c r="J39" s="1277"/>
      <c r="K39" s="1277"/>
      <c r="L39" s="1277"/>
      <c r="M39" s="1277"/>
      <c r="N39" s="1277"/>
      <c r="O39" s="1277"/>
      <c r="P39" s="1277"/>
      <c r="Q39" s="1277"/>
      <c r="R39" s="1277"/>
      <c r="S39" s="1277"/>
      <c r="T39" s="1277"/>
      <c r="U39" s="1277"/>
      <c r="V39" s="1277"/>
      <c r="W39" s="1277"/>
      <c r="X39" s="1277"/>
      <c r="Y39" s="1277"/>
      <c r="Z39" s="1277"/>
      <c r="AA39" s="1277"/>
      <c r="AB39" s="1277"/>
      <c r="AC39" s="1277"/>
      <c r="AD39" s="1277"/>
      <c r="AE39" s="1277"/>
      <c r="AF39" s="1277"/>
      <c r="AG39" s="1277"/>
      <c r="AH39" s="1277"/>
      <c r="AI39" s="1277"/>
      <c r="AJ39" s="1278"/>
    </row>
    <row r="40" spans="1:41" ht="20.25" customHeight="1" thickBot="1" x14ac:dyDescent="0.3">
      <c r="A40" s="1270" t="s">
        <v>1880</v>
      </c>
      <c r="B40" s="1271"/>
      <c r="C40" s="1271"/>
      <c r="D40" s="1271"/>
      <c r="E40" s="1272"/>
      <c r="F40" s="1272"/>
      <c r="G40" s="1272"/>
      <c r="H40" s="1272"/>
      <c r="I40" s="1272"/>
      <c r="J40" s="1272"/>
      <c r="K40" s="1272"/>
      <c r="L40" s="1272"/>
      <c r="M40" s="1272"/>
      <c r="N40" s="1272"/>
      <c r="O40" s="1272"/>
      <c r="P40" s="1272"/>
      <c r="Q40" s="1272"/>
      <c r="R40" s="1272"/>
      <c r="S40" s="1271" t="s">
        <v>1079</v>
      </c>
      <c r="T40" s="1271"/>
      <c r="U40" s="1271"/>
      <c r="V40" s="1271"/>
      <c r="W40" s="1271"/>
      <c r="X40" s="1273"/>
      <c r="Y40" s="1273"/>
      <c r="Z40" s="1273"/>
      <c r="AA40" s="1273"/>
      <c r="AB40" s="1273"/>
      <c r="AC40" s="1273"/>
      <c r="AD40" s="1273"/>
      <c r="AE40" s="1273"/>
      <c r="AF40" s="1273"/>
      <c r="AG40" s="1273"/>
      <c r="AH40" s="1273"/>
      <c r="AI40" s="1273"/>
      <c r="AJ40" s="1274"/>
    </row>
    <row r="41" spans="1:41" ht="13.5" customHeight="1" thickBot="1" x14ac:dyDescent="0.3">
      <c r="A41" s="1318" t="s">
        <v>1086</v>
      </c>
      <c r="B41" s="1320"/>
      <c r="C41" s="1320"/>
      <c r="D41" s="1320"/>
      <c r="E41" s="1320"/>
      <c r="F41" s="1320"/>
      <c r="G41" s="1320"/>
      <c r="H41" s="1320"/>
      <c r="I41" s="1352">
        <f>IF(SUM(T46:U53)=L32,L32,"Check Replace Cutter Qty")</f>
        <v>0</v>
      </c>
      <c r="J41" s="1352"/>
      <c r="K41" s="1352"/>
      <c r="L41" s="1352"/>
      <c r="M41" s="1352"/>
      <c r="N41" s="1352"/>
      <c r="O41" s="1352"/>
      <c r="P41" s="1352"/>
      <c r="Q41" s="1352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3">
      <c r="A42" s="1318" t="s">
        <v>109</v>
      </c>
      <c r="B42" s="1320"/>
      <c r="C42" s="1320"/>
      <c r="D42" s="1320"/>
      <c r="E42" s="1320"/>
      <c r="F42" s="1320"/>
      <c r="G42" s="1320"/>
      <c r="H42" s="1320"/>
      <c r="I42" s="1320"/>
      <c r="J42" s="1320"/>
      <c r="K42" s="1320"/>
      <c r="L42" s="1320"/>
      <c r="M42" s="1320"/>
      <c r="N42" s="1320"/>
      <c r="O42" s="1320"/>
      <c r="P42" s="1320"/>
      <c r="Q42" s="1320"/>
      <c r="R42" s="1320"/>
      <c r="S42" s="1320"/>
      <c r="T42" s="1320"/>
      <c r="U42" s="1320"/>
      <c r="V42" s="1320"/>
      <c r="W42" s="1320"/>
      <c r="X42" s="1320"/>
      <c r="Y42" s="1320"/>
      <c r="Z42" s="1320"/>
      <c r="AA42" s="1320"/>
      <c r="AB42" s="1320"/>
      <c r="AC42" s="1320"/>
      <c r="AD42" s="1320"/>
      <c r="AE42" s="1320"/>
      <c r="AF42" s="1320"/>
      <c r="AG42" s="1320"/>
      <c r="AH42" s="1320"/>
      <c r="AI42" s="1320"/>
      <c r="AJ42" s="1319"/>
    </row>
    <row r="43" spans="1:41" ht="12" customHeight="1" thickBot="1" x14ac:dyDescent="0.3">
      <c r="A43" s="1318" t="s">
        <v>1511</v>
      </c>
      <c r="B43" s="1320"/>
      <c r="C43" s="1320"/>
      <c r="D43" s="1320"/>
      <c r="E43" s="1320"/>
      <c r="F43" s="1320"/>
      <c r="G43" s="1320"/>
      <c r="H43" s="1320"/>
      <c r="I43" s="1320"/>
      <c r="J43" s="1320"/>
      <c r="K43" s="1320"/>
      <c r="L43" s="1320"/>
      <c r="M43" s="1320"/>
      <c r="N43" s="1320"/>
      <c r="O43" s="1319"/>
      <c r="P43" s="1353" t="s">
        <v>1512</v>
      </c>
      <c r="Q43" s="1354"/>
      <c r="R43" s="1354"/>
      <c r="S43" s="1354"/>
      <c r="T43" s="1340" t="s">
        <v>4</v>
      </c>
      <c r="U43" s="1342"/>
      <c r="V43" s="1340" t="s">
        <v>71</v>
      </c>
      <c r="W43" s="1342"/>
      <c r="X43" s="1349" t="s">
        <v>16</v>
      </c>
      <c r="Y43" s="1350"/>
      <c r="Z43" s="1349" t="s">
        <v>21</v>
      </c>
      <c r="AA43" s="1350"/>
      <c r="AB43" s="1350"/>
      <c r="AC43" s="1340" t="s">
        <v>44</v>
      </c>
      <c r="AD43" s="1341"/>
      <c r="AE43" s="1341"/>
      <c r="AF43" s="1341"/>
      <c r="AG43" s="1341"/>
      <c r="AH43" s="1341"/>
      <c r="AI43" s="1341"/>
      <c r="AJ43" s="1342"/>
    </row>
    <row r="44" spans="1:41" ht="12" customHeight="1" thickBot="1" x14ac:dyDescent="0.3">
      <c r="A44" s="1357" t="s">
        <v>6</v>
      </c>
      <c r="B44" s="1359"/>
      <c r="C44" s="1318" t="s">
        <v>43</v>
      </c>
      <c r="D44" s="1320"/>
      <c r="E44" s="1320"/>
      <c r="F44" s="1320"/>
      <c r="G44" s="1320"/>
      <c r="H44" s="1320"/>
      <c r="I44" s="1320"/>
      <c r="J44" s="1320"/>
      <c r="K44" s="1320"/>
      <c r="L44" s="1320"/>
      <c r="M44" s="1320"/>
      <c r="N44" s="1320"/>
      <c r="O44" s="1319"/>
      <c r="P44" s="1355"/>
      <c r="Q44" s="1356"/>
      <c r="R44" s="1356"/>
      <c r="S44" s="1356"/>
      <c r="T44" s="1343"/>
      <c r="U44" s="1345"/>
      <c r="V44" s="1343"/>
      <c r="W44" s="1345"/>
      <c r="X44" s="1357"/>
      <c r="Y44" s="1358"/>
      <c r="Z44" s="1357"/>
      <c r="AA44" s="1358"/>
      <c r="AB44" s="1358"/>
      <c r="AC44" s="1343"/>
      <c r="AD44" s="1344"/>
      <c r="AE44" s="1344"/>
      <c r="AF44" s="1344"/>
      <c r="AG44" s="1344"/>
      <c r="AH44" s="1344"/>
      <c r="AI44" s="1344"/>
      <c r="AJ44" s="1345"/>
      <c r="AK44" s="931"/>
      <c r="AL44" s="931"/>
      <c r="AM44" s="931"/>
      <c r="AN44" s="931"/>
      <c r="AO44" s="931"/>
    </row>
    <row r="45" spans="1:41" ht="17.25" customHeight="1" x14ac:dyDescent="0.25">
      <c r="A45" s="1327"/>
      <c r="B45" s="1328"/>
      <c r="C45" s="1329" t="str">
        <f>Data!GJ20</f>
        <v>Drill bits Services-Initial Inspection</v>
      </c>
      <c r="D45" s="1330"/>
      <c r="E45" s="1330"/>
      <c r="F45" s="1330"/>
      <c r="G45" s="1330"/>
      <c r="H45" s="1330"/>
      <c r="I45" s="1330"/>
      <c r="J45" s="1330"/>
      <c r="K45" s="1330"/>
      <c r="L45" s="1330"/>
      <c r="M45" s="1330"/>
      <c r="N45" s="1330"/>
      <c r="O45" s="1331"/>
      <c r="P45" s="1326" t="str">
        <f>Data!GF20</f>
        <v>01 - 10</v>
      </c>
      <c r="Q45" s="1326"/>
      <c r="R45" s="1326"/>
      <c r="S45" s="1332"/>
      <c r="T45" s="1333">
        <f>Data!GL20</f>
        <v>1</v>
      </c>
      <c r="U45" s="1334"/>
      <c r="V45" s="1333" t="str">
        <f>Data!GM20</f>
        <v>EA</v>
      </c>
      <c r="W45" s="1334"/>
      <c r="X45" s="1335">
        <f>Data!GN20</f>
        <v>800</v>
      </c>
      <c r="Y45" s="1336"/>
      <c r="Z45" s="1325">
        <f>IFERROR(T45*X45,0)</f>
        <v>800</v>
      </c>
      <c r="AA45" s="1326"/>
      <c r="AB45" s="1326"/>
      <c r="AC45" s="1337"/>
      <c r="AD45" s="1338"/>
      <c r="AE45" s="1338"/>
      <c r="AF45" s="1338"/>
      <c r="AG45" s="1338"/>
      <c r="AH45" s="1338"/>
      <c r="AI45" s="1338"/>
      <c r="AJ45" s="1339"/>
      <c r="AK45" s="931"/>
      <c r="AL45" s="931"/>
      <c r="AM45" s="931"/>
      <c r="AN45" s="931"/>
      <c r="AO45" s="931"/>
    </row>
    <row r="46" spans="1:41" ht="17.25" customHeight="1" x14ac:dyDescent="0.25">
      <c r="A46" s="1288" t="str">
        <f>IF(OR(Data!$L$5=1,Data!$L$6=2),"",IF(Data!$HF21&lt;&gt;"",Data!$HF21,"---"))</f>
        <v>---</v>
      </c>
      <c r="B46" s="1289"/>
      <c r="C46" s="1290" t="str">
        <f>IF(OR(Data!$L$5=1,Data!$L$6=2),"",IF(Data!$HG21&lt;&gt;"",Data!$HG21,"---"))</f>
        <v>---</v>
      </c>
      <c r="D46" s="1291"/>
      <c r="E46" s="1291"/>
      <c r="F46" s="1291"/>
      <c r="G46" s="1291"/>
      <c r="H46" s="1291"/>
      <c r="I46" s="1291"/>
      <c r="J46" s="1291"/>
      <c r="K46" s="1291"/>
      <c r="L46" s="1291"/>
      <c r="M46" s="1291"/>
      <c r="N46" s="1291"/>
      <c r="O46" s="1292"/>
      <c r="P46" s="1280" t="str">
        <f>IF(OR(Data!$L$5=1,Data!$L$6=2),"",IF(Data!$GV21&lt;&gt;"",Data!$GV21,"---"))</f>
        <v>---</v>
      </c>
      <c r="Q46" s="1280"/>
      <c r="R46" s="1280"/>
      <c r="S46" s="1293"/>
      <c r="T46" s="1294" t="str">
        <f>IF(OR(Data!$L$5=1,Data!$L$6=2),"",IF(Data!$HE21&lt;&gt;"",Data!$HE21,"---"))</f>
        <v>---</v>
      </c>
      <c r="U46" s="1295"/>
      <c r="V46" s="1294" t="str">
        <f>IF(OR(Data!$L$5=1,Data!$L$6=2),"",IF(Data!$HC21&lt;&gt;"",Data!$HC21,"---"))</f>
        <v>---</v>
      </c>
      <c r="W46" s="1295"/>
      <c r="X46" s="1323" t="str">
        <f>IF(OR(Data!$L$5=1,Data!$L$6=2),"",IF(Data!$HD21&lt;&gt;"",Data!$HD21,"---"))</f>
        <v>---</v>
      </c>
      <c r="Y46" s="1324"/>
      <c r="Z46" s="1279">
        <f t="shared" ref="Z46:Z55" si="0">IFERROR(T46*X46,0)</f>
        <v>0</v>
      </c>
      <c r="AA46" s="1280"/>
      <c r="AB46" s="1280"/>
      <c r="AC46" s="1312"/>
      <c r="AD46" s="1313"/>
      <c r="AE46" s="1313"/>
      <c r="AF46" s="1313"/>
      <c r="AG46" s="1313"/>
      <c r="AH46" s="1313"/>
      <c r="AI46" s="1313"/>
      <c r="AJ46" s="1314"/>
      <c r="AK46" s="931">
        <f>COUNTIF(C46,"*Cutter*")</f>
        <v>0</v>
      </c>
      <c r="AL46" s="931"/>
      <c r="AM46" s="931"/>
      <c r="AN46" s="931">
        <f>SUMIF(AK46:AK55,1,T46:U55)</f>
        <v>0</v>
      </c>
      <c r="AO46" s="931"/>
    </row>
    <row r="47" spans="1:41" ht="17.25" customHeight="1" x14ac:dyDescent="0.25">
      <c r="A47" s="1288" t="str">
        <f>IF(OR(Data!$L$5=1,Data!$L$6=2),"",IF(Data!$HF22&lt;&gt;"",Data!$HF22,"---"))</f>
        <v>---</v>
      </c>
      <c r="B47" s="1289"/>
      <c r="C47" s="1290" t="str">
        <f>IF(OR(Data!$L$5=1,Data!$L$6=2),"",IF(Data!$HG22&lt;&gt;"",Data!$HG22,"---"))</f>
        <v>---</v>
      </c>
      <c r="D47" s="1291"/>
      <c r="E47" s="1291"/>
      <c r="F47" s="1291"/>
      <c r="G47" s="1291"/>
      <c r="H47" s="1291"/>
      <c r="I47" s="1291"/>
      <c r="J47" s="1291"/>
      <c r="K47" s="1291"/>
      <c r="L47" s="1291"/>
      <c r="M47" s="1291"/>
      <c r="N47" s="1291"/>
      <c r="O47" s="1292"/>
      <c r="P47" s="1280" t="str">
        <f>IF(OR(Data!$L$5=1,Data!$L$6=2),"",IF(Data!$GV22&lt;&gt;"",Data!$GV22,"---"))</f>
        <v>---</v>
      </c>
      <c r="Q47" s="1280"/>
      <c r="R47" s="1280"/>
      <c r="S47" s="1293"/>
      <c r="T47" s="1294" t="str">
        <f>IF(OR(Data!$L$5=1,Data!$L$6=2),"",IF(Data!$HE22&lt;&gt;"",Data!$HE22,"---"))</f>
        <v>---</v>
      </c>
      <c r="U47" s="1295"/>
      <c r="V47" s="1294" t="str">
        <f>IF(OR(Data!$L$5=1,Data!$L$6=2),"",IF(Data!$HC22&lt;&gt;"",Data!$HC22,"---"))</f>
        <v>---</v>
      </c>
      <c r="W47" s="1295"/>
      <c r="X47" s="1323" t="str">
        <f>IF(OR(Data!$L$5=1,Data!$L$6=2),"",IF(Data!$HD22&lt;&gt;"",Data!$HD22,"---"))</f>
        <v>---</v>
      </c>
      <c r="Y47" s="1324"/>
      <c r="Z47" s="1279">
        <f t="shared" si="0"/>
        <v>0</v>
      </c>
      <c r="AA47" s="1280"/>
      <c r="AB47" s="1280"/>
      <c r="AC47" s="1312"/>
      <c r="AD47" s="1313"/>
      <c r="AE47" s="1313"/>
      <c r="AF47" s="1313"/>
      <c r="AG47" s="1313"/>
      <c r="AH47" s="1313"/>
      <c r="AI47" s="1313"/>
      <c r="AJ47" s="1314"/>
      <c r="AK47" s="931">
        <f t="shared" ref="AK47:AK55" si="1">COUNTIF(C47,"*Cutter*")</f>
        <v>0</v>
      </c>
      <c r="AL47" s="931"/>
      <c r="AM47" s="931"/>
      <c r="AN47" s="931"/>
      <c r="AO47" s="931"/>
    </row>
    <row r="48" spans="1:41" ht="15.75" customHeight="1" x14ac:dyDescent="0.25">
      <c r="A48" s="1288" t="str">
        <f>IF(OR(Data!$L$5=1,Data!$L$6=2),"",IF(Data!$HF23&lt;&gt;"",Data!$HF23,"---"))</f>
        <v>---</v>
      </c>
      <c r="B48" s="1289"/>
      <c r="C48" s="1290" t="str">
        <f>IF(OR(Data!$L$5=1,Data!$L$6=2),"",IF(Data!$HG23&lt;&gt;"",Data!$HG23,"---"))</f>
        <v>---</v>
      </c>
      <c r="D48" s="1291"/>
      <c r="E48" s="1291"/>
      <c r="F48" s="1291"/>
      <c r="G48" s="1291"/>
      <c r="H48" s="1291"/>
      <c r="I48" s="1291"/>
      <c r="J48" s="1291"/>
      <c r="K48" s="1291"/>
      <c r="L48" s="1291"/>
      <c r="M48" s="1291"/>
      <c r="N48" s="1291"/>
      <c r="O48" s="1292"/>
      <c r="P48" s="1280" t="str">
        <f>IF(OR(Data!$L$5=1,Data!$L$6=2),"",IF(Data!$GV23&lt;&gt;"",Data!$GV23,"---"))</f>
        <v>---</v>
      </c>
      <c r="Q48" s="1280"/>
      <c r="R48" s="1280"/>
      <c r="S48" s="1293"/>
      <c r="T48" s="1294" t="str">
        <f>IF(OR(Data!$L$5=1,Data!$L$6=2),"",IF(Data!$HE23&lt;&gt;"",Data!$HE23,"---"))</f>
        <v>---</v>
      </c>
      <c r="U48" s="1295"/>
      <c r="V48" s="1294" t="str">
        <f>IF(OR(Data!$L$5=1,Data!$L$6=2),"",IF(Data!$HC23&lt;&gt;"",Data!$HC23,"---"))</f>
        <v>---</v>
      </c>
      <c r="W48" s="1295"/>
      <c r="X48" s="1323" t="str">
        <f>IF(OR(Data!$L$5=1,Data!$L$6=2),"",IF(Data!$HD23&lt;&gt;"",Data!$HD23,"---"))</f>
        <v>---</v>
      </c>
      <c r="Y48" s="1324"/>
      <c r="Z48" s="1279">
        <f t="shared" si="0"/>
        <v>0</v>
      </c>
      <c r="AA48" s="1280"/>
      <c r="AB48" s="1280"/>
      <c r="AC48" s="1312"/>
      <c r="AD48" s="1313"/>
      <c r="AE48" s="1313"/>
      <c r="AF48" s="1313"/>
      <c r="AG48" s="1313"/>
      <c r="AH48" s="1313"/>
      <c r="AI48" s="1313"/>
      <c r="AJ48" s="1314"/>
      <c r="AK48" s="931">
        <f t="shared" si="1"/>
        <v>0</v>
      </c>
      <c r="AL48" s="931"/>
      <c r="AM48" s="931"/>
      <c r="AN48" s="931"/>
      <c r="AO48" s="931"/>
    </row>
    <row r="49" spans="1:48" ht="15.75" customHeight="1" x14ac:dyDescent="0.25">
      <c r="A49" s="1288" t="str">
        <f>IF(OR(Data!$L$5=1,Data!$L$6=2),"",IF(Data!$HF24&lt;&gt;"",Data!$HF24,"---"))</f>
        <v>---</v>
      </c>
      <c r="B49" s="1289"/>
      <c r="C49" s="1290" t="str">
        <f>IF(OR(Data!$L$5=1,Data!$L$6=2),"",IF(Data!$HG24&lt;&gt;"",Data!$HG24,"---"))</f>
        <v>---</v>
      </c>
      <c r="D49" s="1291"/>
      <c r="E49" s="1291"/>
      <c r="F49" s="1291"/>
      <c r="G49" s="1291"/>
      <c r="H49" s="1291"/>
      <c r="I49" s="1291"/>
      <c r="J49" s="1291"/>
      <c r="K49" s="1291"/>
      <c r="L49" s="1291"/>
      <c r="M49" s="1291"/>
      <c r="N49" s="1291"/>
      <c r="O49" s="1292"/>
      <c r="P49" s="1280" t="str">
        <f>IF(OR(Data!$L$5=1,Data!$L$6=2),"",IF(Data!$GV24&lt;&gt;"",Data!$GV24,"---"))</f>
        <v>---</v>
      </c>
      <c r="Q49" s="1280"/>
      <c r="R49" s="1280"/>
      <c r="S49" s="1293"/>
      <c r="T49" s="1294" t="str">
        <f>IF(OR(Data!$L$5=1,Data!$L$6=2),"",IF(Data!$HE24&lt;&gt;"",Data!$HE24,"---"))</f>
        <v>---</v>
      </c>
      <c r="U49" s="1295"/>
      <c r="V49" s="1294" t="str">
        <f>IF(OR(Data!$L$5=1,Data!$L$6=2),"",IF(Data!$HC24&lt;&gt;"",Data!$HC24,"---"))</f>
        <v>---</v>
      </c>
      <c r="W49" s="1295"/>
      <c r="X49" s="1323" t="str">
        <f>IF(OR(Data!$L$5=1,Data!$L$6=2),"",IF(Data!$HD24&lt;&gt;"",Data!$HD24,"---"))</f>
        <v>---</v>
      </c>
      <c r="Y49" s="1324"/>
      <c r="Z49" s="1279">
        <f t="shared" si="0"/>
        <v>0</v>
      </c>
      <c r="AA49" s="1280"/>
      <c r="AB49" s="1280"/>
      <c r="AC49" s="1312"/>
      <c r="AD49" s="1313"/>
      <c r="AE49" s="1313"/>
      <c r="AF49" s="1313"/>
      <c r="AG49" s="1313"/>
      <c r="AH49" s="1313"/>
      <c r="AI49" s="1313"/>
      <c r="AJ49" s="1314"/>
      <c r="AK49" s="931">
        <f t="shared" si="1"/>
        <v>0</v>
      </c>
      <c r="AL49" s="931"/>
      <c r="AM49" s="931"/>
      <c r="AN49" s="931"/>
      <c r="AO49" s="931"/>
    </row>
    <row r="50" spans="1:48" ht="15.75" customHeight="1" x14ac:dyDescent="0.25">
      <c r="A50" s="1288" t="str">
        <f>IF(OR(Data!$L$5=1,Data!$L$6=2),"",IF(Data!$HF25&lt;&gt;"",Data!$HF25,"---"))</f>
        <v>---</v>
      </c>
      <c r="B50" s="1289"/>
      <c r="C50" s="1290" t="str">
        <f>IF(OR(Data!$L$5=1,Data!$L$6=2),"",IF(Data!$HG25&lt;&gt;"",Data!$HG25,"---"))</f>
        <v>---</v>
      </c>
      <c r="D50" s="1291"/>
      <c r="E50" s="1291"/>
      <c r="F50" s="1291"/>
      <c r="G50" s="1291"/>
      <c r="H50" s="1291"/>
      <c r="I50" s="1291"/>
      <c r="J50" s="1291"/>
      <c r="K50" s="1291"/>
      <c r="L50" s="1291"/>
      <c r="M50" s="1291"/>
      <c r="N50" s="1291"/>
      <c r="O50" s="1292"/>
      <c r="P50" s="1280" t="str">
        <f>IF(OR(Data!$L$5=1,Data!$L$6=2),"",IF(Data!$GV25&lt;&gt;"",Data!$GV25,"---"))</f>
        <v>---</v>
      </c>
      <c r="Q50" s="1280"/>
      <c r="R50" s="1280"/>
      <c r="S50" s="1293"/>
      <c r="T50" s="1294" t="str">
        <f>IF(OR(Data!$L$5=1,Data!$L$6=2),"",IF(Data!$HE25&lt;&gt;"",Data!$HE25,"---"))</f>
        <v>---</v>
      </c>
      <c r="U50" s="1295"/>
      <c r="V50" s="1294" t="str">
        <f>IF(OR(Data!$L$5=1,Data!$L$6=2),"",IF(Data!$HC25&lt;&gt;"",Data!$HC25,"---"))</f>
        <v>---</v>
      </c>
      <c r="W50" s="1295"/>
      <c r="X50" s="1323" t="str">
        <f>IF(OR(Data!$L$5=1,Data!$L$6=2),"",IF(Data!$HD25&lt;&gt;"",Data!$HD25,"---"))</f>
        <v>---</v>
      </c>
      <c r="Y50" s="1324"/>
      <c r="Z50" s="1279">
        <f t="shared" si="0"/>
        <v>0</v>
      </c>
      <c r="AA50" s="1280"/>
      <c r="AB50" s="1280"/>
      <c r="AC50" s="1312"/>
      <c r="AD50" s="1313"/>
      <c r="AE50" s="1313"/>
      <c r="AF50" s="1313"/>
      <c r="AG50" s="1313"/>
      <c r="AH50" s="1313"/>
      <c r="AI50" s="1313"/>
      <c r="AJ50" s="1314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25">
      <c r="A51" s="1288" t="str">
        <f>IF(OR(Data!$L$5=1,Data!$L$6=2),"",IF(Data!$HF26&lt;&gt;"",Data!$HF26,"---"))</f>
        <v>---</v>
      </c>
      <c r="B51" s="1289"/>
      <c r="C51" s="1290" t="str">
        <f>IF(OR(Data!$L$5=1,Data!$L$6=2),"",IF(Data!$HG26&lt;&gt;"",Data!$HG26,"---"))</f>
        <v>---</v>
      </c>
      <c r="D51" s="1291"/>
      <c r="E51" s="1291"/>
      <c r="F51" s="1291"/>
      <c r="G51" s="1291"/>
      <c r="H51" s="1291"/>
      <c r="I51" s="1291"/>
      <c r="J51" s="1291"/>
      <c r="K51" s="1291"/>
      <c r="L51" s="1291"/>
      <c r="M51" s="1291"/>
      <c r="N51" s="1291"/>
      <c r="O51" s="1292"/>
      <c r="P51" s="1280" t="str">
        <f>IF(OR(Data!$L$5=1,Data!$L$6=2),"",IF(Data!$GV26&lt;&gt;"",Data!$GV26,"---"))</f>
        <v>---</v>
      </c>
      <c r="Q51" s="1280"/>
      <c r="R51" s="1280"/>
      <c r="S51" s="1293"/>
      <c r="T51" s="1294" t="str">
        <f>IF(OR(Data!$L$5=1,Data!$L$6=2),"",IF(Data!$HE26&lt;&gt;"",Data!$HE26,"---"))</f>
        <v>---</v>
      </c>
      <c r="U51" s="1295"/>
      <c r="V51" s="1294" t="str">
        <f>IF(OR(Data!$L$5=1,Data!$L$6=2),"",IF(Data!$HC26&lt;&gt;"",Data!$HC26,"---"))</f>
        <v>---</v>
      </c>
      <c r="W51" s="1295"/>
      <c r="X51" s="1323" t="str">
        <f>IF(OR(Data!$L$5=1,Data!$L$6=2),"",IF(Data!$HD26&lt;&gt;"",Data!$HD26,"---"))</f>
        <v>---</v>
      </c>
      <c r="Y51" s="1324"/>
      <c r="Z51" s="1279">
        <f t="shared" si="0"/>
        <v>0</v>
      </c>
      <c r="AA51" s="1280"/>
      <c r="AB51" s="1280"/>
      <c r="AC51" s="1312"/>
      <c r="AD51" s="1313"/>
      <c r="AE51" s="1313"/>
      <c r="AF51" s="1313"/>
      <c r="AG51" s="1313"/>
      <c r="AH51" s="1313"/>
      <c r="AI51" s="1313"/>
      <c r="AJ51" s="1314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3">
      <c r="A52" s="1288" t="str">
        <f>IF(OR(Data!$L$5=1,Data!$L$6=2),"",IF(Data!$HF27&lt;&gt;"",Data!$HF27,"---"))</f>
        <v>---</v>
      </c>
      <c r="B52" s="1289"/>
      <c r="C52" s="1290" t="str">
        <f>IF(OR(Data!$L$5=1,Data!$L$6=2),"",IF(Data!$HG27&lt;&gt;"",Data!$HG27,"---"))</f>
        <v>---</v>
      </c>
      <c r="D52" s="1291"/>
      <c r="E52" s="1291"/>
      <c r="F52" s="1291"/>
      <c r="G52" s="1291"/>
      <c r="H52" s="1291"/>
      <c r="I52" s="1291"/>
      <c r="J52" s="1291"/>
      <c r="K52" s="1291"/>
      <c r="L52" s="1291"/>
      <c r="M52" s="1291"/>
      <c r="N52" s="1291"/>
      <c r="O52" s="1292"/>
      <c r="P52" s="1280" t="str">
        <f>IF(OR(Data!$L$5=1,Data!$L$6=2),"",IF(Data!$GV27&lt;&gt;"",Data!$GV27,"---"))</f>
        <v>---</v>
      </c>
      <c r="Q52" s="1280"/>
      <c r="R52" s="1280"/>
      <c r="S52" s="1293"/>
      <c r="T52" s="1294" t="str">
        <f>IF(OR(Data!$L$5=1,Data!$L$6=2),"",IF(Data!$HE27&lt;&gt;"",Data!$HE27,"---"))</f>
        <v>---</v>
      </c>
      <c r="U52" s="1295"/>
      <c r="V52" s="1294" t="str">
        <f>IF(OR(Data!$L$5=1,Data!$L$6=2),"",IF(Data!$HC27&lt;&gt;"",Data!$HC27,"---"))</f>
        <v>---</v>
      </c>
      <c r="W52" s="1295"/>
      <c r="X52" s="1323" t="str">
        <f>IF(OR(Data!$L$5=1,Data!$L$6=2),"",IF(Data!$HD27&lt;&gt;"",Data!$HD27,"---"))</f>
        <v>---</v>
      </c>
      <c r="Y52" s="1324"/>
      <c r="Z52" s="1279">
        <f t="shared" si="0"/>
        <v>0</v>
      </c>
      <c r="AA52" s="1280"/>
      <c r="AB52" s="1280"/>
      <c r="AC52" s="1312"/>
      <c r="AD52" s="1313"/>
      <c r="AE52" s="1313"/>
      <c r="AF52" s="1313"/>
      <c r="AG52" s="1313"/>
      <c r="AH52" s="1313"/>
      <c r="AI52" s="1313"/>
      <c r="AJ52" s="1314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25">
      <c r="A53" s="1288" t="str">
        <f>IF(OR(Data!$L$5=1,Data!$L$6=2),"",IF(Data!$HF28&lt;&gt;"",Data!$HF28,"---"))</f>
        <v>---</v>
      </c>
      <c r="B53" s="1289"/>
      <c r="C53" s="1290" t="str">
        <f>IF(OR(Data!$L$5=1,Data!$L$6=2),"",IF(Data!$HG28&lt;&gt;"",Data!$HG28,"---"))</f>
        <v>---</v>
      </c>
      <c r="D53" s="1291"/>
      <c r="E53" s="1291"/>
      <c r="F53" s="1291"/>
      <c r="G53" s="1291"/>
      <c r="H53" s="1291"/>
      <c r="I53" s="1291"/>
      <c r="J53" s="1291"/>
      <c r="K53" s="1291"/>
      <c r="L53" s="1291"/>
      <c r="M53" s="1291"/>
      <c r="N53" s="1291"/>
      <c r="O53" s="1292"/>
      <c r="P53" s="1280" t="str">
        <f>IF(OR(Data!$L$5=1,Data!$L$6=2),"",IF(Data!$GV28&lt;&gt;"",Data!$GV28,"---"))</f>
        <v>---</v>
      </c>
      <c r="Q53" s="1280"/>
      <c r="R53" s="1280"/>
      <c r="S53" s="1293"/>
      <c r="T53" s="1294" t="str">
        <f>IF(OR(Data!$L$5=1,Data!$L$6=2),"",IF(Data!$HE28&lt;&gt;"",Data!$HE28,"---"))</f>
        <v>---</v>
      </c>
      <c r="U53" s="1295"/>
      <c r="V53" s="1294" t="str">
        <f>IF(OR(Data!$L$5=1,Data!$L$6=2),"",IF(Data!$HC28&lt;&gt;"",Data!$HC28,"---"))</f>
        <v>---</v>
      </c>
      <c r="W53" s="1295"/>
      <c r="X53" s="1323" t="str">
        <f>IF(OR(Data!$L$5=1,Data!$L$6=2),"",IF(Data!$HD28&lt;&gt;"",Data!$HD28,"---"))</f>
        <v>---</v>
      </c>
      <c r="Y53" s="1324"/>
      <c r="Z53" s="1279">
        <f t="shared" si="0"/>
        <v>0</v>
      </c>
      <c r="AA53" s="1280"/>
      <c r="AB53" s="1280"/>
      <c r="AC53" s="1312"/>
      <c r="AD53" s="1313"/>
      <c r="AE53" s="1313"/>
      <c r="AF53" s="1313"/>
      <c r="AG53" s="1313"/>
      <c r="AH53" s="1313"/>
      <c r="AI53" s="1313"/>
      <c r="AJ53" s="1314"/>
      <c r="AK53" s="931">
        <f t="shared" si="1"/>
        <v>0</v>
      </c>
      <c r="AL53" s="931"/>
      <c r="AM53" s="931"/>
      <c r="AN53" s="931"/>
      <c r="AO53" s="931"/>
      <c r="AP53" s="1268" t="s">
        <v>1960</v>
      </c>
      <c r="AQ53" s="1264" t="s">
        <v>1954</v>
      </c>
      <c r="AR53" s="1264" t="s">
        <v>1955</v>
      </c>
      <c r="AS53" s="1264" t="s">
        <v>1956</v>
      </c>
      <c r="AT53" s="1264" t="s">
        <v>1957</v>
      </c>
      <c r="AU53" s="1264" t="s">
        <v>1958</v>
      </c>
      <c r="AV53" s="1266" t="s">
        <v>1959</v>
      </c>
    </row>
    <row r="54" spans="1:48" ht="15.75" customHeight="1" x14ac:dyDescent="0.25">
      <c r="A54" s="1288" t="str">
        <f>IF(OR(Data!$L$5=1,Data!$L$6=2),"",IF(Data!$HF29&lt;&gt;"",Data!$HF29,"---"))</f>
        <v>---</v>
      </c>
      <c r="B54" s="1289"/>
      <c r="C54" s="1290" t="str">
        <f>IF(OR(Data!$L$5=1,Data!$L$6=2),"",IF(Data!$HG29&lt;&gt;"",Data!$HG29,"---"))</f>
        <v>---</v>
      </c>
      <c r="D54" s="1291"/>
      <c r="E54" s="1291"/>
      <c r="F54" s="1291"/>
      <c r="G54" s="1291"/>
      <c r="H54" s="1291"/>
      <c r="I54" s="1291"/>
      <c r="J54" s="1291"/>
      <c r="K54" s="1291"/>
      <c r="L54" s="1291"/>
      <c r="M54" s="1291"/>
      <c r="N54" s="1291"/>
      <c r="O54" s="1292"/>
      <c r="P54" s="1280" t="str">
        <f>IF(OR(Data!$L$5=1,Data!$L$6=2),"",IF(Data!$GV29&lt;&gt;"",Data!$GV29,"---"))</f>
        <v>---</v>
      </c>
      <c r="Q54" s="1280"/>
      <c r="R54" s="1280"/>
      <c r="S54" s="1293"/>
      <c r="T54" s="1294" t="str">
        <f>IF(OR(Data!$L$5=1,Data!$L$6=2),"",IF(Data!$HE29&lt;&gt;"",Data!$HE29,"---"))</f>
        <v>---</v>
      </c>
      <c r="U54" s="1295"/>
      <c r="V54" s="1294" t="str">
        <f>IF(OR(Data!$L$5=1,Data!$L$6=2),"",IF(Data!$HC29&lt;&gt;"",Data!$HC29,"---"))</f>
        <v>---</v>
      </c>
      <c r="W54" s="1295"/>
      <c r="X54" s="1323" t="str">
        <f>IF(OR(Data!$L$5=1,Data!$L$6=2),"",IF(Data!$HD29&lt;&gt;"",Data!$HD29,"---"))</f>
        <v>---</v>
      </c>
      <c r="Y54" s="1324"/>
      <c r="Z54" s="1279">
        <f t="shared" si="0"/>
        <v>0</v>
      </c>
      <c r="AA54" s="1280"/>
      <c r="AB54" s="1280"/>
      <c r="AC54" s="1312"/>
      <c r="AD54" s="1313"/>
      <c r="AE54" s="1313"/>
      <c r="AF54" s="1313"/>
      <c r="AG54" s="1313"/>
      <c r="AH54" s="1313"/>
      <c r="AI54" s="1313"/>
      <c r="AJ54" s="1314"/>
      <c r="AK54" s="931">
        <f t="shared" si="1"/>
        <v>0</v>
      </c>
      <c r="AL54" s="931"/>
      <c r="AM54" s="931"/>
      <c r="AN54" s="931"/>
      <c r="AO54" s="931"/>
      <c r="AP54" s="1269"/>
      <c r="AQ54" s="1265"/>
      <c r="AR54" s="1265"/>
      <c r="AS54" s="1265"/>
      <c r="AT54" s="1265"/>
      <c r="AU54" s="1265"/>
      <c r="AV54" s="1267"/>
    </row>
    <row r="55" spans="1:48" ht="15.75" customHeight="1" thickBot="1" x14ac:dyDescent="0.3">
      <c r="A55" s="1288" t="str">
        <f>IF(OR(Data!$L$5=1,Data!$L$6=2),"",IF(Data!$HF29&lt;&gt;"",Data!$HF29,"---"))</f>
        <v>---</v>
      </c>
      <c r="B55" s="1289"/>
      <c r="C55" s="1290" t="str">
        <f>IF(OR(Data!$L$5=1,Data!$L$6=2),"",IF(Data!$HG30&lt;&gt;"",Data!$HG30,"---"))</f>
        <v>---</v>
      </c>
      <c r="D55" s="1291"/>
      <c r="E55" s="1291"/>
      <c r="F55" s="1291"/>
      <c r="G55" s="1291"/>
      <c r="H55" s="1291"/>
      <c r="I55" s="1291"/>
      <c r="J55" s="1291"/>
      <c r="K55" s="1291"/>
      <c r="L55" s="1291"/>
      <c r="M55" s="1291"/>
      <c r="N55" s="1291"/>
      <c r="O55" s="1292"/>
      <c r="P55" s="1280" t="str">
        <f>IF(OR(Data!$L$5=1,Data!$L$6=2),"",IF(Data!$GV30&lt;&gt;"",Data!$GV30,"---"))</f>
        <v>---</v>
      </c>
      <c r="Q55" s="1280"/>
      <c r="R55" s="1280"/>
      <c r="S55" s="1293"/>
      <c r="T55" s="1294" t="str">
        <f>IF(OR(Data!$L$5=1,Data!$L$6=2),"",IF(Data!$HE30&lt;&gt;"",Data!$HE30,"---"))</f>
        <v>---</v>
      </c>
      <c r="U55" s="1295"/>
      <c r="V55" s="1294" t="str">
        <f>IF(OR(Data!$L$5=1,Data!$L$6=2),"",IF(Data!$HC30&lt;&gt;"",Data!$HC30,"---"))</f>
        <v>---</v>
      </c>
      <c r="W55" s="1295"/>
      <c r="X55" s="1323" t="str">
        <f>IF(OR(Data!$L$5=1,Data!$L$6=2),"",IF(Data!$HD30&lt;&gt;"",Data!$HD30,"---"))</f>
        <v>---</v>
      </c>
      <c r="Y55" s="1324"/>
      <c r="Z55" s="1279">
        <f t="shared" si="0"/>
        <v>0</v>
      </c>
      <c r="AA55" s="1280"/>
      <c r="AB55" s="1280"/>
      <c r="AC55" s="1312"/>
      <c r="AD55" s="1313"/>
      <c r="AE55" s="1313"/>
      <c r="AF55" s="1313"/>
      <c r="AG55" s="1313"/>
      <c r="AH55" s="1313"/>
      <c r="AI55" s="1313"/>
      <c r="AJ55" s="1314"/>
      <c r="AK55" s="931">
        <f t="shared" si="1"/>
        <v>0</v>
      </c>
      <c r="AL55" s="931"/>
      <c r="AM55" s="931"/>
      <c r="AN55" s="931"/>
      <c r="AO55" s="931"/>
      <c r="AP55" s="940">
        <f>IFERROR($Z$56,"")</f>
        <v>800</v>
      </c>
      <c r="AQ55" s="941">
        <f>IFERROR('ARDT Cutter Entry'!$AK$468,"")</f>
        <v>0</v>
      </c>
      <c r="AR55" s="941">
        <f>IFERROR('ARDT Cutter Entry'!$AL$468,"")</f>
        <v>2</v>
      </c>
      <c r="AS55" s="941">
        <f>IFERROR('ARDT Cutter Entry'!$AM$468,"")</f>
        <v>0</v>
      </c>
      <c r="AT55" s="941">
        <f>IFERROR('ARDT Cutter Entry'!$AN$468,"")</f>
        <v>0</v>
      </c>
      <c r="AU55" s="941">
        <f>IFERROR('ARDT Cutter Entry'!$AO$468,"")</f>
        <v>0</v>
      </c>
      <c r="AV55" s="942">
        <f>IFERROR('ARDT Cutter Entry'!$AP$468,"")</f>
        <v>0</v>
      </c>
    </row>
    <row r="56" spans="1:48" ht="15" customHeight="1" thickBot="1" x14ac:dyDescent="0.3">
      <c r="A56" s="1281" t="s">
        <v>1514</v>
      </c>
      <c r="B56" s="1282"/>
      <c r="C56" s="1282"/>
      <c r="D56" s="1282"/>
      <c r="E56" s="1282"/>
      <c r="F56" s="1282"/>
      <c r="G56" s="1282"/>
      <c r="H56" s="1282"/>
      <c r="I56" s="1282"/>
      <c r="J56" s="1282"/>
      <c r="K56" s="1282"/>
      <c r="L56" s="1282"/>
      <c r="M56" s="1282"/>
      <c r="N56" s="1282"/>
      <c r="O56" s="1283"/>
      <c r="P56" s="1281"/>
      <c r="Q56" s="1282"/>
      <c r="R56" s="1282"/>
      <c r="S56" s="1283"/>
      <c r="T56" s="1281"/>
      <c r="U56" s="1283"/>
      <c r="V56" s="1281"/>
      <c r="W56" s="1283"/>
      <c r="X56" s="1284"/>
      <c r="Y56" s="1285"/>
      <c r="Z56" s="1286">
        <f>SUM(Z45:AB55)</f>
        <v>800</v>
      </c>
      <c r="AA56" s="1287"/>
      <c r="AB56" s="1287"/>
      <c r="AC56" s="1315"/>
      <c r="AD56" s="1316"/>
      <c r="AE56" s="1316"/>
      <c r="AF56" s="1316"/>
      <c r="AG56" s="1316"/>
      <c r="AH56" s="1316"/>
      <c r="AI56" s="1316"/>
      <c r="AJ56" s="1317"/>
    </row>
    <row r="57" spans="1:48" ht="3.75" customHeight="1" thickBot="1" x14ac:dyDescent="0.3"/>
    <row r="58" spans="1:48" ht="12" customHeight="1" thickBot="1" x14ac:dyDescent="0.3">
      <c r="A58" s="1384" t="s">
        <v>1794</v>
      </c>
      <c r="B58" s="1384"/>
      <c r="C58" s="1384"/>
      <c r="D58" s="1384"/>
      <c r="E58" s="1384"/>
      <c r="F58" s="1384"/>
      <c r="G58" s="1384"/>
      <c r="H58" s="1384"/>
      <c r="I58" s="1390"/>
      <c r="J58" s="1318" t="s">
        <v>46</v>
      </c>
      <c r="K58" s="1319"/>
      <c r="L58" s="1318" t="str">
        <f>IF(Data!B7="SAUDI ARAMCO",IF(Data!L6=1,"√",""),"")</f>
        <v/>
      </c>
      <c r="M58" s="1319"/>
      <c r="N58" s="660"/>
      <c r="O58" s="1318" t="s">
        <v>1186</v>
      </c>
      <c r="P58" s="1320"/>
      <c r="Q58" s="1319"/>
      <c r="R58" s="1318" t="str">
        <f>IF(Data!B7="SAUDI ARAMCO",IF(Data!L6=2,"√",""),"")</f>
        <v/>
      </c>
      <c r="S58" s="1319"/>
      <c r="T58" s="1321" t="s">
        <v>1795</v>
      </c>
      <c r="U58" s="1321"/>
      <c r="V58" s="1321"/>
      <c r="W58" s="1321"/>
      <c r="X58" s="1321"/>
      <c r="Y58" s="1321"/>
      <c r="Z58" s="1321"/>
      <c r="AA58" s="1321"/>
      <c r="AB58" s="1322" t="str">
        <f>IF(Data!B17&lt;&gt;"", Data!B17, "")</f>
        <v>Ramzi Kassab</v>
      </c>
      <c r="AC58" s="1322"/>
      <c r="AD58" s="1322"/>
      <c r="AE58" s="1322"/>
      <c r="AF58" s="1322"/>
      <c r="AG58" s="1322"/>
      <c r="AH58" s="1322"/>
      <c r="AI58" s="1322"/>
      <c r="AJ58" s="1322"/>
    </row>
    <row r="59" spans="1:48" ht="9.75" customHeight="1" thickBot="1" x14ac:dyDescent="0.3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321"/>
      <c r="U59" s="1321"/>
      <c r="V59" s="1321"/>
      <c r="W59" s="1321"/>
      <c r="X59" s="1321"/>
      <c r="Y59" s="1321"/>
      <c r="Z59" s="1321"/>
      <c r="AA59" s="1321"/>
      <c r="AB59" s="1322"/>
      <c r="AC59" s="1322"/>
      <c r="AD59" s="1322"/>
      <c r="AE59" s="1322"/>
      <c r="AF59" s="1322"/>
      <c r="AG59" s="1322"/>
      <c r="AH59" s="1322"/>
      <c r="AI59" s="1322"/>
      <c r="AJ59" s="1322"/>
    </row>
    <row r="60" spans="1:48" ht="9.75" customHeight="1" thickBot="1" x14ac:dyDescent="0.3">
      <c r="A60" s="1370" t="s">
        <v>1881</v>
      </c>
      <c r="B60" s="1371"/>
      <c r="C60" s="1371"/>
      <c r="D60" s="1371"/>
      <c r="E60" s="1371"/>
      <c r="F60" s="1371"/>
      <c r="G60" s="1371"/>
      <c r="H60" s="1371"/>
      <c r="I60" s="1371"/>
      <c r="J60" s="1371"/>
      <c r="K60" s="1371"/>
      <c r="L60" s="1371"/>
      <c r="M60" s="1371"/>
      <c r="N60" s="1371"/>
      <c r="O60" s="1371"/>
      <c r="P60" s="1371"/>
      <c r="Q60" s="1371"/>
      <c r="R60" s="1371"/>
      <c r="S60" s="1371"/>
      <c r="T60" s="1371"/>
      <c r="U60" s="1371"/>
      <c r="V60" s="1371"/>
      <c r="W60" s="1371"/>
      <c r="X60" s="1371"/>
      <c r="Y60" s="1371"/>
      <c r="Z60" s="1371"/>
      <c r="AA60" s="1371"/>
      <c r="AB60" s="1371"/>
      <c r="AC60" s="1371"/>
      <c r="AD60" s="1371"/>
      <c r="AE60" s="1371"/>
      <c r="AF60" s="1371"/>
      <c r="AG60" s="1371"/>
      <c r="AH60" s="1371"/>
      <c r="AI60" s="1371"/>
      <c r="AJ60" s="1372"/>
    </row>
    <row r="61" spans="1:48" ht="11.25" customHeight="1" x14ac:dyDescent="0.25">
      <c r="A61" s="1387" t="s">
        <v>1911</v>
      </c>
      <c r="B61" s="1388"/>
      <c r="C61" s="1388"/>
      <c r="D61" s="1388"/>
      <c r="E61" s="1388"/>
      <c r="F61" s="1388"/>
      <c r="G61" s="1388"/>
      <c r="H61" s="1388"/>
      <c r="I61" s="1388"/>
      <c r="J61" s="1388"/>
      <c r="K61" s="1388"/>
      <c r="L61" s="1388"/>
      <c r="M61" s="1388"/>
      <c r="N61" s="1388"/>
      <c r="O61" s="1388"/>
      <c r="P61" s="1388"/>
      <c r="Q61" s="1388"/>
      <c r="R61" s="1388"/>
      <c r="S61" s="1388"/>
      <c r="T61" s="1388"/>
      <c r="U61" s="1388"/>
      <c r="V61" s="1388"/>
      <c r="W61" s="1388"/>
      <c r="X61" s="1388"/>
      <c r="Y61" s="1388"/>
      <c r="Z61" s="1388"/>
      <c r="AA61" s="1388"/>
      <c r="AB61" s="1389"/>
      <c r="AC61" s="1302" t="s">
        <v>1011</v>
      </c>
      <c r="AD61" s="1303"/>
      <c r="AE61" s="1303"/>
      <c r="AF61" s="1303"/>
      <c r="AG61" s="1303"/>
      <c r="AH61" s="1303"/>
      <c r="AI61" s="1303"/>
      <c r="AJ61" s="1304"/>
    </row>
    <row r="62" spans="1:48" ht="11.25" customHeight="1" x14ac:dyDescent="0.25">
      <c r="A62" s="1305" t="s">
        <v>1878</v>
      </c>
      <c r="B62" s="1306"/>
      <c r="C62" s="1306"/>
      <c r="D62" s="1306"/>
      <c r="E62" s="1307" t="s">
        <v>1879</v>
      </c>
      <c r="F62" s="1307"/>
      <c r="G62" s="1307"/>
      <c r="H62" s="1307"/>
      <c r="I62" s="1307"/>
      <c r="J62" s="1307"/>
      <c r="K62" s="1307"/>
      <c r="L62" s="1307"/>
      <c r="M62" s="1307"/>
      <c r="N62" s="1307"/>
      <c r="O62" s="1307"/>
      <c r="P62" s="1307"/>
      <c r="Q62" s="1307"/>
      <c r="R62" s="1307"/>
      <c r="S62" s="1307"/>
      <c r="T62" s="1307"/>
      <c r="U62" s="1307"/>
      <c r="V62" s="1307"/>
      <c r="W62" s="1307"/>
      <c r="X62" s="1307"/>
      <c r="Y62" s="1307"/>
      <c r="Z62" s="1307"/>
      <c r="AA62" s="1307"/>
      <c r="AB62" s="1307"/>
      <c r="AC62" s="1309" t="s">
        <v>1882</v>
      </c>
      <c r="AD62" s="1309"/>
      <c r="AE62" s="1309"/>
      <c r="AF62" s="1309"/>
      <c r="AG62" s="1309"/>
      <c r="AH62" s="1309"/>
      <c r="AI62" s="1310" t="str">
        <f>IF(Data!B43="SAUDI ARAMCO",IF(AND(Data!L41&lt;&gt;1,Data!L42=1),"√",""),"")</f>
        <v/>
      </c>
      <c r="AJ62" s="1311"/>
    </row>
    <row r="63" spans="1:48" ht="11.25" customHeight="1" x14ac:dyDescent="0.25">
      <c r="A63" s="1275"/>
      <c r="B63" s="1276"/>
      <c r="C63" s="1276"/>
      <c r="D63" s="1276"/>
      <c r="E63" s="1308"/>
      <c r="F63" s="1308"/>
      <c r="G63" s="1308"/>
      <c r="H63" s="1308"/>
      <c r="I63" s="1308"/>
      <c r="J63" s="1308"/>
      <c r="K63" s="1308"/>
      <c r="L63" s="1308"/>
      <c r="M63" s="1308"/>
      <c r="N63" s="1308"/>
      <c r="O63" s="1308"/>
      <c r="P63" s="1308"/>
      <c r="Q63" s="1308"/>
      <c r="R63" s="1308"/>
      <c r="S63" s="1308"/>
      <c r="T63" s="1308"/>
      <c r="U63" s="1308"/>
      <c r="V63" s="1308"/>
      <c r="W63" s="1308"/>
      <c r="X63" s="1308"/>
      <c r="Y63" s="1308"/>
      <c r="Z63" s="1308"/>
      <c r="AA63" s="1308"/>
      <c r="AB63" s="1308"/>
      <c r="AC63" s="1309" t="s">
        <v>1883</v>
      </c>
      <c r="AD63" s="1309"/>
      <c r="AE63" s="1309"/>
      <c r="AF63" s="1309"/>
      <c r="AG63" s="1309"/>
      <c r="AH63" s="1309"/>
      <c r="AI63" s="1310" t="str">
        <f>IF(Data!B43="SAUDI ARAMCO",IF(Data!L41=1,"√",""),"")</f>
        <v/>
      </c>
      <c r="AJ63" s="1311"/>
    </row>
    <row r="64" spans="1:48" ht="9.75" customHeight="1" x14ac:dyDescent="0.25">
      <c r="A64" s="1275" t="s">
        <v>19</v>
      </c>
      <c r="B64" s="1276"/>
      <c r="C64" s="1276"/>
      <c r="D64" s="1276"/>
      <c r="E64" s="1277"/>
      <c r="F64" s="1277"/>
      <c r="G64" s="1277"/>
      <c r="H64" s="1277"/>
      <c r="I64" s="1277"/>
      <c r="J64" s="1277"/>
      <c r="K64" s="1277"/>
      <c r="L64" s="1277"/>
      <c r="M64" s="1277"/>
      <c r="N64" s="1277"/>
      <c r="O64" s="1277"/>
      <c r="P64" s="1277"/>
      <c r="Q64" s="1277"/>
      <c r="R64" s="1277"/>
      <c r="S64" s="1277"/>
      <c r="T64" s="1277"/>
      <c r="U64" s="1277"/>
      <c r="V64" s="1277"/>
      <c r="W64" s="1277"/>
      <c r="X64" s="1277"/>
      <c r="Y64" s="1277"/>
      <c r="Z64" s="1277"/>
      <c r="AA64" s="1277"/>
      <c r="AB64" s="1277"/>
      <c r="AC64" s="1277"/>
      <c r="AD64" s="1277"/>
      <c r="AE64" s="1277"/>
      <c r="AF64" s="1277"/>
      <c r="AG64" s="1277"/>
      <c r="AH64" s="1277"/>
      <c r="AI64" s="1277"/>
      <c r="AJ64" s="1278"/>
    </row>
    <row r="65" spans="1:36" ht="9.75" customHeight="1" x14ac:dyDescent="0.25">
      <c r="A65" s="1275"/>
      <c r="B65" s="1276"/>
      <c r="C65" s="1276"/>
      <c r="D65" s="1276"/>
      <c r="E65" s="1277"/>
      <c r="F65" s="1277"/>
      <c r="G65" s="1277"/>
      <c r="H65" s="1277"/>
      <c r="I65" s="1277"/>
      <c r="J65" s="1277"/>
      <c r="K65" s="1277"/>
      <c r="L65" s="1277"/>
      <c r="M65" s="1277"/>
      <c r="N65" s="1277"/>
      <c r="O65" s="1277"/>
      <c r="P65" s="1277"/>
      <c r="Q65" s="1277"/>
      <c r="R65" s="1277"/>
      <c r="S65" s="1277"/>
      <c r="T65" s="1277"/>
      <c r="U65" s="1277"/>
      <c r="V65" s="1277"/>
      <c r="W65" s="1277"/>
      <c r="X65" s="1277"/>
      <c r="Y65" s="1277"/>
      <c r="Z65" s="1277"/>
      <c r="AA65" s="1277"/>
      <c r="AB65" s="1277"/>
      <c r="AC65" s="1277"/>
      <c r="AD65" s="1277"/>
      <c r="AE65" s="1277"/>
      <c r="AF65" s="1277"/>
      <c r="AG65" s="1277"/>
      <c r="AH65" s="1277"/>
      <c r="AI65" s="1277"/>
      <c r="AJ65" s="1278"/>
    </row>
    <row r="66" spans="1:36" ht="9.75" customHeight="1" x14ac:dyDescent="0.25">
      <c r="A66" s="1275"/>
      <c r="B66" s="1276"/>
      <c r="C66" s="1276"/>
      <c r="D66" s="1276"/>
      <c r="E66" s="1277"/>
      <c r="F66" s="1277"/>
      <c r="G66" s="1277"/>
      <c r="H66" s="1277"/>
      <c r="I66" s="1277"/>
      <c r="J66" s="1277"/>
      <c r="K66" s="1277"/>
      <c r="L66" s="1277"/>
      <c r="M66" s="1277"/>
      <c r="N66" s="1277"/>
      <c r="O66" s="1277"/>
      <c r="P66" s="1277"/>
      <c r="Q66" s="1277"/>
      <c r="R66" s="1277"/>
      <c r="S66" s="1277"/>
      <c r="T66" s="1277"/>
      <c r="U66" s="1277"/>
      <c r="V66" s="1277"/>
      <c r="W66" s="1277"/>
      <c r="X66" s="1277"/>
      <c r="Y66" s="1277"/>
      <c r="Z66" s="1277"/>
      <c r="AA66" s="1277"/>
      <c r="AB66" s="1277"/>
      <c r="AC66" s="1277"/>
      <c r="AD66" s="1277"/>
      <c r="AE66" s="1277"/>
      <c r="AF66" s="1277"/>
      <c r="AG66" s="1277"/>
      <c r="AH66" s="1277"/>
      <c r="AI66" s="1277"/>
      <c r="AJ66" s="1278"/>
    </row>
    <row r="67" spans="1:36" ht="17.25" customHeight="1" thickBot="1" x14ac:dyDescent="0.3">
      <c r="A67" s="1270" t="s">
        <v>1880</v>
      </c>
      <c r="B67" s="1271"/>
      <c r="C67" s="1271"/>
      <c r="D67" s="1271"/>
      <c r="E67" s="1272"/>
      <c r="F67" s="1272"/>
      <c r="G67" s="1272"/>
      <c r="H67" s="1272"/>
      <c r="I67" s="1272"/>
      <c r="J67" s="1272"/>
      <c r="K67" s="1272"/>
      <c r="L67" s="1272"/>
      <c r="M67" s="1272"/>
      <c r="N67" s="1272"/>
      <c r="O67" s="1272"/>
      <c r="P67" s="1272"/>
      <c r="Q67" s="1272"/>
      <c r="R67" s="1272"/>
      <c r="S67" s="1271" t="s">
        <v>1079</v>
      </c>
      <c r="T67" s="1271"/>
      <c r="U67" s="1271"/>
      <c r="V67" s="1271"/>
      <c r="W67" s="1271"/>
      <c r="X67" s="1273"/>
      <c r="Y67" s="1273"/>
      <c r="Z67" s="1273"/>
      <c r="AA67" s="1273"/>
      <c r="AB67" s="1273"/>
      <c r="AC67" s="1273"/>
      <c r="AD67" s="1273"/>
      <c r="AE67" s="1273"/>
      <c r="AF67" s="1273"/>
      <c r="AG67" s="1273"/>
      <c r="AH67" s="1273"/>
      <c r="AI67" s="1273"/>
      <c r="AJ67" s="1274"/>
    </row>
    <row r="68" spans="1:36" x14ac:dyDescent="0.2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2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2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zoomScaleNormal="100" zoomScaleSheetLayoutView="100" workbookViewId="0">
      <selection activeCell="I24" sqref="I24"/>
    </sheetView>
  </sheetViews>
  <sheetFormatPr defaultColWidth="9.140625" defaultRowHeight="15" x14ac:dyDescent="0.25"/>
  <cols>
    <col min="1" max="2" width="2.5703125" customWidth="1"/>
    <col min="3" max="27" width="3.7109375" customWidth="1"/>
    <col min="28" max="28" width="3" customWidth="1"/>
    <col min="29" max="30" width="3.140625" customWidth="1"/>
    <col min="33" max="33" width="12.7109375" customWidth="1"/>
    <col min="34" max="34" width="12.42578125" bestFit="1" customWidth="1"/>
    <col min="35" max="35" width="8.5703125" bestFit="1" customWidth="1"/>
    <col min="36" max="36" width="9.5703125" customWidth="1"/>
    <col min="37" max="37" width="40.140625" bestFit="1" customWidth="1"/>
    <col min="38" max="38" width="30.5703125" bestFit="1" customWidth="1"/>
    <col min="39" max="41" width="3" bestFit="1" customWidth="1"/>
    <col min="130" max="130" width="9.140625" customWidth="1"/>
  </cols>
  <sheetData>
    <row r="1" spans="1:36" ht="14.25" customHeight="1" x14ac:dyDescent="0.25">
      <c r="A1" s="1435" t="s">
        <v>23</v>
      </c>
      <c r="B1" s="1436"/>
      <c r="C1" s="1437"/>
      <c r="D1" s="1429" t="s">
        <v>967</v>
      </c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1429"/>
      <c r="P1" s="1429"/>
      <c r="Q1" s="1429"/>
      <c r="R1" s="1429"/>
      <c r="S1" s="1429"/>
      <c r="T1" s="1429"/>
      <c r="U1" s="1429"/>
      <c r="V1" s="1429"/>
      <c r="W1" s="1429"/>
      <c r="X1" s="1429"/>
      <c r="Y1" s="1429"/>
      <c r="Z1" s="1429"/>
      <c r="AA1" s="1430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2527</v>
      </c>
      <c r="AH1" s="1123" t="s">
        <v>2528</v>
      </c>
      <c r="AI1" s="1123" t="s">
        <v>44</v>
      </c>
      <c r="AJ1" s="1123" t="s">
        <v>40</v>
      </c>
    </row>
    <row r="2" spans="1:36" ht="12.75" customHeight="1" x14ac:dyDescent="0.25">
      <c r="A2" s="1432"/>
      <c r="B2" s="1433"/>
      <c r="C2" s="1438"/>
      <c r="D2" s="1422" t="s">
        <v>24</v>
      </c>
      <c r="E2" s="1422"/>
      <c r="F2" s="1422"/>
      <c r="G2" s="1422"/>
      <c r="H2" s="1422"/>
      <c r="I2" s="1422"/>
      <c r="J2" s="1422"/>
      <c r="K2" s="1422"/>
      <c r="L2" s="1422" t="s">
        <v>1062</v>
      </c>
      <c r="M2" s="1422"/>
      <c r="N2" s="1422"/>
      <c r="O2" s="1422"/>
      <c r="P2" s="1422"/>
      <c r="Q2" s="1422"/>
      <c r="R2" s="1422"/>
      <c r="S2" s="1422"/>
      <c r="T2" s="1422" t="s">
        <v>25</v>
      </c>
      <c r="U2" s="1422"/>
      <c r="V2" s="1422"/>
      <c r="W2" s="1422"/>
      <c r="X2" s="1422"/>
      <c r="Y2" s="1422"/>
      <c r="Z2" s="1422"/>
      <c r="AA2" s="1452"/>
      <c r="AG2" s="1123">
        <f>COUNTIF($C$17:$AA$28,"X*")+COUNTIF($C$17:$AA$28,"L*")</f>
        <v>0</v>
      </c>
      <c r="AH2" s="1123">
        <f>IF($M$34&lt;&gt;"",$M$34,0)+IF($P$34&lt;&gt;"",$P$34,0)</f>
        <v>0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0</v>
      </c>
      <c r="AJ2" s="1123">
        <f>SUM(C44:D60)</f>
        <v>0</v>
      </c>
    </row>
    <row r="3" spans="1:36" ht="12.75" customHeight="1" thickBot="1" x14ac:dyDescent="0.3">
      <c r="A3" s="1439"/>
      <c r="B3" s="1440"/>
      <c r="C3" s="1441"/>
      <c r="D3" s="1431" t="s">
        <v>1118</v>
      </c>
      <c r="E3" s="1431"/>
      <c r="F3" s="1431"/>
      <c r="G3" s="1431"/>
      <c r="H3" s="1431"/>
      <c r="I3" s="1431"/>
      <c r="J3" s="1431"/>
      <c r="K3" s="1431"/>
      <c r="L3" s="1431"/>
      <c r="M3" s="1431"/>
      <c r="N3" s="1431"/>
      <c r="O3" s="1431"/>
      <c r="P3" s="1431"/>
      <c r="Q3" s="1431"/>
      <c r="R3" s="1431"/>
      <c r="S3" s="1431"/>
      <c r="T3" s="1431" t="s">
        <v>26</v>
      </c>
      <c r="U3" s="1431"/>
      <c r="V3" s="1431"/>
      <c r="W3" s="1431"/>
      <c r="X3" s="1431"/>
      <c r="Y3" s="1431"/>
      <c r="Z3" s="1431"/>
      <c r="AA3" s="1453"/>
    </row>
    <row r="4" spans="1:36" ht="5.0999999999999996" customHeight="1" x14ac:dyDescent="0.2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25">
      <c r="A5" s="395"/>
      <c r="B5" s="1433" t="s">
        <v>27</v>
      </c>
      <c r="C5" s="1433"/>
      <c r="D5" s="1433"/>
      <c r="E5" s="1433"/>
      <c r="F5" s="1454">
        <f>IF(Data!B1&lt;&gt;"", Data!B1, " ")</f>
        <v>20261004</v>
      </c>
      <c r="G5" s="1455"/>
      <c r="H5" s="1455"/>
      <c r="I5" s="1455"/>
      <c r="J5" s="1456"/>
      <c r="K5" s="1503" t="s">
        <v>28</v>
      </c>
      <c r="L5" s="1503"/>
      <c r="M5" s="1503"/>
      <c r="N5" s="1454" t="str">
        <f>IF(Data!B2&lt;&gt;"", Data!B2, " ")</f>
        <v>14304769R1</v>
      </c>
      <c r="O5" s="1455"/>
      <c r="P5" s="1455"/>
      <c r="Q5" s="1455"/>
      <c r="R5" s="1456"/>
      <c r="S5" s="1433" t="s">
        <v>731</v>
      </c>
      <c r="T5" s="1433"/>
      <c r="U5" s="1433"/>
      <c r="V5" s="1433"/>
      <c r="W5" s="1454"/>
      <c r="X5" s="1455"/>
      <c r="Y5" s="1455"/>
      <c r="Z5" s="1455"/>
      <c r="AA5" s="1456"/>
    </row>
    <row r="6" spans="1:36" ht="4.5" customHeight="1" x14ac:dyDescent="0.2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60" t="s">
        <v>966</v>
      </c>
      <c r="T6" s="1460"/>
      <c r="U6" s="1460"/>
      <c r="V6" s="1460"/>
      <c r="W6" s="396"/>
      <c r="X6" s="396"/>
      <c r="Y6" s="393"/>
      <c r="Z6" s="393"/>
      <c r="AA6" s="395"/>
    </row>
    <row r="7" spans="1:36" ht="13.5" customHeight="1" x14ac:dyDescent="0.25">
      <c r="A7" s="395"/>
      <c r="B7" s="395"/>
      <c r="C7" s="395"/>
      <c r="D7" s="1503" t="s">
        <v>29</v>
      </c>
      <c r="E7" s="1503"/>
      <c r="F7" s="1454" t="str">
        <f>IF(LEN(Data!B3)&gt;3,IF(AND(Data!B43&lt;&gt;"",Data!B43&lt;&gt;"0 0/1"""),Data!B43,""),IF(Data!B3&lt;&gt;"",Data!B3&amp;"""",""))</f>
        <v>6 1/8"</v>
      </c>
      <c r="G7" s="1455"/>
      <c r="H7" s="1455"/>
      <c r="I7" s="1455"/>
      <c r="J7" s="1456"/>
      <c r="K7" s="1504" t="s">
        <v>30</v>
      </c>
      <c r="L7" s="1504"/>
      <c r="M7" s="1504"/>
      <c r="N7" s="1454" t="str">
        <f>IF(Data!B5&lt;&gt;"",Data!B5," ")</f>
        <v>1251085M</v>
      </c>
      <c r="O7" s="1455"/>
      <c r="P7" s="1455"/>
      <c r="Q7" s="1455"/>
      <c r="R7" s="1456"/>
      <c r="S7" s="1460"/>
      <c r="T7" s="1460"/>
      <c r="U7" s="1460"/>
      <c r="V7" s="1460"/>
      <c r="W7" s="1457">
        <f>IF(Data!B6&lt;&gt;"",Data!B6," ")</f>
        <v>46035</v>
      </c>
      <c r="X7" s="1458"/>
      <c r="Y7" s="1458"/>
      <c r="Z7" s="1458"/>
      <c r="AA7" s="1459"/>
    </row>
    <row r="8" spans="1:36" ht="5.0999999999999996" customHeight="1" x14ac:dyDescent="0.2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60"/>
      <c r="T8" s="1460"/>
      <c r="U8" s="1460"/>
      <c r="V8" s="1460"/>
      <c r="W8" s="396"/>
      <c r="X8" s="396"/>
      <c r="Y8" s="393"/>
      <c r="Z8" s="393"/>
      <c r="AA8" s="395"/>
    </row>
    <row r="9" spans="1:36" ht="13.5" customHeight="1" x14ac:dyDescent="0.25">
      <c r="A9" s="395"/>
      <c r="B9" s="395"/>
      <c r="C9" s="395"/>
      <c r="D9" s="1503" t="s">
        <v>31</v>
      </c>
      <c r="E9" s="1503"/>
      <c r="F9" s="1454" t="str">
        <f>IF(Data!B4&lt;&gt;"",Data!B4," ")</f>
        <v>HD54</v>
      </c>
      <c r="G9" s="1455"/>
      <c r="H9" s="1455"/>
      <c r="I9" s="1455"/>
      <c r="J9" s="1456"/>
      <c r="K9" s="395"/>
      <c r="L9" s="1503" t="s">
        <v>32</v>
      </c>
      <c r="M9" s="1503"/>
      <c r="N9" s="1454" t="str">
        <f>IF(Data!B7&lt;&gt;"",Data!B7, " ")</f>
        <v>LSTK</v>
      </c>
      <c r="O9" s="1455"/>
      <c r="P9" s="1455"/>
      <c r="Q9" s="1455"/>
      <c r="R9" s="1456"/>
      <c r="S9" s="1433" t="s">
        <v>33</v>
      </c>
      <c r="T9" s="1433"/>
      <c r="U9" s="1433"/>
      <c r="V9" s="1433"/>
      <c r="W9" s="1454">
        <f>IF(Data!B24&lt;&gt;"",Data!B24, " ")</f>
        <v>960031408</v>
      </c>
      <c r="X9" s="1455"/>
      <c r="Y9" s="1455"/>
      <c r="Z9" s="1455"/>
      <c r="AA9" s="1456"/>
    </row>
    <row r="10" spans="1:36" ht="5.0999999999999996" customHeight="1" thickBot="1" x14ac:dyDescent="0.3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25">
      <c r="A11" s="1443" t="s">
        <v>2513</v>
      </c>
      <c r="B11" s="1444"/>
      <c r="C11" s="1444"/>
      <c r="D11" s="1444"/>
      <c r="E11" s="1444"/>
      <c r="F11" s="1444"/>
      <c r="G11" s="1444"/>
      <c r="H11" s="1444"/>
      <c r="I11" s="1444"/>
      <c r="J11" s="1444"/>
      <c r="K11" s="1444"/>
      <c r="L11" s="1444"/>
      <c r="M11" s="1444"/>
      <c r="N11" s="1444"/>
      <c r="O11" s="1444"/>
      <c r="P11" s="1444"/>
      <c r="Q11" s="1444"/>
      <c r="R11" s="1444"/>
      <c r="S11" s="1444"/>
      <c r="T11" s="1444"/>
      <c r="U11" s="1444"/>
      <c r="V11" s="1444"/>
      <c r="W11" s="1444"/>
      <c r="X11" s="1444"/>
      <c r="Y11" s="1444"/>
      <c r="Z11" s="1444"/>
      <c r="AA11" s="1445"/>
    </row>
    <row r="12" spans="1:36" ht="9" customHeight="1" x14ac:dyDescent="0.25">
      <c r="A12" s="1446"/>
      <c r="B12" s="1447"/>
      <c r="C12" s="1447"/>
      <c r="D12" s="1447"/>
      <c r="E12" s="1447"/>
      <c r="F12" s="1447"/>
      <c r="G12" s="1447"/>
      <c r="H12" s="1447"/>
      <c r="I12" s="1447"/>
      <c r="J12" s="1447"/>
      <c r="K12" s="1447"/>
      <c r="L12" s="1447"/>
      <c r="M12" s="1447"/>
      <c r="N12" s="1447"/>
      <c r="O12" s="1447"/>
      <c r="P12" s="1447"/>
      <c r="Q12" s="1447"/>
      <c r="R12" s="1447"/>
      <c r="S12" s="1447"/>
      <c r="T12" s="1447"/>
      <c r="U12" s="1447"/>
      <c r="V12" s="1447"/>
      <c r="W12" s="1447"/>
      <c r="X12" s="1447"/>
      <c r="Y12" s="1447"/>
      <c r="Z12" s="1447"/>
      <c r="AA12" s="1448"/>
    </row>
    <row r="13" spans="1:36" ht="9" customHeight="1" x14ac:dyDescent="0.25">
      <c r="A13" s="1446"/>
      <c r="B13" s="1447"/>
      <c r="C13" s="1447"/>
      <c r="D13" s="1447"/>
      <c r="E13" s="1447"/>
      <c r="F13" s="1447"/>
      <c r="G13" s="1447"/>
      <c r="H13" s="1447"/>
      <c r="I13" s="1447"/>
      <c r="J13" s="1447"/>
      <c r="K13" s="1447"/>
      <c r="L13" s="1447"/>
      <c r="M13" s="1447"/>
      <c r="N13" s="1447"/>
      <c r="O13" s="1447"/>
      <c r="P13" s="1447"/>
      <c r="Q13" s="1447"/>
      <c r="R13" s="1447"/>
      <c r="S13" s="1447"/>
      <c r="T13" s="1447"/>
      <c r="U13" s="1447"/>
      <c r="V13" s="1447"/>
      <c r="W13" s="1447"/>
      <c r="X13" s="1447"/>
      <c r="Y13" s="1447"/>
      <c r="Z13" s="1447"/>
      <c r="AA13" s="1448"/>
    </row>
    <row r="14" spans="1:36" ht="9" customHeight="1" thickBot="1" x14ac:dyDescent="0.3">
      <c r="A14" s="1449"/>
      <c r="B14" s="1450"/>
      <c r="C14" s="1450"/>
      <c r="D14" s="1450"/>
      <c r="E14" s="1450"/>
      <c r="F14" s="1450"/>
      <c r="G14" s="1450"/>
      <c r="H14" s="1450"/>
      <c r="I14" s="1450"/>
      <c r="J14" s="1450"/>
      <c r="K14" s="1450"/>
      <c r="L14" s="1450"/>
      <c r="M14" s="1450"/>
      <c r="N14" s="1450"/>
      <c r="O14" s="1450"/>
      <c r="P14" s="1450"/>
      <c r="Q14" s="1450"/>
      <c r="R14" s="1450"/>
      <c r="S14" s="1450"/>
      <c r="T14" s="1450"/>
      <c r="U14" s="1450"/>
      <c r="V14" s="1450"/>
      <c r="W14" s="1450"/>
      <c r="X14" s="1450"/>
      <c r="Y14" s="1450"/>
      <c r="Z14" s="1450"/>
      <c r="AA14" s="1451"/>
    </row>
    <row r="15" spans="1:36" ht="10.5" customHeight="1" x14ac:dyDescent="0.25">
      <c r="A15" s="1505" t="s">
        <v>17</v>
      </c>
      <c r="B15" s="1506"/>
      <c r="C15" s="1506"/>
      <c r="D15" s="1506"/>
      <c r="E15" s="1506"/>
      <c r="F15" s="1506"/>
      <c r="G15" s="1506"/>
      <c r="H15" s="1506"/>
      <c r="I15" s="1506"/>
      <c r="J15" s="1506"/>
      <c r="K15" s="1506"/>
      <c r="L15" s="1506"/>
      <c r="M15" s="1506"/>
      <c r="N15" s="1506"/>
      <c r="O15" s="1506"/>
      <c r="P15" s="1506"/>
      <c r="Q15" s="1506"/>
      <c r="R15" s="1506"/>
      <c r="S15" s="1506"/>
      <c r="T15" s="1506"/>
      <c r="U15" s="1506"/>
      <c r="V15" s="1506"/>
      <c r="W15" s="1506"/>
      <c r="X15" s="1506"/>
      <c r="Y15" s="1506"/>
      <c r="Z15" s="1506"/>
      <c r="AA15" s="1507"/>
    </row>
    <row r="16" spans="1:36" ht="10.5" customHeight="1" thickBot="1" x14ac:dyDescent="0.3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0a</v>
      </c>
      <c r="L16" s="396" t="str">
        <f>IF(Data!CA42&lt;&gt;"",Data!CA42,"")</f>
        <v>0a</v>
      </c>
      <c r="M16" s="396" t="str">
        <f>IF(Data!CB42&lt;&gt;"",Data!CB42,"")</f>
        <v>0a</v>
      </c>
      <c r="N16" s="396" t="str">
        <f>IF(Data!CC42&lt;&gt;"",Data!CC42,"")</f>
        <v>0a</v>
      </c>
      <c r="O16" s="396" t="str">
        <f>IF(Data!CD42&lt;&gt;"",Data!CD42,"")</f>
        <v>0a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25">
      <c r="A17" s="1500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O1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O1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O1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R3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S3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O1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O2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O2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/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/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/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/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25">
      <c r="A18" s="1501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O1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O3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O1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O2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O2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/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/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/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/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25">
      <c r="A19" s="1501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O1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O1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O1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S3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O1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O2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O2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/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/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/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25">
      <c r="A20" s="1501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O1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O1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O1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S3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O1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O1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>O2</v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>O2</v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/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/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/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/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25">
      <c r="A21" s="1501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S3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R3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O1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O2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O2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/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/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/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/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/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/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/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25">
      <c r="A22" s="1501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/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/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/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/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/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/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/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/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/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25">
      <c r="A23" s="1501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25">
      <c r="A24" s="1501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25">
      <c r="A25" s="1501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25">
      <c r="A26" s="1501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25">
      <c r="A27" s="1501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3">
      <c r="A28" s="1502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2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2">
      <c r="A30" s="1423" t="s">
        <v>34</v>
      </c>
      <c r="B30" s="1424"/>
      <c r="C30" s="1424"/>
      <c r="D30" s="1424"/>
      <c r="E30" s="1424"/>
      <c r="F30" s="1482" t="str">
        <f>IF(Data!L32=1,IF(Data!B11&lt;&gt;"",Data!B11,""),"")</f>
        <v>Yakoob Alajawad</v>
      </c>
      <c r="G30" s="1482"/>
      <c r="H30" s="1482"/>
      <c r="I30" s="1482"/>
      <c r="J30" s="1424" t="s">
        <v>35</v>
      </c>
      <c r="K30" s="1424"/>
      <c r="L30" s="1424"/>
      <c r="M30" s="1481" t="str">
        <f>IF(Data!L32=1,IF(Data!B12&lt;&gt;"",Data!B12,""),"")</f>
        <v>Ramzi Kassab</v>
      </c>
      <c r="N30" s="1481"/>
      <c r="O30" s="1481"/>
      <c r="P30" s="1481"/>
      <c r="Q30" s="1424" t="s">
        <v>36</v>
      </c>
      <c r="R30" s="1424"/>
      <c r="S30" s="1481">
        <f>IF(Data!L32=1,IF(Data!B13&lt;&gt;"",Data!B13,""),"")</f>
        <v>46035</v>
      </c>
      <c r="T30" s="1481"/>
      <c r="U30" s="1481"/>
      <c r="V30" s="1481"/>
      <c r="W30" s="1478" t="s">
        <v>37</v>
      </c>
      <c r="X30" s="1478"/>
      <c r="Y30" s="1499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25">
      <c r="A31" s="1432"/>
      <c r="B31" s="1433"/>
      <c r="C31" s="1433"/>
      <c r="D31" s="1433"/>
      <c r="E31" s="1433"/>
      <c r="F31" s="1433"/>
      <c r="G31" s="1433"/>
      <c r="H31" s="1433"/>
      <c r="I31" s="1433"/>
      <c r="J31" s="1433"/>
      <c r="K31" s="1433"/>
      <c r="L31" s="1433"/>
      <c r="M31" s="1433"/>
      <c r="N31" s="1433"/>
      <c r="O31" s="1433"/>
      <c r="P31" s="1433"/>
      <c r="Q31" s="1433"/>
      <c r="R31" s="1433"/>
      <c r="S31" s="1433"/>
      <c r="T31" s="1433"/>
      <c r="U31" s="1433"/>
      <c r="V31" s="1433"/>
      <c r="W31" s="1433"/>
      <c r="X31" s="1433"/>
      <c r="Y31" s="1433"/>
      <c r="Z31" s="1433"/>
      <c r="AA31" s="1434"/>
    </row>
    <row r="32" spans="1:27" s="1118" customFormat="1" ht="16.5" customHeight="1" x14ac:dyDescent="0.2">
      <c r="A32" s="1442" t="s">
        <v>20</v>
      </c>
      <c r="B32" s="1422"/>
      <c r="C32" s="1422"/>
      <c r="D32" s="1422" t="s">
        <v>968</v>
      </c>
      <c r="E32" s="1422"/>
      <c r="F32" s="1422"/>
      <c r="G32" s="1422" t="s">
        <v>969</v>
      </c>
      <c r="H32" s="1422"/>
      <c r="I32" s="1422"/>
      <c r="J32" s="1422" t="s">
        <v>970</v>
      </c>
      <c r="K32" s="1422"/>
      <c r="L32" s="1422"/>
      <c r="M32" s="1422" t="s">
        <v>971</v>
      </c>
      <c r="N32" s="1422"/>
      <c r="O32" s="1422"/>
      <c r="P32" s="1422" t="s">
        <v>972</v>
      </c>
      <c r="Q32" s="1422"/>
      <c r="R32" s="1422"/>
      <c r="S32" s="1422" t="s">
        <v>21</v>
      </c>
      <c r="T32" s="1422"/>
      <c r="U32" s="1422"/>
      <c r="W32" s="1478" t="s">
        <v>734</v>
      </c>
      <c r="X32" s="1478"/>
      <c r="Y32" s="1499"/>
      <c r="Z32" s="1106" t="str">
        <f>IF(Data!L32=1,IF(OR(Data!L2=1,Data!L3=1),"√",""),"")</f>
        <v/>
      </c>
      <c r="AA32" s="1117"/>
    </row>
    <row r="33" spans="1:66" ht="3.75" customHeight="1" x14ac:dyDescent="0.25">
      <c r="A33" s="1442"/>
      <c r="B33" s="1422"/>
      <c r="C33" s="1422"/>
      <c r="D33" s="1422"/>
      <c r="E33" s="1422"/>
      <c r="F33" s="1422"/>
      <c r="G33" s="1422"/>
      <c r="H33" s="1422"/>
      <c r="I33" s="1422"/>
      <c r="J33" s="1422"/>
      <c r="K33" s="1422"/>
      <c r="L33" s="1422"/>
      <c r="M33" s="1422"/>
      <c r="N33" s="1422"/>
      <c r="O33" s="1422"/>
      <c r="P33" s="1422"/>
      <c r="Q33" s="1422"/>
      <c r="R33" s="1422"/>
      <c r="S33" s="1422"/>
      <c r="T33" s="1422"/>
      <c r="U33" s="1422"/>
      <c r="V33" s="396"/>
      <c r="W33" s="396"/>
      <c r="X33" s="396"/>
      <c r="Y33" s="396"/>
      <c r="Z33" s="396"/>
      <c r="AA33" s="481"/>
    </row>
    <row r="34" spans="1:66" s="1118" customFormat="1" ht="16.5" customHeight="1" x14ac:dyDescent="0.2">
      <c r="A34" s="1488">
        <f>IF(Data!L32=1,IF('Eng. Cutter Entry'!C4&lt;&gt;"",'ARDT Cutter Entry'!BI62,'ARDT Cutter Entry'!BI6),"")</f>
        <v>2</v>
      </c>
      <c r="B34" s="1489"/>
      <c r="C34" s="1489"/>
      <c r="D34" s="1463">
        <f>IF(Data!L32=1,IF('Eng. Cutter Entry'!C4&lt;&gt;"",'ARDT Cutter Entry'!BI63,'ARDT Cutter Entry'!BI7),"")</f>
        <v>4</v>
      </c>
      <c r="E34" s="1463"/>
      <c r="F34" s="1463"/>
      <c r="G34" s="1463">
        <f>IF(Data!L32=1,IF('Eng. Cutter Entry'!C4&lt;&gt;"",'ARDT Cutter Entry'!BI65,'ARDT Cutter Entry'!BI9),"")</f>
        <v>27</v>
      </c>
      <c r="H34" s="1463"/>
      <c r="I34" s="1463"/>
      <c r="J34" s="1463">
        <f>IF(Data!L32=1,IF('Eng. Cutter Entry'!C4&lt;&gt;"",'ARDT Cutter Entry'!BI64,'ARDT Cutter Entry'!BI8),"")</f>
        <v>0</v>
      </c>
      <c r="K34" s="1463"/>
      <c r="L34" s="1463"/>
      <c r="M34" s="1463">
        <f>IF(Data!L32=1,IF('Eng. Cutter Entry'!C4&lt;&gt;"",'ARDT Cutter Entry'!BI58+'ARDT Cutter Entry'!BI59,'ARDT Cutter Entry'!BI2+'ARDT Cutter Entry'!BI3),"")</f>
        <v>0</v>
      </c>
      <c r="N34" s="1463"/>
      <c r="O34" s="1463"/>
      <c r="P34" s="1463">
        <f>IF(Data!L32=1,IF('Eng. Cutter Entry'!C4&lt;&gt;"",'ARDT Cutter Entry'!BI60+'ARDT Cutter Entry'!BI61,'ARDT Cutter Entry'!BI4+'ARDT Cutter Entry'!BI5),"")</f>
        <v>0</v>
      </c>
      <c r="Q34" s="1463"/>
      <c r="R34" s="1463"/>
      <c r="S34" s="1463">
        <f>IF(Data!BO63&lt;&gt;"",Data!BO63," ")</f>
        <v>33</v>
      </c>
      <c r="T34" s="1463"/>
      <c r="U34" s="1463"/>
      <c r="V34" s="1119"/>
      <c r="W34" s="1478" t="s">
        <v>38</v>
      </c>
      <c r="X34" s="1478"/>
      <c r="Y34" s="1499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3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3">
      <c r="A36" s="1490" t="s">
        <v>19</v>
      </c>
      <c r="B36" s="1491"/>
      <c r="C36" s="1492"/>
      <c r="D36" s="1483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>Re-evaluated by Engineer. Pin face erosion.</v>
      </c>
      <c r="E36" s="1483"/>
      <c r="F36" s="1483"/>
      <c r="G36" s="1483"/>
      <c r="H36" s="1483"/>
      <c r="I36" s="1483"/>
      <c r="J36" s="1483"/>
      <c r="K36" s="1483"/>
      <c r="L36" s="1483"/>
      <c r="M36" s="1483"/>
      <c r="N36" s="1483"/>
      <c r="O36" s="1483"/>
      <c r="P36" s="1483"/>
      <c r="Q36" s="1483"/>
      <c r="R36" s="1483"/>
      <c r="S36" s="1483"/>
      <c r="T36" s="1483"/>
      <c r="U36" s="1483"/>
      <c r="V36" s="1483"/>
      <c r="W36" s="1483"/>
      <c r="X36" s="1483"/>
      <c r="Y36" s="1483"/>
      <c r="Z36" s="1483"/>
      <c r="AA36" s="1484"/>
    </row>
    <row r="37" spans="1:66" ht="15" customHeight="1" x14ac:dyDescent="0.25">
      <c r="A37" s="1493" t="str">
        <f>IF(Instructions!$L$1&lt;&gt;"",Instructions!$L$1,"")</f>
        <v/>
      </c>
      <c r="B37" s="1494"/>
      <c r="C37" s="1495"/>
      <c r="D37" s="1460"/>
      <c r="E37" s="1460"/>
      <c r="F37" s="1460"/>
      <c r="G37" s="1460"/>
      <c r="H37" s="1460"/>
      <c r="I37" s="1460"/>
      <c r="J37" s="1460"/>
      <c r="K37" s="1460"/>
      <c r="L37" s="1460"/>
      <c r="M37" s="1460"/>
      <c r="N37" s="1460"/>
      <c r="O37" s="1460"/>
      <c r="P37" s="1460"/>
      <c r="Q37" s="1460"/>
      <c r="R37" s="1460"/>
      <c r="S37" s="1460"/>
      <c r="T37" s="1460"/>
      <c r="U37" s="1460"/>
      <c r="V37" s="1460"/>
      <c r="W37" s="1460"/>
      <c r="X37" s="1460"/>
      <c r="Y37" s="1460"/>
      <c r="Z37" s="1460"/>
      <c r="AA37" s="1485"/>
    </row>
    <row r="38" spans="1:66" ht="15" customHeight="1" thickBot="1" x14ac:dyDescent="0.3">
      <c r="A38" s="1496"/>
      <c r="B38" s="1497"/>
      <c r="C38" s="1498"/>
      <c r="D38" s="1486"/>
      <c r="E38" s="1486"/>
      <c r="F38" s="1486"/>
      <c r="G38" s="1486"/>
      <c r="H38" s="1486"/>
      <c r="I38" s="1486"/>
      <c r="J38" s="1486"/>
      <c r="K38" s="1486"/>
      <c r="L38" s="1486"/>
      <c r="M38" s="1486"/>
      <c r="N38" s="1486"/>
      <c r="O38" s="1486"/>
      <c r="P38" s="1486"/>
      <c r="Q38" s="1486"/>
      <c r="R38" s="1486"/>
      <c r="S38" s="1486"/>
      <c r="T38" s="1486"/>
      <c r="U38" s="1486"/>
      <c r="V38" s="1486"/>
      <c r="W38" s="1486"/>
      <c r="X38" s="1486"/>
      <c r="Y38" s="1486"/>
      <c r="Z38" s="1486"/>
      <c r="AA38" s="1487"/>
    </row>
    <row r="39" spans="1:66" s="5" customFormat="1" ht="17.25" customHeight="1" x14ac:dyDescent="0.25">
      <c r="A39" s="1477" t="s">
        <v>1119</v>
      </c>
      <c r="B39" s="1478"/>
      <c r="C39" s="1478"/>
      <c r="D39" s="1479"/>
      <c r="E39" s="1479"/>
      <c r="F39" s="1479"/>
      <c r="G39" s="1479"/>
      <c r="H39" s="1479"/>
      <c r="I39" s="1479"/>
      <c r="J39" s="1480" t="str">
        <f>IF(Data!L32=1,IF(Data!B14&lt;&gt;"",Data!B14,"")&amp;"  "&amp;IF(Data!B14&lt;&gt;"N/A",IF(Data!B15&lt;&gt;"",TEXT(Data!B15,"MM/DD/YYYY"),""),""),"")</f>
        <v>Murthada Turaifi  01/14/2026</v>
      </c>
      <c r="K39" s="1480"/>
      <c r="L39" s="1480"/>
      <c r="M39" s="1480"/>
      <c r="N39" s="1480"/>
      <c r="O39" s="1480"/>
      <c r="P39" s="1479" t="s">
        <v>1059</v>
      </c>
      <c r="Q39" s="1479"/>
      <c r="R39" s="1479"/>
      <c r="S39" s="1479"/>
      <c r="T39" s="1479"/>
      <c r="U39" s="1479"/>
      <c r="V39" s="1461"/>
      <c r="W39" s="1461"/>
      <c r="X39" s="1461"/>
      <c r="Y39" s="1461"/>
      <c r="Z39" s="1461"/>
      <c r="AA39" s="1462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3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3">
      <c r="A41" s="1435" t="s">
        <v>39</v>
      </c>
      <c r="B41" s="1436"/>
      <c r="C41" s="1436"/>
      <c r="D41" s="1436"/>
      <c r="E41" s="1436"/>
      <c r="F41" s="1436"/>
      <c r="G41" s="1436"/>
      <c r="H41" s="1436"/>
      <c r="I41" s="1436"/>
      <c r="J41" s="1436"/>
      <c r="K41" s="1436"/>
      <c r="L41" s="1436"/>
      <c r="M41" s="1436"/>
      <c r="N41" s="1436"/>
      <c r="O41" s="1436"/>
      <c r="P41" s="1436"/>
      <c r="Q41" s="1436"/>
      <c r="R41" s="1436"/>
      <c r="S41" s="1436"/>
      <c r="T41" s="1436"/>
      <c r="U41" s="1436"/>
      <c r="V41" s="1436"/>
      <c r="W41" s="1436"/>
      <c r="X41" s="1436"/>
      <c r="Y41" s="1436"/>
      <c r="Z41" s="1436"/>
      <c r="AA41" s="1472"/>
    </row>
    <row r="42" spans="1:66" ht="10.5" customHeight="1" x14ac:dyDescent="0.25">
      <c r="A42" s="1470" t="s">
        <v>108</v>
      </c>
      <c r="B42" s="1468"/>
      <c r="C42" s="1468" t="s">
        <v>40</v>
      </c>
      <c r="D42" s="1468"/>
      <c r="E42" s="1468" t="s">
        <v>41</v>
      </c>
      <c r="F42" s="1468"/>
      <c r="G42" s="1468"/>
      <c r="H42" s="1468" t="s">
        <v>730</v>
      </c>
      <c r="I42" s="1468"/>
      <c r="J42" s="1468"/>
      <c r="K42" s="1468" t="s">
        <v>43</v>
      </c>
      <c r="L42" s="1468"/>
      <c r="M42" s="1468"/>
      <c r="N42" s="1468"/>
      <c r="O42" s="1468"/>
      <c r="P42" s="1468"/>
      <c r="Q42" s="1468"/>
      <c r="R42" s="1473" t="s">
        <v>44</v>
      </c>
      <c r="S42" s="1473"/>
      <c r="T42" s="1473"/>
      <c r="U42" s="1473"/>
      <c r="V42" s="1473"/>
      <c r="W42" s="1473"/>
      <c r="X42" s="1473"/>
      <c r="Y42" s="1473"/>
      <c r="Z42" s="1473"/>
      <c r="AA42" s="1474"/>
      <c r="AJ42" t="s">
        <v>2489</v>
      </c>
    </row>
    <row r="43" spans="1:66" ht="12" customHeight="1" x14ac:dyDescent="0.25">
      <c r="A43" s="1471"/>
      <c r="B43" s="1469"/>
      <c r="C43" s="1469"/>
      <c r="D43" s="1469"/>
      <c r="E43" s="1469"/>
      <c r="F43" s="1469"/>
      <c r="G43" s="1469"/>
      <c r="H43" s="1469"/>
      <c r="I43" s="1469"/>
      <c r="J43" s="1469"/>
      <c r="K43" s="1469"/>
      <c r="L43" s="1469"/>
      <c r="M43" s="1469"/>
      <c r="N43" s="1469"/>
      <c r="O43" s="1469"/>
      <c r="P43" s="1469"/>
      <c r="Q43" s="1469"/>
      <c r="R43" s="1475"/>
      <c r="S43" s="1475"/>
      <c r="T43" s="1475"/>
      <c r="U43" s="1475"/>
      <c r="V43" s="1475"/>
      <c r="W43" s="1475"/>
      <c r="X43" s="1475"/>
      <c r="Y43" s="1475"/>
      <c r="Z43" s="1475"/>
      <c r="AA43" s="1476"/>
    </row>
    <row r="44" spans="1:66" ht="15" customHeight="1" x14ac:dyDescent="0.25">
      <c r="A44" s="1427">
        <f>IF(TRIM(H44)="","",IF(Data!CX60&gt;0,IF(Data!CX60&lt;&gt;"", Data!CX60, " ")," "))</f>
        <v>1</v>
      </c>
      <c r="B44" s="1420"/>
      <c r="C44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44" s="1420"/>
      <c r="E44" s="1420">
        <f>IF(Data!GK2&gt;0,IF(Data!GK2&lt;&gt;"",Data!GK2," ")," ")</f>
        <v>1313</v>
      </c>
      <c r="F44" s="1420"/>
      <c r="G44" s="1420"/>
      <c r="H44" s="1420">
        <f>IF(Data!GG2&gt;0,IF(Data!GG2&lt;&gt;"",IF(Data!GG2&lt;&gt;"Add the cutter in list",Data!GG2,""),""),"")</f>
        <v>1145493</v>
      </c>
      <c r="I44" s="1420"/>
      <c r="J44" s="1420"/>
      <c r="K44" s="1420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L44" s="1420"/>
      <c r="M44" s="1420"/>
      <c r="N44" s="1420"/>
      <c r="O44" s="1420"/>
      <c r="P44" s="1420"/>
      <c r="Q44" s="1420"/>
      <c r="R44" s="1420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 xml:space="preserve"> </v>
      </c>
      <c r="S44" s="1420"/>
      <c r="T44" s="1420"/>
      <c r="U44" s="1420"/>
      <c r="V44" s="1420"/>
      <c r="W44" s="1420"/>
      <c r="X44" s="1420"/>
      <c r="Y44" s="1420"/>
      <c r="Z44" s="1420"/>
      <c r="AA44" s="1421"/>
      <c r="AE44" t="str">
        <f>"["&amp;C44&amp;" ENO]"</f>
        <v>[0 ENO]</v>
      </c>
      <c r="AF44" t="str">
        <f>"[9 ENO]"</f>
        <v>[9 ENO]</v>
      </c>
      <c r="AG44" t="str">
        <f>"[33 New]"</f>
        <v>[33 New]</v>
      </c>
    </row>
    <row r="45" spans="1:66" ht="15" customHeight="1" x14ac:dyDescent="0.25">
      <c r="A45" s="1427">
        <f>IF(TRIM(H45)="","",IF(Data!CX61&gt;0,IF(Data!CX61&lt;&gt;"",Data!CX61," ")," "))</f>
        <v>2</v>
      </c>
      <c r="B45" s="1420"/>
      <c r="C45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0</v>
      </c>
      <c r="D45" s="1420"/>
      <c r="E45" s="1420">
        <f>IF(Data!GK3&gt;0,IF(Data!GK3&lt;&gt;"",Data!GK3," ")," ")</f>
        <v>1308</v>
      </c>
      <c r="F45" s="1420"/>
      <c r="G45" s="1420"/>
      <c r="H45" s="1420">
        <f>IF(Data!GG3&gt;0,IF(Data!GG3&lt;&gt;"",IF(Data!GG3&lt;&gt;"Add the cutter in list",Data!GG3,""),""),"")</f>
        <v>418525</v>
      </c>
      <c r="I45" s="1420"/>
      <c r="J45" s="1420"/>
      <c r="K45" s="1420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45" s="1420"/>
      <c r="M45" s="1420"/>
      <c r="N45" s="1420"/>
      <c r="O45" s="1420"/>
      <c r="P45" s="1420"/>
      <c r="Q45" s="1420"/>
      <c r="R45" s="1420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 xml:space="preserve"> </v>
      </c>
      <c r="S45" s="1420"/>
      <c r="T45" s="1420"/>
      <c r="U45" s="1420"/>
      <c r="V45" s="1420"/>
      <c r="W45" s="1420"/>
      <c r="X45" s="1420"/>
      <c r="Y45" s="1420"/>
      <c r="Z45" s="1420"/>
      <c r="AA45" s="1421"/>
      <c r="AE45" t="str">
        <f t="shared" ref="AE45:AE60" si="0">"["&amp;C45&amp;" ENO]"</f>
        <v>[0 ENO]</v>
      </c>
    </row>
    <row r="46" spans="1:66" ht="15" customHeight="1" x14ac:dyDescent="0.25">
      <c r="A46" s="1427">
        <f>IF(TRIM(H46)="","",IF(Data!CX62&gt;0,IF(Data!CX62&lt;&gt;"",Data!CX62," ")," "))</f>
        <v>3</v>
      </c>
      <c r="B46" s="1420"/>
      <c r="C46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0</v>
      </c>
      <c r="D46" s="1420"/>
      <c r="E46" s="1420">
        <f>IF(Data!GK4&gt;0,IF(Data!GK4&lt;&gt;"",Data!GK4," ")," ")</f>
        <v>1313</v>
      </c>
      <c r="F46" s="1420"/>
      <c r="G46" s="1420"/>
      <c r="H46" s="1420">
        <f>IF(Data!GG4&gt;0,IF(Data!GG4&lt;&gt;"",IF(Data!GG4&lt;&gt;"Add the cutter in list",Data!GG4,""),""),"")</f>
        <v>1209332</v>
      </c>
      <c r="I46" s="1420"/>
      <c r="J46" s="1420"/>
      <c r="K46" s="1420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L46" s="1420"/>
      <c r="M46" s="1420"/>
      <c r="N46" s="1420"/>
      <c r="O46" s="1420"/>
      <c r="P46" s="1420"/>
      <c r="Q46" s="1420"/>
      <c r="R46" s="1420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</v>
      </c>
      <c r="S46" s="1420"/>
      <c r="T46" s="1420"/>
      <c r="U46" s="1420"/>
      <c r="V46" s="1420"/>
      <c r="W46" s="1420"/>
      <c r="X46" s="1420"/>
      <c r="Y46" s="1420"/>
      <c r="Z46" s="1420"/>
      <c r="AA46" s="1421"/>
      <c r="AE46" t="str">
        <f t="shared" si="0"/>
        <v>[0 ENO]</v>
      </c>
      <c r="AG46" t="s">
        <v>2057</v>
      </c>
      <c r="AH46" t="s">
        <v>2056</v>
      </c>
    </row>
    <row r="47" spans="1:66" ht="15" customHeight="1" x14ac:dyDescent="0.25">
      <c r="A47" s="1427">
        <f>IF(TRIM(H47)="","",IF(Data!CX63&gt;0,IF(Data!CX63&lt;&gt;"",Data!CX63," ")," "))</f>
        <v>4</v>
      </c>
      <c r="B47" s="1420"/>
      <c r="C47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47" s="1420"/>
      <c r="E47" s="1420">
        <f>IF(Data!GK5&gt;0,IF(Data!GK5&lt;&gt;"",Data!GK5," ")," ")</f>
        <v>1313</v>
      </c>
      <c r="F47" s="1420"/>
      <c r="G47" s="1420"/>
      <c r="H47" s="1420">
        <f>IF(Data!GG5&gt;0,IF(Data!GG5&lt;&gt;"",IF(Data!GG5&lt;&gt;"Add the cutter in list",Data!GG5,""),""),"")</f>
        <v>1146346</v>
      </c>
      <c r="I47" s="1420"/>
      <c r="J47" s="1420"/>
      <c r="K47" s="1420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L47" s="1420"/>
      <c r="M47" s="1420"/>
      <c r="N47" s="1420"/>
      <c r="O47" s="1420"/>
      <c r="P47" s="1420"/>
      <c r="Q47" s="1420"/>
      <c r="R47" s="1420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>To Replace Cutter # 1</v>
      </c>
      <c r="S47" s="1420"/>
      <c r="T47" s="1420"/>
      <c r="U47" s="1420"/>
      <c r="V47" s="1420"/>
      <c r="W47" s="1420"/>
      <c r="X47" s="1420"/>
      <c r="Y47" s="1420"/>
      <c r="Z47" s="1420"/>
      <c r="AA47" s="1421"/>
      <c r="AE47" t="str">
        <f t="shared" si="0"/>
        <v>[0 ENO]</v>
      </c>
      <c r="AI47" t="str">
        <f>IF(H48=1228501, "[" &amp; INDEX(C:C, MATCH(1228502, H:H, 0)) &amp; " NEW]", "")</f>
        <v/>
      </c>
    </row>
    <row r="48" spans="1:66" ht="15" customHeight="1" x14ac:dyDescent="0.25">
      <c r="A48" s="1427">
        <f>IF(TRIM(H48)="","",IF(Data!CX64&gt;0,IF(Data!CX64&lt;&gt;"",Data!CX64," ")," "))</f>
        <v>5</v>
      </c>
      <c r="B48" s="1420"/>
      <c r="C48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420"/>
      <c r="E48" s="1420">
        <f>IF(Data!GK6&gt;0,IF(Data!GK6&lt;&gt;"",Data!GK6," ")," ")</f>
        <v>1313</v>
      </c>
      <c r="F48" s="1420"/>
      <c r="G48" s="1420"/>
      <c r="H48" s="1420">
        <f>IF(Data!GG6&gt;0,IF(Data!GG6&lt;&gt;"",IF(Data!GG6&lt;&gt;"Add the cutter in list",Data!GG6,""),""),"")</f>
        <v>2001155</v>
      </c>
      <c r="I48" s="1420"/>
      <c r="J48" s="1420"/>
      <c r="K48" s="1420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L48" s="1420"/>
      <c r="M48" s="1420"/>
      <c r="N48" s="1420"/>
      <c r="O48" s="1420"/>
      <c r="P48" s="1420"/>
      <c r="Q48" s="1420"/>
      <c r="R48" s="1420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>To Replace Cutter # 3</v>
      </c>
      <c r="S48" s="1420"/>
      <c r="T48" s="1420"/>
      <c r="U48" s="1420"/>
      <c r="V48" s="1420"/>
      <c r="W48" s="1420"/>
      <c r="X48" s="1420"/>
      <c r="Y48" s="1420"/>
      <c r="Z48" s="1420"/>
      <c r="AA48" s="1421"/>
      <c r="AE48" t="str">
        <f t="shared" si="0"/>
        <v>[0 ENO]</v>
      </c>
    </row>
    <row r="49" spans="1:33" ht="15" customHeight="1" x14ac:dyDescent="0.25">
      <c r="A49" s="1427" t="str">
        <f>IF(TRIM(H49)="","",IF(Data!CX65&gt;0,IF(Data!CX65&lt;&gt;"",Data!CX65," ")," "))</f>
        <v/>
      </c>
      <c r="B49" s="1420"/>
      <c r="C49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420"/>
      <c r="E49" s="1420" t="str">
        <f>IF(Data!GK7&gt;0,IF(Data!GK7&lt;&gt;"",Data!GK7," ")," ")</f>
        <v xml:space="preserve"> </v>
      </c>
      <c r="F49" s="1420"/>
      <c r="G49" s="1420"/>
      <c r="H49" s="1420" t="str">
        <f>IF(Data!GG7&gt;0,IF(Data!GG7&lt;&gt;"",IF(Data!GG7&lt;&gt;"Add the cutter in list",Data!GG7,""),""),"")</f>
        <v/>
      </c>
      <c r="I49" s="1420"/>
      <c r="J49" s="1420"/>
      <c r="K49" s="1420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20"/>
      <c r="M49" s="1420"/>
      <c r="N49" s="1420"/>
      <c r="O49" s="1420"/>
      <c r="P49" s="1420"/>
      <c r="Q49" s="1420"/>
      <c r="R49" s="1420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20"/>
      <c r="T49" s="1420"/>
      <c r="U49" s="1420"/>
      <c r="V49" s="1420"/>
      <c r="W49" s="1420"/>
      <c r="X49" s="1420"/>
      <c r="Y49" s="1420"/>
      <c r="Z49" s="1420"/>
      <c r="AA49" s="1421"/>
      <c r="AE49" t="str">
        <f t="shared" si="0"/>
        <v>[0 ENO]</v>
      </c>
    </row>
    <row r="50" spans="1:33" ht="15" customHeight="1" x14ac:dyDescent="0.25">
      <c r="A50" s="1427" t="str">
        <f>IF(TRIM(H50)="","",IF(Data!CX66&gt;0,IF(Data!CX66&lt;&gt;"",Data!CX66," ")," "))</f>
        <v/>
      </c>
      <c r="B50" s="1420"/>
      <c r="C50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420"/>
      <c r="E50" s="1420" t="str">
        <f>IF(Data!GK8&gt;0,IF(Data!GK8&lt;&gt;"",Data!GK8," ")," ")</f>
        <v xml:space="preserve"> </v>
      </c>
      <c r="F50" s="1420"/>
      <c r="G50" s="1420"/>
      <c r="H50" s="1420" t="str">
        <f>IF(Data!GG8&gt;0,IF(Data!GG8&lt;&gt;"",IF(Data!GG8&lt;&gt;"Add the cutter in list",Data!GG8,""),""),"")</f>
        <v/>
      </c>
      <c r="I50" s="1420"/>
      <c r="J50" s="1420"/>
      <c r="K50" s="1420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20"/>
      <c r="M50" s="1420"/>
      <c r="N50" s="1420"/>
      <c r="O50" s="1420"/>
      <c r="P50" s="1420"/>
      <c r="Q50" s="1420"/>
      <c r="R50" s="1420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20"/>
      <c r="T50" s="1420"/>
      <c r="U50" s="1420"/>
      <c r="V50" s="1420"/>
      <c r="W50" s="1420"/>
      <c r="X50" s="1420"/>
      <c r="Y50" s="1420"/>
      <c r="Z50" s="1420"/>
      <c r="AA50" s="1421"/>
      <c r="AE50" t="str">
        <f t="shared" si="0"/>
        <v>[0 ENO]</v>
      </c>
      <c r="AG50" t="s">
        <v>2490</v>
      </c>
    </row>
    <row r="51" spans="1:33" ht="15" customHeight="1" x14ac:dyDescent="0.25">
      <c r="A51" s="1427" t="str">
        <f>IF(TRIM(H51)="","",IF(Data!CX67&gt;0,IF(Data!CX67&lt;&gt;"",Data!CX67," ")," "))</f>
        <v/>
      </c>
      <c r="B51" s="1420"/>
      <c r="C51" s="1420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420"/>
      <c r="E51" s="1420" t="str">
        <f>IF(Data!GK9&gt;0,IF(Data!GK9&lt;&gt;"",Data!GK9," ")," ")</f>
        <v xml:space="preserve"> </v>
      </c>
      <c r="F51" s="1420"/>
      <c r="G51" s="1420"/>
      <c r="H51" s="1420" t="str">
        <f>IF(Data!GG9&gt;0,IF(Data!GG9&lt;&gt;"",IF(Data!GG9&lt;&gt;"Add the cutter in list",Data!GG9,""),""),"")</f>
        <v/>
      </c>
      <c r="I51" s="1420"/>
      <c r="J51" s="1420"/>
      <c r="K51" s="1420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20"/>
      <c r="M51" s="1420"/>
      <c r="N51" s="1420"/>
      <c r="O51" s="1420"/>
      <c r="P51" s="1420"/>
      <c r="Q51" s="1420"/>
      <c r="R51" s="1420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20"/>
      <c r="T51" s="1420"/>
      <c r="U51" s="1420"/>
      <c r="V51" s="1420"/>
      <c r="W51" s="1420"/>
      <c r="X51" s="1420"/>
      <c r="Y51" s="1420"/>
      <c r="Z51" s="1420"/>
      <c r="AA51" s="1421"/>
      <c r="AE51" t="str">
        <f t="shared" ref="AE51:AE56" si="1">"["&amp;C51&amp;" ENO]"</f>
        <v>[0 ENO]</v>
      </c>
      <c r="AG51" t="s">
        <v>2515</v>
      </c>
    </row>
    <row r="52" spans="1:33" ht="15" customHeight="1" x14ac:dyDescent="0.25">
      <c r="A52" s="1427" t="str">
        <f>IF(TRIM(H52)="","",IF(Data!CX68&gt;0,IF(Data!CX68&lt;&gt;"",Data!CX68," ")," "))</f>
        <v/>
      </c>
      <c r="B52" s="1420"/>
      <c r="C52" s="1420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420"/>
      <c r="E52" s="1420" t="str">
        <f>IF(Data!GK10&gt;0,IF(Data!GK10&lt;&gt;"",Data!GK10," ")," ")</f>
        <v xml:space="preserve"> </v>
      </c>
      <c r="F52" s="1420"/>
      <c r="G52" s="1420"/>
      <c r="H52" s="1420" t="str">
        <f>IF(Data!GG10&gt;0,IF(Data!GG10&lt;&gt;"",IF(Data!GG10&lt;&gt;"Add the cutter in list",Data!GG10,""),""),"")</f>
        <v/>
      </c>
      <c r="I52" s="1420"/>
      <c r="J52" s="1420"/>
      <c r="K52" s="1420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20"/>
      <c r="M52" s="1420"/>
      <c r="N52" s="1420"/>
      <c r="O52" s="1420"/>
      <c r="P52" s="1420"/>
      <c r="Q52" s="1420"/>
      <c r="R52" s="1420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20"/>
      <c r="T52" s="1420"/>
      <c r="U52" s="1420"/>
      <c r="V52" s="1420"/>
      <c r="W52" s="1420"/>
      <c r="X52" s="1420"/>
      <c r="Y52" s="1420"/>
      <c r="Z52" s="1420"/>
      <c r="AA52" s="1421"/>
      <c r="AE52" t="str">
        <f t="shared" si="1"/>
        <v>[0 ENO]</v>
      </c>
    </row>
    <row r="53" spans="1:33" ht="15" customHeight="1" x14ac:dyDescent="0.25">
      <c r="A53" s="1427" t="str">
        <f>IF(TRIM(H53)="","",IF(Data!CX69&gt;0,IF(Data!CX69&lt;&gt;"",Data!CX69," ")," "))</f>
        <v/>
      </c>
      <c r="B53" s="1420"/>
      <c r="C53" s="1420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420"/>
      <c r="E53" s="1420" t="str">
        <f>IF(Data!GK11&gt;0,IF(Data!GK11&lt;&gt;"",Data!GK11," ")," ")</f>
        <v xml:space="preserve"> </v>
      </c>
      <c r="F53" s="1420"/>
      <c r="G53" s="1420"/>
      <c r="H53" s="1420" t="str">
        <f>IF(Data!GG11&gt;0,IF(Data!GG11&lt;&gt;"",IF(Data!GG11&lt;&gt;"Add the cutter in list",Data!GG11,""),""),"")</f>
        <v/>
      </c>
      <c r="I53" s="1420"/>
      <c r="J53" s="1420"/>
      <c r="K53" s="142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20"/>
      <c r="M53" s="1420"/>
      <c r="N53" s="1420"/>
      <c r="O53" s="1420"/>
      <c r="P53" s="1420"/>
      <c r="Q53" s="1420"/>
      <c r="R53" s="1420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20"/>
      <c r="T53" s="1420"/>
      <c r="U53" s="1420"/>
      <c r="V53" s="1420"/>
      <c r="W53" s="1420"/>
      <c r="X53" s="1420"/>
      <c r="Y53" s="1420"/>
      <c r="Z53" s="1420"/>
      <c r="AA53" s="1421"/>
      <c r="AE53" t="str">
        <f t="shared" si="1"/>
        <v>[0 ENO]</v>
      </c>
    </row>
    <row r="54" spans="1:33" ht="15" customHeight="1" x14ac:dyDescent="0.25">
      <c r="A54" s="1427" t="str">
        <f>IF(TRIM(H54)="","",IF(Data!CX70&gt;0,IF(Data!CX70&lt;&gt;"",Data!CX70," ")," "))</f>
        <v/>
      </c>
      <c r="B54" s="1420"/>
      <c r="C54" s="1420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420"/>
      <c r="E54" s="1420" t="str">
        <f>IF(Data!GK12&gt;0,IF(Data!GK12&lt;&gt;"",Data!GK12," ")," ")</f>
        <v xml:space="preserve"> </v>
      </c>
      <c r="F54" s="1420"/>
      <c r="G54" s="1420"/>
      <c r="H54" s="1420" t="str">
        <f>IF(Data!GG12&gt;0,IF(Data!GG12&lt;&gt;"",IF(Data!GG12&lt;&gt;"Add the cutter in list",Data!GG12,""),""),"")</f>
        <v/>
      </c>
      <c r="I54" s="1420"/>
      <c r="J54" s="1420"/>
      <c r="K54" s="1420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20"/>
      <c r="M54" s="1420"/>
      <c r="N54" s="1420"/>
      <c r="O54" s="1420"/>
      <c r="P54" s="1420"/>
      <c r="Q54" s="1420"/>
      <c r="R54" s="1420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20"/>
      <c r="T54" s="1420"/>
      <c r="U54" s="1420"/>
      <c r="V54" s="1420"/>
      <c r="W54" s="1420"/>
      <c r="X54" s="1420"/>
      <c r="Y54" s="1420"/>
      <c r="Z54" s="1420"/>
      <c r="AA54" s="1421"/>
      <c r="AE54" t="str">
        <f t="shared" si="1"/>
        <v>[0 ENO]</v>
      </c>
      <c r="AG54" t="s">
        <v>2491</v>
      </c>
    </row>
    <row r="55" spans="1:33" ht="15" customHeight="1" x14ac:dyDescent="0.25">
      <c r="A55" s="1427" t="str">
        <f>IF(TRIM(H55)="","",IF(Data!CX71&gt;0,IF(Data!CX71&lt;&gt;"",Data!CX71," ")," "))</f>
        <v/>
      </c>
      <c r="B55" s="1420"/>
      <c r="C55" s="1420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420"/>
      <c r="E55" s="1420" t="str">
        <f>IF(Data!GK13&gt;0,IF(Data!GK13&lt;&gt;"",Data!GK13," ")," ")</f>
        <v xml:space="preserve"> </v>
      </c>
      <c r="F55" s="1420"/>
      <c r="G55" s="1420"/>
      <c r="H55" s="1420" t="str">
        <f>IF(Data!GG13&gt;0,IF(Data!GG13&lt;&gt;"",IF(Data!GG13&lt;&gt;"Add the cutter in list",Data!GG13,""),""),"")</f>
        <v/>
      </c>
      <c r="I55" s="1420"/>
      <c r="J55" s="1420"/>
      <c r="K55" s="1420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20"/>
      <c r="M55" s="1420"/>
      <c r="N55" s="1420"/>
      <c r="O55" s="1420"/>
      <c r="P55" s="1420"/>
      <c r="Q55" s="1420"/>
      <c r="R55" s="1420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20"/>
      <c r="T55" s="1420"/>
      <c r="U55" s="1420"/>
      <c r="V55" s="1420"/>
      <c r="W55" s="1420"/>
      <c r="X55" s="1420"/>
      <c r="Y55" s="1420"/>
      <c r="Z55" s="1420"/>
      <c r="AA55" s="1421"/>
      <c r="AE55" t="str">
        <f t="shared" si="1"/>
        <v>[0 ENO]</v>
      </c>
    </row>
    <row r="56" spans="1:33" ht="15" customHeight="1" x14ac:dyDescent="0.25">
      <c r="A56" s="1427" t="str">
        <f>IF(TRIM(H56)="","",IF(Data!CX72&gt;0,IF(Data!CX72&lt;&gt;"",Data!CX72," ")," "))</f>
        <v/>
      </c>
      <c r="B56" s="1420"/>
      <c r="C56" s="1420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420"/>
      <c r="E56" s="1420" t="str">
        <f>IF(Data!GK14&gt;0,IF(Data!GK14&lt;&gt;"",Data!GK14," ")," ")</f>
        <v xml:space="preserve"> </v>
      </c>
      <c r="F56" s="1420"/>
      <c r="G56" s="1420"/>
      <c r="H56" s="1420" t="str">
        <f>IF(Data!GG14&gt;0,IF(Data!GG14&lt;&gt;"",IF(Data!GG14&lt;&gt;"Add the cutter in list",Data!GG14,""),""),"")</f>
        <v/>
      </c>
      <c r="I56" s="1420"/>
      <c r="J56" s="1420"/>
      <c r="K56" s="1420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20"/>
      <c r="M56" s="1420"/>
      <c r="N56" s="1420"/>
      <c r="O56" s="1420"/>
      <c r="P56" s="1420"/>
      <c r="Q56" s="1420"/>
      <c r="R56" s="1420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20"/>
      <c r="T56" s="1420"/>
      <c r="U56" s="1420"/>
      <c r="V56" s="1420"/>
      <c r="W56" s="1420"/>
      <c r="X56" s="1420"/>
      <c r="Y56" s="1420"/>
      <c r="Z56" s="1420"/>
      <c r="AA56" s="1421"/>
      <c r="AE56" t="str">
        <f t="shared" si="1"/>
        <v>[0 ENO]</v>
      </c>
    </row>
    <row r="57" spans="1:33" ht="15" customHeight="1" x14ac:dyDescent="0.25">
      <c r="A57" s="1427" t="str">
        <f>IF(TRIM(H57)="","",IF(Data!CX73&gt;0,IF(Data!CX73&lt;&gt;"",Data!CX73," ")," "))</f>
        <v/>
      </c>
      <c r="B57" s="1420"/>
      <c r="C57" s="1420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420"/>
      <c r="E57" s="1420" t="str">
        <f>IF(Data!GK15&gt;0,IF(Data!GK15&lt;&gt;"",Data!GK15," ")," ")</f>
        <v xml:space="preserve"> </v>
      </c>
      <c r="F57" s="1420"/>
      <c r="G57" s="1420"/>
      <c r="H57" s="1420" t="str">
        <f>IF(Data!GG15&gt;0,IF(Data!GG15&lt;&gt;"",IF(Data!GG15&lt;&gt;"Add the cutter in list",Data!GG15,""),""),"")</f>
        <v/>
      </c>
      <c r="I57" s="1420"/>
      <c r="J57" s="1420"/>
      <c r="K57" s="1420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20"/>
      <c r="M57" s="1420"/>
      <c r="N57" s="1420"/>
      <c r="O57" s="1420"/>
      <c r="P57" s="1420"/>
      <c r="Q57" s="1420"/>
      <c r="R57" s="1420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20"/>
      <c r="T57" s="1420"/>
      <c r="U57" s="1420"/>
      <c r="V57" s="1420"/>
      <c r="W57" s="1420"/>
      <c r="X57" s="1420"/>
      <c r="Y57" s="1420"/>
      <c r="Z57" s="1420"/>
      <c r="AA57" s="1421"/>
      <c r="AE57" t="str">
        <f t="shared" si="0"/>
        <v>[0 ENO]</v>
      </c>
      <c r="AG57" t="s">
        <v>2491</v>
      </c>
    </row>
    <row r="58" spans="1:33" ht="15" customHeight="1" x14ac:dyDescent="0.25">
      <c r="A58" s="1427" t="str">
        <f>IF(TRIM(H58)="","",IF(Data!CX74&gt;0,IF(Data!CX74&lt;&gt;"",Data!CX74," ")," "))</f>
        <v/>
      </c>
      <c r="B58" s="1420"/>
      <c r="C58" s="1420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420"/>
      <c r="E58" s="1420" t="str">
        <f>IF(Data!GK16&gt;0,IF(Data!GK16&lt;&gt;"",Data!GK16," ")," ")</f>
        <v xml:space="preserve"> </v>
      </c>
      <c r="F58" s="1420"/>
      <c r="G58" s="1420"/>
      <c r="H58" s="1420" t="str">
        <f>IF(Data!GG16&gt;0,IF(Data!GG16&lt;&gt;"",IF(Data!GG16&lt;&gt;"Add the cutter in list",Data!GG16,""),""),"")</f>
        <v/>
      </c>
      <c r="I58" s="1420"/>
      <c r="J58" s="1420"/>
      <c r="K58" s="1420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20"/>
      <c r="M58" s="1420"/>
      <c r="N58" s="1420"/>
      <c r="O58" s="1420"/>
      <c r="P58" s="1420"/>
      <c r="Q58" s="1420"/>
      <c r="R58" s="1420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20"/>
      <c r="T58" s="1420"/>
      <c r="U58" s="1420"/>
      <c r="V58" s="1420"/>
      <c r="W58" s="1420"/>
      <c r="X58" s="1420"/>
      <c r="Y58" s="1420"/>
      <c r="Z58" s="1420"/>
      <c r="AA58" s="1421"/>
      <c r="AE58" t="str">
        <f t="shared" si="0"/>
        <v>[0 ENO]</v>
      </c>
    </row>
    <row r="59" spans="1:33" ht="15" customHeight="1" x14ac:dyDescent="0.25">
      <c r="A59" s="1427" t="str">
        <f>IF(TRIM(H59)="","",IF(Data!CX75&gt;0,IF(Data!CX75&lt;&gt;"",Data!CX75," ")," "))</f>
        <v/>
      </c>
      <c r="B59" s="1420"/>
      <c r="C59" s="1420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420"/>
      <c r="E59" s="1420" t="str">
        <f>IF(Data!GK17&gt;0,IF(Data!GK17&lt;&gt;"",Data!GK17," ")," ")</f>
        <v xml:space="preserve"> </v>
      </c>
      <c r="F59" s="1420"/>
      <c r="G59" s="1420"/>
      <c r="H59" s="1420" t="str">
        <f>IF(Data!GG17&gt;0,IF(Data!GG17&lt;&gt;"",IF(Data!GG17&lt;&gt;"Add the cutter in list",Data!GG17,""),""),"")</f>
        <v/>
      </c>
      <c r="I59" s="1420"/>
      <c r="J59" s="1420"/>
      <c r="K59" s="1420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20"/>
      <c r="M59" s="1420"/>
      <c r="N59" s="1420"/>
      <c r="O59" s="1420"/>
      <c r="P59" s="1420"/>
      <c r="Q59" s="1420"/>
      <c r="R59" s="1420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20"/>
      <c r="T59" s="1420"/>
      <c r="U59" s="1420"/>
      <c r="V59" s="1420"/>
      <c r="W59" s="1420"/>
      <c r="X59" s="1420"/>
      <c r="Y59" s="1420"/>
      <c r="Z59" s="1420"/>
      <c r="AA59" s="1421"/>
      <c r="AE59" t="str">
        <f t="shared" ref="AE59" si="2">"["&amp;C59&amp;" ENO]"</f>
        <v>[0 ENO]</v>
      </c>
    </row>
    <row r="60" spans="1:33" ht="15" customHeight="1" thickBot="1" x14ac:dyDescent="0.3">
      <c r="A60" s="1425" t="str">
        <f>IF(TRIM(H60)="","",IF(Data!CX76&gt;0,IF(Data!CX76&lt;&gt;"",Data!CX76," ")," "))</f>
        <v/>
      </c>
      <c r="B60" s="1426"/>
      <c r="C60" s="1426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426"/>
      <c r="E60" s="1426" t="str">
        <f>IF(Data!GK18&gt;0,IF(Data!GK18&lt;&gt;"",Data!GK18," ")," ")</f>
        <v xml:space="preserve"> </v>
      </c>
      <c r="F60" s="1426"/>
      <c r="G60" s="1426"/>
      <c r="H60" s="1426" t="str">
        <f>IF(Data!GG18&gt;0,IF(Data!GG18&lt;&gt;"",IF(Data!GG18&lt;&gt;"Add the cutter in list",Data!GG18,""),""),"")</f>
        <v/>
      </c>
      <c r="I60" s="1426"/>
      <c r="J60" s="1426"/>
      <c r="K60" s="1426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426"/>
      <c r="M60" s="1426"/>
      <c r="N60" s="1426"/>
      <c r="O60" s="1426"/>
      <c r="P60" s="1426"/>
      <c r="Q60" s="1426"/>
      <c r="R60" s="1426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426"/>
      <c r="T60" s="1426"/>
      <c r="U60" s="1426"/>
      <c r="V60" s="1426"/>
      <c r="W60" s="1426"/>
      <c r="X60" s="1426"/>
      <c r="Y60" s="1426"/>
      <c r="Z60" s="1426"/>
      <c r="AA60" s="1428"/>
      <c r="AE60" t="str">
        <f t="shared" si="0"/>
        <v>[0 ENO]</v>
      </c>
    </row>
    <row r="61" spans="1:33" ht="3" customHeight="1" x14ac:dyDescent="0.2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25">
      <c r="A62" s="1464" t="s">
        <v>1056</v>
      </c>
      <c r="B62" s="1464"/>
      <c r="C62" s="1464"/>
      <c r="D62" s="1464"/>
      <c r="E62" s="1465" t="str">
        <f>IF(Data!B16&lt;&gt;"",Data!B16," ")</f>
        <v>LSTK</v>
      </c>
      <c r="F62" s="1465"/>
      <c r="G62" s="1465"/>
      <c r="H62" s="1465"/>
      <c r="I62" s="396"/>
      <c r="J62" s="1466" t="s">
        <v>2514</v>
      </c>
      <c r="K62" s="1466"/>
      <c r="L62" s="1466"/>
      <c r="M62" s="1466"/>
      <c r="N62" s="1466"/>
      <c r="O62" s="1466"/>
      <c r="P62" s="1466"/>
      <c r="Q62" s="1467"/>
      <c r="R62" s="1467"/>
      <c r="S62" s="1467"/>
      <c r="T62" s="1467"/>
      <c r="U62" s="1467"/>
      <c r="V62" s="1467"/>
      <c r="W62" s="1467"/>
      <c r="X62" s="1467"/>
      <c r="Y62" s="1467"/>
      <c r="Z62" s="1467"/>
      <c r="AA62" s="1467"/>
    </row>
    <row r="63" spans="1:33" ht="4.5" customHeight="1" x14ac:dyDescent="0.2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0999999999999996" customHeight="1" x14ac:dyDescent="0.2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.75" thickBot="1" x14ac:dyDescent="0.3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.75" thickBot="1" x14ac:dyDescent="0.3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2335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25">
      <c r="AJ69" t="s">
        <v>2329</v>
      </c>
      <c r="AL69" s="1065"/>
      <c r="AM69" s="1060" t="s">
        <v>2433</v>
      </c>
      <c r="AN69" s="1060" t="s">
        <v>2434</v>
      </c>
      <c r="AO69" s="1060" t="s">
        <v>2435</v>
      </c>
      <c r="AP69" s="1060" t="s">
        <v>2436</v>
      </c>
      <c r="AQ69" s="1060" t="s">
        <v>2437</v>
      </c>
      <c r="AR69" s="1060" t="s">
        <v>2438</v>
      </c>
      <c r="AS69" s="1060" t="s">
        <v>2439</v>
      </c>
      <c r="AT69" s="1060" t="s">
        <v>2440</v>
      </c>
      <c r="AU69" s="1060" t="s">
        <v>2441</v>
      </c>
      <c r="AV69" s="1060" t="s">
        <v>2442</v>
      </c>
      <c r="AW69" s="1060" t="s">
        <v>2443</v>
      </c>
      <c r="AX69" s="1060" t="s">
        <v>2444</v>
      </c>
      <c r="AY69" s="1060" t="s">
        <v>2441</v>
      </c>
      <c r="AZ69" s="1060" t="s">
        <v>2441</v>
      </c>
      <c r="BA69" s="1060" t="s">
        <v>2441</v>
      </c>
      <c r="BB69" s="1060" t="s">
        <v>2441</v>
      </c>
      <c r="BC69" s="1060" t="s">
        <v>2441</v>
      </c>
      <c r="BD69" s="1060" t="s">
        <v>2441</v>
      </c>
      <c r="BE69" s="1060" t="s">
        <v>2441</v>
      </c>
      <c r="BF69" s="1060" t="s">
        <v>2441</v>
      </c>
      <c r="BG69" s="1060" t="s">
        <v>2441</v>
      </c>
      <c r="BH69" s="1060" t="s">
        <v>2441</v>
      </c>
      <c r="BI69" s="1060" t="s">
        <v>2441</v>
      </c>
      <c r="BJ69" s="1060" t="s">
        <v>2441</v>
      </c>
      <c r="BK69" s="1061" t="s">
        <v>2441</v>
      </c>
    </row>
    <row r="70" spans="22:63" x14ac:dyDescent="0.25">
      <c r="AJ70" t="s">
        <v>2330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25">
      <c r="AJ71" t="s">
        <v>2331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25">
      <c r="AJ72" t="s">
        <v>2332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25">
      <c r="AJ73" t="s">
        <v>2333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25">
      <c r="AJ74" t="s">
        <v>2334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2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2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2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2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2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2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.75" thickBot="1" x14ac:dyDescent="0.3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40625" defaultRowHeight="15.75" x14ac:dyDescent="0.25"/>
  <cols>
    <col min="1" max="1" width="4.7109375" style="412" customWidth="1"/>
    <col min="2" max="2" width="10.7109375" style="412" customWidth="1"/>
    <col min="3" max="3" width="15.7109375" style="412" customWidth="1"/>
    <col min="4" max="4" width="3.7109375" style="412" customWidth="1"/>
    <col min="5" max="5" width="6.7109375" style="412" customWidth="1"/>
    <col min="6" max="6" width="14.7109375" style="412" customWidth="1"/>
    <col min="7" max="7" width="3.7109375" style="412" customWidth="1"/>
    <col min="8" max="8" width="6.7109375" style="412" customWidth="1"/>
    <col min="9" max="9" width="22.7109375" style="412" customWidth="1"/>
    <col min="10" max="27" width="3" style="412" customWidth="1"/>
    <col min="28" max="35" width="3.140625" style="412" customWidth="1"/>
    <col min="36" max="16384" width="9.140625" style="412"/>
  </cols>
  <sheetData>
    <row r="1" spans="1:22" ht="21.95" customHeight="1" x14ac:dyDescent="0.25">
      <c r="A1" s="417"/>
      <c r="B1" s="1515" t="s">
        <v>977</v>
      </c>
      <c r="C1" s="1515"/>
      <c r="D1" s="1515"/>
      <c r="E1" s="1515"/>
      <c r="F1" s="1515"/>
      <c r="G1" s="1528" t="s">
        <v>974</v>
      </c>
      <c r="H1" s="1528"/>
      <c r="I1" s="1528"/>
      <c r="J1" s="1529"/>
    </row>
    <row r="2" spans="1:22" ht="21.95" customHeight="1" x14ac:dyDescent="0.25">
      <c r="A2" s="418"/>
      <c r="B2" s="1516"/>
      <c r="C2" s="1516"/>
      <c r="D2" s="1516"/>
      <c r="E2" s="1516"/>
      <c r="F2" s="1516"/>
      <c r="G2" s="1530" t="s">
        <v>1063</v>
      </c>
      <c r="H2" s="1530"/>
      <c r="I2" s="1530"/>
      <c r="J2" s="1531"/>
    </row>
    <row r="3" spans="1:22" ht="21.95" customHeight="1" x14ac:dyDescent="0.25">
      <c r="A3" s="1517" t="s">
        <v>45</v>
      </c>
      <c r="B3" s="1518"/>
      <c r="C3" s="1518"/>
      <c r="D3" s="1518"/>
      <c r="E3" s="1518"/>
      <c r="F3" s="1519"/>
      <c r="G3" s="1530" t="s">
        <v>975</v>
      </c>
      <c r="H3" s="1530"/>
      <c r="I3" s="1530"/>
      <c r="J3" s="1531"/>
    </row>
    <row r="4" spans="1:22" ht="21.95" customHeight="1" thickBot="1" x14ac:dyDescent="0.3">
      <c r="A4" s="1520"/>
      <c r="B4" s="1521"/>
      <c r="C4" s="1521"/>
      <c r="D4" s="1521"/>
      <c r="E4" s="1521"/>
      <c r="F4" s="1522"/>
      <c r="G4" s="1532" t="s">
        <v>976</v>
      </c>
      <c r="H4" s="1532"/>
      <c r="I4" s="1532"/>
      <c r="J4" s="1533"/>
    </row>
    <row r="5" spans="1:22" ht="12.6" customHeight="1" thickBot="1" x14ac:dyDescent="0.3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7.95" customHeight="1" thickBot="1" x14ac:dyDescent="0.3">
      <c r="A6" s="1523" t="s">
        <v>27</v>
      </c>
      <c r="B6" s="1524"/>
      <c r="C6" s="531">
        <f>IF(Data!B1&lt;&gt;"", Data!B1, " ")</f>
        <v>20261004</v>
      </c>
      <c r="D6" s="1525" t="s">
        <v>28</v>
      </c>
      <c r="E6" s="1526"/>
      <c r="F6" s="427" t="str">
        <f>IF(Data!B2&lt;&gt;"",Data!B2," ")</f>
        <v>14304769R1</v>
      </c>
      <c r="H6" s="240" t="s">
        <v>845</v>
      </c>
      <c r="I6" s="1534" t="str">
        <f>IF(Data!B7&lt;&gt;"",Data!B7," ")</f>
        <v>LSTK</v>
      </c>
      <c r="J6" s="1535"/>
    </row>
    <row r="7" spans="1:22" ht="12.6" customHeight="1" thickBot="1" x14ac:dyDescent="0.3">
      <c r="A7" s="413"/>
      <c r="B7" s="413"/>
      <c r="C7" s="413"/>
      <c r="D7" s="413"/>
      <c r="E7" s="413"/>
      <c r="F7" s="413"/>
      <c r="G7" s="1509" t="str">
        <f>IF(Instructions!$L$1&lt;&gt;"",Instructions!$L$1,"")</f>
        <v/>
      </c>
      <c r="H7" s="1509"/>
      <c r="I7" s="1509"/>
      <c r="J7" s="1509"/>
      <c r="V7" s="433"/>
    </row>
    <row r="8" spans="1:22" ht="24.95" customHeight="1" thickBot="1" x14ac:dyDescent="0.3">
      <c r="A8" s="1523" t="s">
        <v>29</v>
      </c>
      <c r="B8" s="1524"/>
      <c r="C8" s="423" t="str">
        <f>IF(LEN(Data!B3)&gt;3,IF(AND(Data!B43&lt;&gt;"",Data!B43&lt;&gt;"0 0/1"""),Data!B43,""),IF(Data!B3&lt;&gt;"",Data!B3&amp;"""",""))</f>
        <v>6 1/8"</v>
      </c>
      <c r="D8" s="1527" t="s">
        <v>31</v>
      </c>
      <c r="E8" s="1524"/>
      <c r="F8" s="419" t="str">
        <f>IF(Data!B4&lt;&gt;"",Data!B4," ")</f>
        <v>HD54</v>
      </c>
      <c r="G8" s="1509"/>
      <c r="H8" s="1509"/>
      <c r="I8" s="1509"/>
      <c r="J8" s="1509"/>
      <c r="M8" s="420"/>
    </row>
    <row r="9" spans="1:22" ht="12.6" customHeight="1" thickBot="1" x14ac:dyDescent="0.3">
      <c r="A9" s="421"/>
      <c r="B9" s="421"/>
      <c r="C9" s="421"/>
      <c r="D9" s="421"/>
      <c r="E9" s="421"/>
      <c r="F9" s="421"/>
      <c r="G9" s="1510"/>
      <c r="H9" s="1510"/>
      <c r="I9" s="1510"/>
      <c r="J9" s="1510"/>
    </row>
    <row r="10" spans="1:22" ht="35.1" customHeight="1" thickBot="1" x14ac:dyDescent="0.3">
      <c r="A10" s="428" t="s">
        <v>993</v>
      </c>
      <c r="B10" s="1536" t="s">
        <v>973</v>
      </c>
      <c r="C10" s="1536"/>
      <c r="D10" s="1536"/>
      <c r="E10" s="429" t="s">
        <v>46</v>
      </c>
      <c r="F10" s="429" t="s">
        <v>951</v>
      </c>
      <c r="G10" s="1536" t="s">
        <v>44</v>
      </c>
      <c r="H10" s="1536"/>
      <c r="I10" s="1536"/>
      <c r="J10" s="1537"/>
    </row>
    <row r="11" spans="1:22" s="422" customFormat="1" ht="32.1" customHeight="1" x14ac:dyDescent="0.25">
      <c r="A11" s="230">
        <v>1</v>
      </c>
      <c r="B11" s="1538" t="s">
        <v>994</v>
      </c>
      <c r="C11" s="1538"/>
      <c r="D11" s="1538"/>
      <c r="E11" s="430"/>
      <c r="F11" s="430"/>
      <c r="G11" s="1538"/>
      <c r="H11" s="1538"/>
      <c r="I11" s="1538"/>
      <c r="J11" s="1539"/>
    </row>
    <row r="12" spans="1:22" ht="24.95" customHeight="1" x14ac:dyDescent="0.25">
      <c r="A12" s="233">
        <v>2</v>
      </c>
      <c r="B12" s="1508" t="s">
        <v>783</v>
      </c>
      <c r="C12" s="1508"/>
      <c r="D12" s="1508"/>
      <c r="E12" s="431"/>
      <c r="F12" s="431"/>
      <c r="G12" s="1508"/>
      <c r="H12" s="1508"/>
      <c r="I12" s="1508"/>
      <c r="J12" s="1511"/>
    </row>
    <row r="13" spans="1:22" ht="24.95" customHeight="1" x14ac:dyDescent="0.25">
      <c r="A13" s="233">
        <v>3</v>
      </c>
      <c r="B13" s="1508" t="s">
        <v>978</v>
      </c>
      <c r="C13" s="1508"/>
      <c r="D13" s="1508"/>
      <c r="E13" s="431"/>
      <c r="F13" s="431"/>
      <c r="G13" s="1508"/>
      <c r="H13" s="1508"/>
      <c r="I13" s="1508"/>
      <c r="J13" s="1511"/>
    </row>
    <row r="14" spans="1:22" ht="24.95" customHeight="1" x14ac:dyDescent="0.25">
      <c r="A14" s="233">
        <v>4</v>
      </c>
      <c r="B14" s="1508" t="s">
        <v>979</v>
      </c>
      <c r="C14" s="1508"/>
      <c r="D14" s="1508"/>
      <c r="E14" s="431"/>
      <c r="F14" s="431"/>
      <c r="G14" s="1508"/>
      <c r="H14" s="1508"/>
      <c r="I14" s="1508"/>
      <c r="J14" s="1511"/>
    </row>
    <row r="15" spans="1:22" ht="24.95" customHeight="1" x14ac:dyDescent="0.25">
      <c r="A15" s="233">
        <v>5</v>
      </c>
      <c r="B15" s="1508" t="s">
        <v>980</v>
      </c>
      <c r="C15" s="1508"/>
      <c r="D15" s="1508"/>
      <c r="E15" s="431"/>
      <c r="F15" s="431"/>
      <c r="G15" s="1508"/>
      <c r="H15" s="1508"/>
      <c r="I15" s="1508"/>
      <c r="J15" s="1511"/>
    </row>
    <row r="16" spans="1:22" ht="24.95" customHeight="1" x14ac:dyDescent="0.25">
      <c r="A16" s="233">
        <v>6</v>
      </c>
      <c r="B16" s="1508" t="s">
        <v>981</v>
      </c>
      <c r="C16" s="1508"/>
      <c r="D16" s="1508"/>
      <c r="E16" s="431"/>
      <c r="F16" s="431"/>
      <c r="G16" s="1508"/>
      <c r="H16" s="1508"/>
      <c r="I16" s="1508"/>
      <c r="J16" s="1511"/>
    </row>
    <row r="17" spans="1:10" ht="32.1" customHeight="1" x14ac:dyDescent="0.25">
      <c r="A17" s="233">
        <v>7</v>
      </c>
      <c r="B17" s="1508" t="s">
        <v>982</v>
      </c>
      <c r="C17" s="1508"/>
      <c r="D17" s="1508"/>
      <c r="E17" s="431"/>
      <c r="F17" s="431"/>
      <c r="G17" s="1508"/>
      <c r="H17" s="1508"/>
      <c r="I17" s="1508"/>
      <c r="J17" s="1511"/>
    </row>
    <row r="18" spans="1:10" ht="24.95" customHeight="1" x14ac:dyDescent="0.25">
      <c r="A18" s="233">
        <v>8</v>
      </c>
      <c r="B18" s="1508" t="s">
        <v>983</v>
      </c>
      <c r="C18" s="1508"/>
      <c r="D18" s="1508"/>
      <c r="E18" s="431"/>
      <c r="F18" s="431"/>
      <c r="G18" s="1508"/>
      <c r="H18" s="1508"/>
      <c r="I18" s="1508"/>
      <c r="J18" s="1511"/>
    </row>
    <row r="19" spans="1:10" ht="24.95" customHeight="1" x14ac:dyDescent="0.25">
      <c r="A19" s="233">
        <v>9</v>
      </c>
      <c r="B19" s="1508" t="s">
        <v>784</v>
      </c>
      <c r="C19" s="1508"/>
      <c r="D19" s="1508"/>
      <c r="E19" s="431"/>
      <c r="F19" s="431"/>
      <c r="G19" s="1508"/>
      <c r="H19" s="1508"/>
      <c r="I19" s="1508"/>
      <c r="J19" s="1511"/>
    </row>
    <row r="20" spans="1:10" ht="24.95" customHeight="1" x14ac:dyDescent="0.25">
      <c r="A20" s="233">
        <v>10</v>
      </c>
      <c r="B20" s="1508" t="s">
        <v>984</v>
      </c>
      <c r="C20" s="1508"/>
      <c r="D20" s="1508"/>
      <c r="E20" s="431"/>
      <c r="F20" s="431"/>
      <c r="G20" s="1508"/>
      <c r="H20" s="1508"/>
      <c r="I20" s="1508"/>
      <c r="J20" s="1511"/>
    </row>
    <row r="21" spans="1:10" ht="24.95" customHeight="1" x14ac:dyDescent="0.25">
      <c r="A21" s="233">
        <v>11</v>
      </c>
      <c r="B21" s="1508" t="s">
        <v>985</v>
      </c>
      <c r="C21" s="1508"/>
      <c r="D21" s="1508"/>
      <c r="E21" s="431"/>
      <c r="F21" s="431"/>
      <c r="G21" s="1508"/>
      <c r="H21" s="1508"/>
      <c r="I21" s="1508"/>
      <c r="J21" s="1511"/>
    </row>
    <row r="22" spans="1:10" ht="24.95" customHeight="1" x14ac:dyDescent="0.25">
      <c r="A22" s="233">
        <v>12</v>
      </c>
      <c r="B22" s="1508" t="s">
        <v>986</v>
      </c>
      <c r="C22" s="1508"/>
      <c r="D22" s="1508"/>
      <c r="E22" s="431"/>
      <c r="F22" s="431"/>
      <c r="G22" s="1508"/>
      <c r="H22" s="1508"/>
      <c r="I22" s="1508"/>
      <c r="J22" s="1511"/>
    </row>
    <row r="23" spans="1:10" ht="24.95" customHeight="1" x14ac:dyDescent="0.25">
      <c r="A23" s="233">
        <v>13</v>
      </c>
      <c r="B23" s="1508" t="s">
        <v>987</v>
      </c>
      <c r="C23" s="1508"/>
      <c r="D23" s="1508"/>
      <c r="E23" s="431"/>
      <c r="F23" s="431"/>
      <c r="G23" s="1508"/>
      <c r="H23" s="1508"/>
      <c r="I23" s="1508"/>
      <c r="J23" s="1511"/>
    </row>
    <row r="24" spans="1:10" ht="24.95" customHeight="1" x14ac:dyDescent="0.25">
      <c r="A24" s="233">
        <v>14</v>
      </c>
      <c r="B24" s="1508" t="s">
        <v>988</v>
      </c>
      <c r="C24" s="1508"/>
      <c r="D24" s="1508"/>
      <c r="E24" s="431"/>
      <c r="F24" s="431"/>
      <c r="G24" s="1508"/>
      <c r="H24" s="1508"/>
      <c r="I24" s="1508"/>
      <c r="J24" s="1511"/>
    </row>
    <row r="25" spans="1:10" ht="24.95" customHeight="1" x14ac:dyDescent="0.25">
      <c r="A25" s="233">
        <v>15</v>
      </c>
      <c r="B25" s="1508" t="s">
        <v>989</v>
      </c>
      <c r="C25" s="1508"/>
      <c r="D25" s="1508"/>
      <c r="E25" s="431"/>
      <c r="F25" s="431"/>
      <c r="G25" s="1508"/>
      <c r="H25" s="1508"/>
      <c r="I25" s="1508"/>
      <c r="J25" s="1511"/>
    </row>
    <row r="26" spans="1:10" ht="24.95" customHeight="1" x14ac:dyDescent="0.25">
      <c r="A26" s="233">
        <v>16</v>
      </c>
      <c r="B26" s="1508" t="s">
        <v>1057</v>
      </c>
      <c r="C26" s="1508"/>
      <c r="D26" s="1508"/>
      <c r="E26" s="431"/>
      <c r="F26" s="431"/>
      <c r="G26" s="1508"/>
      <c r="H26" s="1508"/>
      <c r="I26" s="1508"/>
      <c r="J26" s="1511"/>
    </row>
    <row r="27" spans="1:10" ht="24.95" customHeight="1" x14ac:dyDescent="0.25">
      <c r="A27" s="233">
        <v>17</v>
      </c>
      <c r="B27" s="1508" t="s">
        <v>990</v>
      </c>
      <c r="C27" s="1508"/>
      <c r="D27" s="1508"/>
      <c r="E27" s="431"/>
      <c r="F27" s="431"/>
      <c r="G27" s="1508"/>
      <c r="H27" s="1508"/>
      <c r="I27" s="1508"/>
      <c r="J27" s="1511"/>
    </row>
    <row r="28" spans="1:10" ht="24.95" customHeight="1" thickBot="1" x14ac:dyDescent="0.3">
      <c r="A28" s="249">
        <v>18</v>
      </c>
      <c r="B28" s="1513" t="s">
        <v>991</v>
      </c>
      <c r="C28" s="1513"/>
      <c r="D28" s="1513"/>
      <c r="E28" s="432"/>
      <c r="F28" s="432"/>
      <c r="G28" s="1513"/>
      <c r="H28" s="1513"/>
      <c r="I28" s="1513"/>
      <c r="J28" s="1514"/>
    </row>
    <row r="29" spans="1:10" ht="12.6" customHeight="1" x14ac:dyDescent="0.2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4.95" customHeight="1" x14ac:dyDescent="0.25">
      <c r="A30" s="1512" t="s">
        <v>992</v>
      </c>
      <c r="B30" s="1512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" customHeight="1" x14ac:dyDescent="0.2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  <mergeCell ref="B16:D16"/>
    <mergeCell ref="G17:J17"/>
    <mergeCell ref="B22:D22"/>
    <mergeCell ref="B23:D23"/>
    <mergeCell ref="B19:D19"/>
    <mergeCell ref="B20:D20"/>
    <mergeCell ref="G19:J19"/>
    <mergeCell ref="B21:D21"/>
    <mergeCell ref="G1:J1"/>
    <mergeCell ref="G2:J2"/>
    <mergeCell ref="G3:J3"/>
    <mergeCell ref="G4:J4"/>
    <mergeCell ref="I6:J6"/>
    <mergeCell ref="B1:F2"/>
    <mergeCell ref="A3:F4"/>
    <mergeCell ref="A6:B6"/>
    <mergeCell ref="A8:B8"/>
    <mergeCell ref="D6:E6"/>
    <mergeCell ref="D8:E8"/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40625" defaultRowHeight="15" x14ac:dyDescent="0.25"/>
  <cols>
    <col min="1" max="1" width="4.5703125" customWidth="1"/>
    <col min="2" max="2" width="12.7109375" customWidth="1"/>
    <col min="3" max="3" width="30" customWidth="1"/>
    <col min="4" max="4" width="3.7109375" customWidth="1"/>
    <col min="5" max="5" width="9.7109375" customWidth="1"/>
    <col min="6" max="6" width="15" customWidth="1"/>
    <col min="7" max="7" width="3.7109375" customWidth="1"/>
    <col min="8" max="8" width="14.42578125" customWidth="1"/>
    <col min="9" max="10" width="14.7109375" customWidth="1"/>
    <col min="11" max="11" width="3.28515625" customWidth="1"/>
    <col min="12" max="28" width="3" customWidth="1"/>
    <col min="29" max="36" width="3.140625" customWidth="1"/>
  </cols>
  <sheetData>
    <row r="1" spans="1:10" ht="18" customHeight="1" x14ac:dyDescent="0.25">
      <c r="A1" s="761"/>
      <c r="B1" s="1540" t="s">
        <v>977</v>
      </c>
      <c r="C1" s="1540"/>
      <c r="D1" s="1540"/>
      <c r="E1" s="1540"/>
      <c r="F1" s="1540"/>
      <c r="G1" s="1541"/>
      <c r="H1" s="1544" t="s">
        <v>1025</v>
      </c>
      <c r="I1" s="1545"/>
      <c r="J1" s="1546"/>
    </row>
    <row r="2" spans="1:10" ht="18" customHeight="1" x14ac:dyDescent="0.25">
      <c r="A2" s="762"/>
      <c r="B2" s="1542"/>
      <c r="C2" s="1542"/>
      <c r="D2" s="1542"/>
      <c r="E2" s="1542"/>
      <c r="F2" s="1542"/>
      <c r="G2" s="1543"/>
      <c r="H2" s="1547" t="s">
        <v>1569</v>
      </c>
      <c r="I2" s="1530"/>
      <c r="J2" s="1531"/>
    </row>
    <row r="3" spans="1:10" ht="18" customHeight="1" x14ac:dyDescent="0.25">
      <c r="A3" s="1548" t="s">
        <v>47</v>
      </c>
      <c r="B3" s="1549"/>
      <c r="C3" s="1549"/>
      <c r="D3" s="1549"/>
      <c r="E3" s="1549"/>
      <c r="F3" s="1549"/>
      <c r="G3" s="1549"/>
      <c r="H3" s="1530" t="s">
        <v>975</v>
      </c>
      <c r="I3" s="1530"/>
      <c r="J3" s="1531"/>
    </row>
    <row r="4" spans="1:10" ht="18" customHeight="1" thickBot="1" x14ac:dyDescent="0.3">
      <c r="A4" s="1550"/>
      <c r="B4" s="1551"/>
      <c r="C4" s="1551"/>
      <c r="D4" s="1551"/>
      <c r="E4" s="1551"/>
      <c r="F4" s="1551"/>
      <c r="G4" s="1551"/>
      <c r="H4" s="1532" t="s">
        <v>976</v>
      </c>
      <c r="I4" s="1532"/>
      <c r="J4" s="1533"/>
    </row>
    <row r="5" spans="1:10" ht="6.95" customHeight="1" thickBot="1" x14ac:dyDescent="0.3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00000000000001" customHeight="1" thickBot="1" x14ac:dyDescent="0.3">
      <c r="A6" s="1523" t="s">
        <v>27</v>
      </c>
      <c r="B6" s="1523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20261004 </v>
      </c>
      <c r="D6" s="1523" t="s">
        <v>28</v>
      </c>
      <c r="E6" s="1523"/>
      <c r="F6" s="1557" t="str">
        <f>IF(Data!B2&lt;&gt;"",Data!B2," ")</f>
        <v>14304769R1</v>
      </c>
      <c r="G6" s="1558"/>
      <c r="I6" s="765" t="s">
        <v>32</v>
      </c>
      <c r="J6" s="766" t="str">
        <f>IF(Data!B7&lt;&gt;"",Data!B7," ")</f>
        <v>LSTK</v>
      </c>
    </row>
    <row r="7" spans="1:10" ht="6.95" customHeight="1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00000000000001" customHeight="1" thickBot="1" x14ac:dyDescent="0.3">
      <c r="A8" s="1523" t="s">
        <v>29</v>
      </c>
      <c r="B8" s="1523"/>
      <c r="C8" s="767" t="str">
        <f>IF(LEN(Data!B3)&gt;3,IF(AND(Data!B43&lt;&gt;"",Data!B43&lt;&gt;"0 0/1"""),Data!B43,""),IF(Data!B3&lt;&gt;"",Data!B3&amp;"""",""))</f>
        <v>6 1/8"</v>
      </c>
      <c r="D8" s="1523" t="s">
        <v>31</v>
      </c>
      <c r="E8" s="1523"/>
      <c r="F8" s="1557" t="str">
        <f>IF(Data!B4&lt;&gt;"",Data!B4," ")</f>
        <v>HD54</v>
      </c>
      <c r="G8" s="1558"/>
      <c r="H8" s="240"/>
      <c r="I8" s="240"/>
      <c r="J8" s="240"/>
    </row>
    <row r="9" spans="1:10" ht="6.95" customHeight="1" thickBot="1" x14ac:dyDescent="0.3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1.95" customHeight="1" thickBot="1" x14ac:dyDescent="0.3">
      <c r="A10" s="768" t="s">
        <v>1570</v>
      </c>
      <c r="B10" s="1552" t="s">
        <v>43</v>
      </c>
      <c r="C10" s="1552"/>
      <c r="D10" s="1552" t="s">
        <v>1571</v>
      </c>
      <c r="E10" s="1552"/>
      <c r="F10" s="769" t="s">
        <v>1572</v>
      </c>
      <c r="G10" s="1553" t="s">
        <v>1573</v>
      </c>
      <c r="H10" s="1553"/>
      <c r="I10" s="1552" t="s">
        <v>44</v>
      </c>
      <c r="J10" s="1554"/>
    </row>
    <row r="11" spans="1:10" ht="18" customHeight="1" x14ac:dyDescent="0.25">
      <c r="A11" s="261">
        <v>1</v>
      </c>
      <c r="B11" s="1555" t="s">
        <v>996</v>
      </c>
      <c r="C11" s="1555"/>
      <c r="D11" s="1556" t="str">
        <f>IF(OR(COUNTIF(Data!$B$1,"*LV3*"),COUNTIF(Data!$B$1,"*LV4*")),"---","")</f>
        <v/>
      </c>
      <c r="E11" s="1556"/>
      <c r="F11" s="705" t="str">
        <f>IF(OR(COUNTIF(Data!$B$1,"*LV3*"),COUNTIF(Data!$B$1,"*LV4*")),"---","")</f>
        <v/>
      </c>
      <c r="G11" s="1556" t="str">
        <f>IF(OR(COUNTIF(Data!$B$1,"*LV3*"),COUNTIF(Data!$B$1,"*LV4*")),"---","")</f>
        <v/>
      </c>
      <c r="H11" s="1556"/>
      <c r="I11" s="1545"/>
      <c r="J11" s="1546"/>
    </row>
    <row r="12" spans="1:10" ht="18" customHeight="1" x14ac:dyDescent="0.25">
      <c r="A12" s="233">
        <v>2</v>
      </c>
      <c r="B12" s="1561" t="s">
        <v>1574</v>
      </c>
      <c r="C12" s="1561"/>
      <c r="D12" s="1560" t="str">
        <f>IF(OR(COUNTIF(Data!$B$1,"*LV3*"),COUNTIF(Data!$B$1,"*LV4*")),"---","")</f>
        <v/>
      </c>
      <c r="E12" s="1560"/>
      <c r="F12" s="166" t="str">
        <f>IF(OR(COUNTIF(Data!$B$1,"*LV3*"),COUNTIF(Data!$B$1,"*LV4*")),"---","")</f>
        <v/>
      </c>
      <c r="G12" s="1560" t="str">
        <f>IF(OR(COUNTIF(Data!$B$1,"*LV3*"),COUNTIF(Data!$B$1,"*LV4*")),"---","")</f>
        <v/>
      </c>
      <c r="H12" s="1560"/>
      <c r="I12" s="1530"/>
      <c r="J12" s="1531"/>
    </row>
    <row r="13" spans="1:10" ht="18" customHeight="1" x14ac:dyDescent="0.25">
      <c r="A13" s="233">
        <v>3</v>
      </c>
      <c r="B13" s="1561" t="s">
        <v>1575</v>
      </c>
      <c r="C13" s="1561"/>
      <c r="D13" s="1560" t="str">
        <f>IF(OR(COUNTIF(Data!$B$1,"*LV3*"),COUNTIF(Data!$B$1,"*LV4*")),"---","")</f>
        <v/>
      </c>
      <c r="E13" s="1560"/>
      <c r="F13" s="166" t="str">
        <f>IF(OR(COUNTIF(Data!$B$1,"*LV3*"),COUNTIF(Data!$B$1,"*LV4*")),"---","")</f>
        <v/>
      </c>
      <c r="G13" s="1560" t="str">
        <f>IF(OR(COUNTIF(Data!$B$1,"*LV3*"),COUNTIF(Data!$B$1,"*LV4*")),"---","")</f>
        <v/>
      </c>
      <c r="H13" s="1560"/>
      <c r="I13" s="1530"/>
      <c r="J13" s="1531"/>
    </row>
    <row r="14" spans="1:10" ht="18" customHeight="1" x14ac:dyDescent="0.25">
      <c r="A14" s="233">
        <v>4</v>
      </c>
      <c r="B14" s="1559" t="s">
        <v>997</v>
      </c>
      <c r="C14" s="1559"/>
      <c r="D14" s="1560" t="str">
        <f>IF(OR(COUNTIF(Data!$B$1,"*LV3*"),COUNTIF(Data!$B$1,"*LV4*")),"---","")</f>
        <v/>
      </c>
      <c r="E14" s="1560"/>
      <c r="F14" s="166" t="str">
        <f>IF(OR(COUNTIF(Data!$B$1,"*LV3*"),COUNTIF(Data!$B$1,"*LV4*")),"---","")</f>
        <v/>
      </c>
      <c r="G14" s="1560" t="str">
        <f>IF(OR(COUNTIF(Data!$B$1,"*LV3*"),COUNTIF(Data!$B$1,"*LV4*")),"---","")</f>
        <v/>
      </c>
      <c r="H14" s="1560"/>
      <c r="I14" s="1530"/>
      <c r="J14" s="1531"/>
    </row>
    <row r="15" spans="1:10" ht="18" customHeight="1" x14ac:dyDescent="0.25">
      <c r="A15" s="233">
        <v>5</v>
      </c>
      <c r="B15" s="1559" t="s">
        <v>998</v>
      </c>
      <c r="C15" s="1559"/>
      <c r="D15" s="1560" t="str">
        <f>IF(OR(COUNTIF(Data!$B$1,"*LV3*"),COUNTIF(Data!$B$1,"*LV4*")),"---","")</f>
        <v/>
      </c>
      <c r="E15" s="1560"/>
      <c r="F15" s="166" t="str">
        <f>IF(OR(COUNTIF(Data!$B$1,"*LV3*"),COUNTIF(Data!$B$1,"*LV4*")),"---","")</f>
        <v/>
      </c>
      <c r="G15" s="1560" t="str">
        <f>IF(OR(COUNTIF(Data!$B$1,"*LV3*"),COUNTIF(Data!$B$1,"*LV4*")),"---","")</f>
        <v/>
      </c>
      <c r="H15" s="1560"/>
      <c r="I15" s="1530"/>
      <c r="J15" s="1531"/>
    </row>
    <row r="16" spans="1:10" ht="18" customHeight="1" x14ac:dyDescent="0.25">
      <c r="A16" s="233">
        <v>6</v>
      </c>
      <c r="B16" s="1559" t="s">
        <v>999</v>
      </c>
      <c r="C16" s="1559"/>
      <c r="D16" s="1560" t="str">
        <f>IF(OR(COUNTIF(Data!$B$1,"*LV3*"),COUNTIF(Data!$B$1,"*LV4*")),"---","")</f>
        <v/>
      </c>
      <c r="E16" s="1560"/>
      <c r="F16" s="166" t="str">
        <f>IF(OR(COUNTIF(Data!$B$1,"*LV3*"),COUNTIF(Data!$B$1,"*LV4*")),"---","")</f>
        <v/>
      </c>
      <c r="G16" s="1560" t="str">
        <f>IF(OR(COUNTIF(Data!$B$1,"*LV3*"),COUNTIF(Data!$B$1,"*LV4*")),"---","")</f>
        <v/>
      </c>
      <c r="H16" s="1560"/>
      <c r="I16" s="1530"/>
      <c r="J16" s="1531"/>
    </row>
    <row r="17" spans="1:10" ht="18" customHeight="1" x14ac:dyDescent="0.25">
      <c r="A17" s="233">
        <v>7</v>
      </c>
      <c r="B17" s="1559" t="s">
        <v>979</v>
      </c>
      <c r="C17" s="1559"/>
      <c r="D17" s="1560" t="str">
        <f>IF(OR(COUNTIF(Data!$B$1,"*LV3*"),COUNTIF(Data!$B$1,"*LV4*")),"---","")</f>
        <v/>
      </c>
      <c r="E17" s="1560"/>
      <c r="F17" s="166" t="str">
        <f>IF(OR(COUNTIF(Data!$B$1,"*LV3*"),COUNTIF(Data!$B$1,"*LV4*")),"---","")</f>
        <v/>
      </c>
      <c r="G17" s="1560" t="str">
        <f>IF(OR(COUNTIF(Data!$B$1,"*LV3*"),COUNTIF(Data!$B$1,"*LV4*")),"---","")</f>
        <v/>
      </c>
      <c r="H17" s="1560"/>
      <c r="I17" s="1530"/>
      <c r="J17" s="1531"/>
    </row>
    <row r="18" spans="1:10" ht="18" customHeight="1" thickBot="1" x14ac:dyDescent="0.3">
      <c r="A18" s="249">
        <v>8</v>
      </c>
      <c r="B18" s="1562" t="s">
        <v>1000</v>
      </c>
      <c r="C18" s="1562"/>
      <c r="D18" s="1563"/>
      <c r="E18" s="1563"/>
      <c r="F18" s="714"/>
      <c r="G18" s="1563"/>
      <c r="H18" s="1563"/>
      <c r="I18" s="1532"/>
      <c r="J18" s="1533"/>
    </row>
    <row r="19" spans="1:10" ht="18" customHeight="1" x14ac:dyDescent="0.25">
      <c r="A19" s="261">
        <v>9</v>
      </c>
      <c r="B19" s="1555" t="s">
        <v>1001</v>
      </c>
      <c r="C19" s="1555"/>
      <c r="D19" s="1556"/>
      <c r="E19" s="1556"/>
      <c r="F19" s="705"/>
      <c r="G19" s="1556"/>
      <c r="H19" s="1556"/>
      <c r="I19" s="1545"/>
      <c r="J19" s="1546"/>
    </row>
    <row r="20" spans="1:10" ht="18" customHeight="1" x14ac:dyDescent="0.25">
      <c r="A20" s="1568">
        <v>10</v>
      </c>
      <c r="B20" s="1559" t="s">
        <v>1016</v>
      </c>
      <c r="C20" s="1559"/>
      <c r="D20" s="1565"/>
      <c r="E20" s="1565"/>
      <c r="F20" s="770"/>
      <c r="G20" s="1530" t="s">
        <v>48</v>
      </c>
      <c r="H20" s="1530"/>
      <c r="I20" s="1530"/>
      <c r="J20" s="1531"/>
    </row>
    <row r="21" spans="1:10" ht="18" customHeight="1" x14ac:dyDescent="0.25">
      <c r="A21" s="1568"/>
      <c r="B21" s="1559"/>
      <c r="C21" s="1559"/>
      <c r="D21" s="1565"/>
      <c r="E21" s="1565"/>
      <c r="F21" s="770"/>
      <c r="G21" s="1530" t="s">
        <v>49</v>
      </c>
      <c r="H21" s="1530"/>
      <c r="I21" s="1530"/>
      <c r="J21" s="1531"/>
    </row>
    <row r="22" spans="1:10" ht="18" customHeight="1" x14ac:dyDescent="0.25">
      <c r="A22" s="233">
        <v>11</v>
      </c>
      <c r="B22" s="1564" t="s">
        <v>1576</v>
      </c>
      <c r="C22" s="1564"/>
      <c r="D22" s="1565"/>
      <c r="E22" s="1565"/>
      <c r="F22" s="166"/>
      <c r="G22" s="1565"/>
      <c r="H22" s="1565"/>
      <c r="I22" s="1530"/>
      <c r="J22" s="1531"/>
    </row>
    <row r="23" spans="1:10" ht="18" customHeight="1" x14ac:dyDescent="0.25">
      <c r="A23" s="233">
        <v>12</v>
      </c>
      <c r="B23" s="1508" t="s">
        <v>1004</v>
      </c>
      <c r="C23" s="1508"/>
      <c r="D23" s="1560"/>
      <c r="E23" s="1560"/>
      <c r="F23" s="166"/>
      <c r="G23" s="1565"/>
      <c r="H23" s="1565"/>
      <c r="I23" s="1566"/>
      <c r="J23" s="1567"/>
    </row>
    <row r="24" spans="1:10" ht="18" customHeight="1" x14ac:dyDescent="0.25">
      <c r="A24" s="233">
        <v>13</v>
      </c>
      <c r="B24" s="1559" t="s">
        <v>998</v>
      </c>
      <c r="C24" s="1559"/>
      <c r="D24" s="1560"/>
      <c r="E24" s="1560"/>
      <c r="F24" s="166"/>
      <c r="G24" s="1565"/>
      <c r="H24" s="1565"/>
      <c r="I24" s="1530"/>
      <c r="J24" s="1531"/>
    </row>
    <row r="25" spans="1:10" ht="18" customHeight="1" x14ac:dyDescent="0.25">
      <c r="A25" s="233">
        <v>14</v>
      </c>
      <c r="B25" s="1559" t="s">
        <v>1002</v>
      </c>
      <c r="C25" s="1559"/>
      <c r="D25" s="1560"/>
      <c r="E25" s="1560"/>
      <c r="F25" s="166"/>
      <c r="G25" s="1565"/>
      <c r="H25" s="1565"/>
      <c r="I25" s="1530"/>
      <c r="J25" s="1531"/>
    </row>
    <row r="26" spans="1:10" ht="18" customHeight="1" x14ac:dyDescent="0.25">
      <c r="A26" s="1568">
        <v>15</v>
      </c>
      <c r="B26" s="1559" t="s">
        <v>1003</v>
      </c>
      <c r="C26" s="1559"/>
      <c r="D26" s="1560"/>
      <c r="E26" s="1560"/>
      <c r="F26" s="770"/>
      <c r="G26" s="1530" t="s">
        <v>48</v>
      </c>
      <c r="H26" s="1530"/>
      <c r="I26" s="1530"/>
      <c r="J26" s="1531"/>
    </row>
    <row r="27" spans="1:10" ht="18" customHeight="1" x14ac:dyDescent="0.25">
      <c r="A27" s="1568"/>
      <c r="B27" s="1559"/>
      <c r="C27" s="1559"/>
      <c r="D27" s="1560"/>
      <c r="E27" s="1560"/>
      <c r="F27" s="770"/>
      <c r="G27" s="1530" t="s">
        <v>49</v>
      </c>
      <c r="H27" s="1530"/>
      <c r="I27" s="1530"/>
      <c r="J27" s="1531"/>
    </row>
    <row r="28" spans="1:10" ht="18" customHeight="1" x14ac:dyDescent="0.25">
      <c r="A28" s="233">
        <v>16</v>
      </c>
      <c r="B28" s="1559" t="s">
        <v>997</v>
      </c>
      <c r="C28" s="1559"/>
      <c r="D28" s="1560"/>
      <c r="E28" s="1560"/>
      <c r="F28" s="166"/>
      <c r="G28" s="1560"/>
      <c r="H28" s="1560"/>
      <c r="I28" s="1530"/>
      <c r="J28" s="1531"/>
    </row>
    <row r="29" spans="1:10" ht="18" customHeight="1" x14ac:dyDescent="0.25">
      <c r="A29" s="233">
        <v>17</v>
      </c>
      <c r="B29" s="1559" t="s">
        <v>998</v>
      </c>
      <c r="C29" s="1559"/>
      <c r="D29" s="1560"/>
      <c r="E29" s="1560"/>
      <c r="F29" s="166"/>
      <c r="G29" s="1560"/>
      <c r="H29" s="1560"/>
      <c r="I29" s="1530"/>
      <c r="J29" s="1531"/>
    </row>
    <row r="30" spans="1:10" ht="18" customHeight="1" x14ac:dyDescent="0.25">
      <c r="A30" s="233">
        <v>18</v>
      </c>
      <c r="B30" s="1559" t="s">
        <v>979</v>
      </c>
      <c r="C30" s="1559"/>
      <c r="D30" s="1560"/>
      <c r="E30" s="1560"/>
      <c r="F30" s="166"/>
      <c r="G30" s="1560"/>
      <c r="H30" s="1560"/>
      <c r="I30" s="1530"/>
      <c r="J30" s="1531"/>
    </row>
    <row r="31" spans="1:10" ht="18" customHeight="1" x14ac:dyDescent="0.25">
      <c r="A31" s="233">
        <v>19</v>
      </c>
      <c r="B31" s="1559" t="s">
        <v>1007</v>
      </c>
      <c r="C31" s="1559"/>
      <c r="D31" s="1560"/>
      <c r="E31" s="1560"/>
      <c r="F31" s="166"/>
      <c r="G31" s="1560"/>
      <c r="H31" s="1560"/>
      <c r="I31" s="1530"/>
      <c r="J31" s="1531"/>
    </row>
    <row r="32" spans="1:10" ht="18" customHeight="1" x14ac:dyDescent="0.25">
      <c r="A32" s="233">
        <v>20</v>
      </c>
      <c r="B32" s="1559" t="s">
        <v>1008</v>
      </c>
      <c r="C32" s="1559"/>
      <c r="D32" s="1560"/>
      <c r="E32" s="1560"/>
      <c r="F32" s="166"/>
      <c r="G32" s="1560"/>
      <c r="H32" s="1560"/>
      <c r="I32" s="1530"/>
      <c r="J32" s="1531"/>
    </row>
    <row r="33" spans="1:10" ht="18" customHeight="1" x14ac:dyDescent="0.25">
      <c r="A33" s="233">
        <v>21</v>
      </c>
      <c r="B33" s="1559" t="s">
        <v>997</v>
      </c>
      <c r="C33" s="1559"/>
      <c r="D33" s="1560"/>
      <c r="E33" s="1560"/>
      <c r="F33" s="166"/>
      <c r="G33" s="1560"/>
      <c r="H33" s="1560"/>
      <c r="I33" s="1530"/>
      <c r="J33" s="1531"/>
    </row>
    <row r="34" spans="1:10" ht="18" customHeight="1" x14ac:dyDescent="0.25">
      <c r="A34" s="233">
        <v>22</v>
      </c>
      <c r="B34" s="1559" t="s">
        <v>998</v>
      </c>
      <c r="C34" s="1559"/>
      <c r="D34" s="1560"/>
      <c r="E34" s="1560"/>
      <c r="F34" s="166"/>
      <c r="G34" s="1560"/>
      <c r="H34" s="1560"/>
      <c r="I34" s="1530"/>
      <c r="J34" s="1531"/>
    </row>
    <row r="35" spans="1:10" ht="18" customHeight="1" x14ac:dyDescent="0.25">
      <c r="A35" s="233">
        <v>23</v>
      </c>
      <c r="B35" s="1559" t="s">
        <v>979</v>
      </c>
      <c r="C35" s="1559"/>
      <c r="D35" s="1560"/>
      <c r="E35" s="1560"/>
      <c r="F35" s="166"/>
      <c r="G35" s="1560"/>
      <c r="H35" s="1560"/>
      <c r="I35" s="1530"/>
      <c r="J35" s="1531"/>
    </row>
    <row r="36" spans="1:10" ht="30" customHeight="1" x14ac:dyDescent="0.25">
      <c r="A36" s="233">
        <v>24</v>
      </c>
      <c r="B36" s="1508" t="s">
        <v>1577</v>
      </c>
      <c r="C36" s="1508"/>
      <c r="D36" s="1565"/>
      <c r="E36" s="1565"/>
      <c r="F36" s="166"/>
      <c r="G36" s="1560"/>
      <c r="H36" s="1560"/>
      <c r="I36" s="1566"/>
      <c r="J36" s="1567"/>
    </row>
    <row r="37" spans="1:10" ht="30" customHeight="1" x14ac:dyDescent="0.25">
      <c r="A37" s="233">
        <v>25</v>
      </c>
      <c r="B37" s="1508" t="s">
        <v>1005</v>
      </c>
      <c r="C37" s="1508"/>
      <c r="D37" s="1565"/>
      <c r="E37" s="1565"/>
      <c r="F37" s="166"/>
      <c r="G37" s="1560"/>
      <c r="H37" s="1560"/>
      <c r="I37" s="1566"/>
      <c r="J37" s="1567"/>
    </row>
    <row r="38" spans="1:10" ht="18" customHeight="1" x14ac:dyDescent="0.25">
      <c r="A38" s="233">
        <v>26</v>
      </c>
      <c r="B38" s="1508" t="s">
        <v>1006</v>
      </c>
      <c r="C38" s="1508"/>
      <c r="D38" s="1565"/>
      <c r="E38" s="1565"/>
      <c r="F38" s="166"/>
      <c r="G38" s="1560"/>
      <c r="H38" s="1560"/>
      <c r="I38" s="1566"/>
      <c r="J38" s="1567"/>
    </row>
    <row r="39" spans="1:10" ht="18" customHeight="1" x14ac:dyDescent="0.25">
      <c r="A39" s="233">
        <v>27</v>
      </c>
      <c r="B39" s="1559" t="s">
        <v>999</v>
      </c>
      <c r="C39" s="1559"/>
      <c r="D39" s="1560"/>
      <c r="E39" s="1560"/>
      <c r="F39" s="166"/>
      <c r="G39" s="1560"/>
      <c r="H39" s="1560"/>
      <c r="I39" s="1530"/>
      <c r="J39" s="1531"/>
    </row>
    <row r="40" spans="1:10" ht="18" customHeight="1" x14ac:dyDescent="0.25">
      <c r="A40" s="233">
        <v>28</v>
      </c>
      <c r="B40" s="1559" t="s">
        <v>1009</v>
      </c>
      <c r="C40" s="1559"/>
      <c r="D40" s="1560"/>
      <c r="E40" s="1560"/>
      <c r="F40" s="166"/>
      <c r="G40" s="1560"/>
      <c r="H40" s="1560"/>
      <c r="I40" s="1530"/>
      <c r="J40" s="1531"/>
    </row>
    <row r="41" spans="1:10" ht="18" customHeight="1" x14ac:dyDescent="0.25">
      <c r="A41" s="233">
        <v>29</v>
      </c>
      <c r="B41" s="1559" t="s">
        <v>1010</v>
      </c>
      <c r="C41" s="1559"/>
      <c r="D41" s="1560"/>
      <c r="E41" s="1560"/>
      <c r="F41" s="166"/>
      <c r="G41" s="1560"/>
      <c r="H41" s="1560"/>
      <c r="I41" s="1530"/>
      <c r="J41" s="1531"/>
    </row>
    <row r="42" spans="1:10" ht="18" customHeight="1" x14ac:dyDescent="0.25">
      <c r="A42" s="233">
        <v>30</v>
      </c>
      <c r="B42" s="1559" t="s">
        <v>1011</v>
      </c>
      <c r="C42" s="1559"/>
      <c r="D42" s="1560"/>
      <c r="E42" s="1560"/>
      <c r="F42" s="166"/>
      <c r="G42" s="1560"/>
      <c r="H42" s="1560"/>
      <c r="I42" s="1530"/>
      <c r="J42" s="1531"/>
    </row>
    <row r="43" spans="1:10" ht="18" customHeight="1" x14ac:dyDescent="0.25">
      <c r="A43" s="233">
        <v>31</v>
      </c>
      <c r="B43" s="1559" t="s">
        <v>1012</v>
      </c>
      <c r="C43" s="1559"/>
      <c r="D43" s="1560"/>
      <c r="E43" s="1560"/>
      <c r="F43" s="166"/>
      <c r="G43" s="1560"/>
      <c r="H43" s="1560"/>
      <c r="I43" s="1530"/>
      <c r="J43" s="1531"/>
    </row>
    <row r="44" spans="1:10" ht="18" customHeight="1" x14ac:dyDescent="0.25">
      <c r="A44" s="233">
        <v>32</v>
      </c>
      <c r="B44" s="1564" t="s">
        <v>1578</v>
      </c>
      <c r="C44" s="1564"/>
      <c r="D44" s="1560"/>
      <c r="E44" s="1560"/>
      <c r="F44" s="166"/>
      <c r="G44" s="1560"/>
      <c r="H44" s="1560"/>
      <c r="I44" s="1530"/>
      <c r="J44" s="1531"/>
    </row>
    <row r="45" spans="1:10" ht="18" customHeight="1" thickBot="1" x14ac:dyDescent="0.3">
      <c r="A45" s="233">
        <v>33</v>
      </c>
      <c r="B45" s="1564" t="s">
        <v>1579</v>
      </c>
      <c r="C45" s="1564"/>
      <c r="D45" s="1560"/>
      <c r="E45" s="1560"/>
      <c r="F45" s="166"/>
      <c r="G45" s="1560"/>
      <c r="H45" s="1560"/>
      <c r="I45" s="1530"/>
      <c r="J45" s="1531"/>
    </row>
    <row r="46" spans="1:10" ht="18" customHeight="1" thickBot="1" x14ac:dyDescent="0.3">
      <c r="A46" s="1569"/>
      <c r="B46" s="1536"/>
      <c r="C46" s="1536"/>
      <c r="D46" s="1536"/>
      <c r="E46" s="1536"/>
      <c r="F46" s="1536" t="s">
        <v>1013</v>
      </c>
      <c r="G46" s="1536"/>
      <c r="H46" s="1536"/>
      <c r="I46" s="1536" t="s">
        <v>1014</v>
      </c>
      <c r="J46" s="1537"/>
    </row>
    <row r="47" spans="1:10" ht="18" customHeight="1" x14ac:dyDescent="0.25">
      <c r="A47" s="1570" t="s">
        <v>1023</v>
      </c>
      <c r="B47" s="1571"/>
      <c r="C47" s="1571"/>
      <c r="D47" s="1571"/>
      <c r="E47" s="1571"/>
      <c r="F47" s="1572"/>
      <c r="G47" s="1572"/>
      <c r="H47" s="1572"/>
      <c r="I47" s="1571"/>
      <c r="J47" s="1573"/>
    </row>
    <row r="48" spans="1:10" ht="18" customHeight="1" x14ac:dyDescent="0.25">
      <c r="A48" s="1574" t="s">
        <v>1015</v>
      </c>
      <c r="B48" s="1575"/>
      <c r="C48" s="1575"/>
      <c r="D48" s="1575"/>
      <c r="E48" s="1575"/>
      <c r="F48" s="1565"/>
      <c r="G48" s="1565"/>
      <c r="H48" s="1565"/>
      <c r="I48" s="1575"/>
      <c r="J48" s="1576"/>
    </row>
    <row r="49" spans="1:10" ht="18" customHeight="1" x14ac:dyDescent="0.25">
      <c r="A49" s="1574" t="s">
        <v>1024</v>
      </c>
      <c r="B49" s="1575"/>
      <c r="C49" s="1575"/>
      <c r="D49" s="1575"/>
      <c r="E49" s="1575"/>
      <c r="F49" s="1565"/>
      <c r="G49" s="1565"/>
      <c r="H49" s="1565"/>
      <c r="I49" s="1575"/>
      <c r="J49" s="1576"/>
    </row>
    <row r="50" spans="1:10" ht="18" customHeight="1" x14ac:dyDescent="0.25">
      <c r="A50" s="1574" t="s">
        <v>1017</v>
      </c>
      <c r="B50" s="1575"/>
      <c r="C50" s="1575"/>
      <c r="D50" s="1575"/>
      <c r="E50" s="1575"/>
      <c r="F50" s="1565"/>
      <c r="G50" s="1565"/>
      <c r="H50" s="1565"/>
      <c r="I50" s="1575"/>
      <c r="J50" s="1576"/>
    </row>
    <row r="51" spans="1:10" ht="18" customHeight="1" thickBot="1" x14ac:dyDescent="0.3">
      <c r="A51" s="1577" t="s">
        <v>1018</v>
      </c>
      <c r="B51" s="1578"/>
      <c r="C51" s="1578"/>
      <c r="D51" s="1578"/>
      <c r="E51" s="1578"/>
      <c r="F51" s="1579"/>
      <c r="G51" s="1579"/>
      <c r="H51" s="1579"/>
      <c r="I51" s="1578"/>
      <c r="J51" s="1580"/>
    </row>
    <row r="52" spans="1:10" ht="18" customHeight="1" x14ac:dyDescent="0.25">
      <c r="A52" s="1581" t="s">
        <v>1019</v>
      </c>
      <c r="B52" s="1582"/>
      <c r="C52" s="1587" t="s">
        <v>1020</v>
      </c>
      <c r="D52" s="1587"/>
      <c r="E52" s="1587"/>
      <c r="F52" s="1588"/>
      <c r="G52" s="1588"/>
      <c r="H52" s="1588"/>
      <c r="I52" s="1588"/>
      <c r="J52" s="1589"/>
    </row>
    <row r="53" spans="1:10" ht="18" customHeight="1" x14ac:dyDescent="0.25">
      <c r="A53" s="1583"/>
      <c r="B53" s="1584"/>
      <c r="C53" s="1590" t="s">
        <v>1021</v>
      </c>
      <c r="D53" s="1590"/>
      <c r="E53" s="1590"/>
      <c r="F53" s="1565"/>
      <c r="G53" s="1565"/>
      <c r="H53" s="1565"/>
      <c r="I53" s="1565"/>
      <c r="J53" s="1591"/>
    </row>
    <row r="54" spans="1:10" ht="18" customHeight="1" thickBot="1" x14ac:dyDescent="0.3">
      <c r="A54" s="1585"/>
      <c r="B54" s="1586"/>
      <c r="C54" s="1592" t="s">
        <v>1022</v>
      </c>
      <c r="D54" s="1592"/>
      <c r="E54" s="1592"/>
      <c r="F54" s="1579"/>
      <c r="G54" s="1579"/>
      <c r="H54" s="1579"/>
      <c r="I54" s="1579"/>
      <c r="J54" s="1593"/>
    </row>
    <row r="55" spans="1:10" ht="12.75" hidden="1" customHeight="1" x14ac:dyDescent="0.25">
      <c r="E55" s="771"/>
    </row>
    <row r="56" spans="1:10" ht="12.75" hidden="1" customHeight="1" x14ac:dyDescent="0.25">
      <c r="E56" s="771"/>
    </row>
    <row r="57" spans="1:10" ht="12.75" hidden="1" customHeight="1" x14ac:dyDescent="0.25">
      <c r="E57" s="771"/>
    </row>
    <row r="58" spans="1:10" ht="12.75" hidden="1" customHeight="1" x14ac:dyDescent="0.25">
      <c r="E58" s="771"/>
    </row>
    <row r="59" spans="1:10" ht="12.75" hidden="1" customHeight="1" x14ac:dyDescent="0.25">
      <c r="E59" s="772"/>
      <c r="F59" s="773"/>
      <c r="G59" s="773"/>
      <c r="H59" s="773"/>
      <c r="I59" s="773"/>
      <c r="J59" s="773"/>
    </row>
    <row r="60" spans="1:10" ht="12.75" hidden="1" customHeight="1" x14ac:dyDescent="0.25">
      <c r="E60" s="771"/>
    </row>
    <row r="61" spans="1:10" ht="12.75" hidden="1" customHeight="1" x14ac:dyDescent="0.25">
      <c r="A61" s="773"/>
      <c r="B61" s="773"/>
      <c r="C61" s="773"/>
      <c r="D61" s="773"/>
      <c r="E61" s="771"/>
    </row>
    <row r="62" spans="1:10" ht="15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82"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</mergeCells>
  <pageMargins left="0.5" right="0.25" top="0.5" bottom="0.5" header="0.3" footer="0.3"/>
  <pageSetup paperSize="9" scale="78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40625" defaultRowHeight="18.75" x14ac:dyDescent="0.3"/>
  <cols>
    <col min="1" max="1" width="15.7109375" style="442" customWidth="1"/>
    <col min="2" max="2" width="16.7109375" style="442" customWidth="1"/>
    <col min="3" max="3" width="10.7109375" style="442" customWidth="1"/>
    <col min="4" max="4" width="14.7109375" style="442" customWidth="1"/>
    <col min="5" max="5" width="10.7109375" style="442" customWidth="1"/>
    <col min="6" max="6" width="14.7109375" style="442" customWidth="1"/>
    <col min="7" max="7" width="8.7109375" style="442" customWidth="1"/>
    <col min="8" max="8" width="16.7109375" style="442" customWidth="1"/>
    <col min="9" max="9" width="11.42578125" style="442" customWidth="1"/>
    <col min="10" max="16384" width="9.140625" style="442"/>
  </cols>
  <sheetData>
    <row r="1" spans="1:8" s="440" customFormat="1" ht="24.95" customHeight="1" x14ac:dyDescent="0.25">
      <c r="A1" s="443"/>
      <c r="B1" s="1597" t="s">
        <v>50</v>
      </c>
      <c r="C1" s="1597"/>
      <c r="D1" s="1597"/>
      <c r="E1" s="1598"/>
      <c r="F1" s="1544" t="s">
        <v>1027</v>
      </c>
      <c r="G1" s="1545"/>
      <c r="H1" s="1546"/>
    </row>
    <row r="2" spans="1:8" s="440" customFormat="1" ht="24.95" customHeight="1" x14ac:dyDescent="0.25">
      <c r="A2" s="444"/>
      <c r="B2" s="1599"/>
      <c r="C2" s="1599"/>
      <c r="D2" s="1599"/>
      <c r="E2" s="1600"/>
      <c r="F2" s="1547" t="s">
        <v>1568</v>
      </c>
      <c r="G2" s="1530"/>
      <c r="H2" s="1531"/>
    </row>
    <row r="3" spans="1:8" s="440" customFormat="1" ht="24.95" customHeight="1" x14ac:dyDescent="0.25">
      <c r="A3" s="1548" t="s">
        <v>51</v>
      </c>
      <c r="B3" s="1549"/>
      <c r="C3" s="1549"/>
      <c r="D3" s="1549"/>
      <c r="E3" s="1549"/>
      <c r="F3" s="1530" t="s">
        <v>975</v>
      </c>
      <c r="G3" s="1530"/>
      <c r="H3" s="1531"/>
    </row>
    <row r="4" spans="1:8" s="440" customFormat="1" ht="24.95" customHeight="1" thickBot="1" x14ac:dyDescent="0.3">
      <c r="A4" s="1550"/>
      <c r="B4" s="1551"/>
      <c r="C4" s="1551"/>
      <c r="D4" s="1551"/>
      <c r="E4" s="1551"/>
      <c r="F4" s="1532" t="s">
        <v>1028</v>
      </c>
      <c r="G4" s="1532"/>
      <c r="H4" s="1533"/>
    </row>
    <row r="5" spans="1:8" s="440" customFormat="1" ht="20.100000000000001" customHeight="1" thickBot="1" x14ac:dyDescent="0.3">
      <c r="A5" s="1601"/>
      <c r="B5" s="1601"/>
      <c r="C5" s="1601"/>
      <c r="D5" s="1601"/>
      <c r="E5" s="1601"/>
      <c r="F5" s="1601"/>
      <c r="G5" s="1601"/>
      <c r="H5" s="1601"/>
    </row>
    <row r="6" spans="1:8" s="441" customFormat="1" ht="24.95" customHeight="1" thickBot="1" x14ac:dyDescent="0.3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20261004 </v>
      </c>
      <c r="C6" s="629" t="s">
        <v>1032</v>
      </c>
      <c r="D6" s="427" t="str">
        <f>IF(Data!B2&lt;&gt;"",Data!B2," ")</f>
        <v>14304769R1</v>
      </c>
      <c r="E6" s="629" t="s">
        <v>29</v>
      </c>
      <c r="F6" s="427" t="str">
        <f>IF(LEN(Data!B3)&gt;3,IF(AND(Data!B43&lt;&gt;"",Data!B43&lt;&gt;"0 0/1"""),Data!B43,""),IF(Data!B3&lt;&gt;"",Data!B3&amp;"""",""))</f>
        <v>6 1/8"</v>
      </c>
      <c r="G6" s="629" t="s">
        <v>31</v>
      </c>
      <c r="H6" s="427" t="str">
        <f>IF(Data!B4&lt;&gt;"",Data!B4," ")</f>
        <v>HD54</v>
      </c>
    </row>
    <row r="7" spans="1:8" s="441" customFormat="1" ht="20.100000000000001" customHeight="1" thickBot="1" x14ac:dyDescent="0.3">
      <c r="A7" s="1602"/>
      <c r="B7" s="1602"/>
      <c r="C7" s="1602"/>
      <c r="D7" s="1602"/>
      <c r="E7" s="1602"/>
      <c r="F7" s="1602"/>
      <c r="G7" s="1602"/>
      <c r="H7" s="1602"/>
    </row>
    <row r="8" spans="1:8" s="440" customFormat="1" ht="24.95" customHeight="1" thickBot="1" x14ac:dyDescent="0.3">
      <c r="A8" s="1569" t="s">
        <v>52</v>
      </c>
      <c r="B8" s="1536"/>
      <c r="C8" s="1536"/>
      <c r="D8" s="1536"/>
      <c r="E8" s="1536" t="s">
        <v>53</v>
      </c>
      <c r="F8" s="1536"/>
      <c r="G8" s="1536"/>
      <c r="H8" s="1537"/>
    </row>
    <row r="9" spans="1:8" s="440" customFormat="1" ht="20.100000000000001" customHeight="1" thickBot="1" x14ac:dyDescent="0.3">
      <c r="A9" s="1603"/>
      <c r="B9" s="1603"/>
      <c r="C9" s="1603"/>
      <c r="D9" s="1603"/>
      <c r="E9" s="1603"/>
      <c r="F9" s="1603"/>
      <c r="G9" s="1603"/>
      <c r="H9" s="1603"/>
    </row>
    <row r="10" spans="1:8" s="440" customFormat="1" ht="27" customHeight="1" thickBot="1" x14ac:dyDescent="0.3">
      <c r="A10" s="1594" t="s">
        <v>1138</v>
      </c>
      <c r="B10" s="1595"/>
      <c r="C10" s="1595"/>
      <c r="D10" s="1595"/>
      <c r="E10" s="1595"/>
      <c r="F10" s="1595"/>
      <c r="G10" s="1595"/>
      <c r="H10" s="1596"/>
    </row>
    <row r="11" spans="1:8" s="440" customFormat="1" ht="27" customHeight="1" x14ac:dyDescent="0.25">
      <c r="A11" s="1604" t="s">
        <v>1036</v>
      </c>
      <c r="B11" s="1605"/>
      <c r="C11" s="1606" t="s">
        <v>54</v>
      </c>
      <c r="D11" s="1606"/>
      <c r="E11" s="1606" t="s">
        <v>55</v>
      </c>
      <c r="F11" s="1606"/>
      <c r="G11" s="1606" t="s">
        <v>56</v>
      </c>
      <c r="H11" s="1607"/>
    </row>
    <row r="12" spans="1:8" s="440" customFormat="1" ht="27" customHeight="1" x14ac:dyDescent="0.25">
      <c r="A12" s="1608" t="s">
        <v>1037</v>
      </c>
      <c r="B12" s="1609"/>
      <c r="C12" s="1565" t="s">
        <v>57</v>
      </c>
      <c r="D12" s="1565"/>
      <c r="E12" s="1610" t="s">
        <v>58</v>
      </c>
      <c r="F12" s="1610"/>
      <c r="G12" s="1610" t="s">
        <v>58</v>
      </c>
      <c r="H12" s="1611"/>
    </row>
    <row r="13" spans="1:8" s="440" customFormat="1" ht="27" customHeight="1" x14ac:dyDescent="0.25">
      <c r="A13" s="1608" t="s">
        <v>1038</v>
      </c>
      <c r="B13" s="1609"/>
      <c r="C13" s="1565"/>
      <c r="D13" s="1565"/>
      <c r="E13" s="1565"/>
      <c r="F13" s="1565"/>
      <c r="G13" s="1565"/>
      <c r="H13" s="1591"/>
    </row>
    <row r="14" spans="1:8" s="440" customFormat="1" ht="27" customHeight="1" x14ac:dyDescent="0.25">
      <c r="A14" s="1608" t="s">
        <v>1039</v>
      </c>
      <c r="B14" s="1609"/>
      <c r="C14" s="1565"/>
      <c r="D14" s="1565"/>
      <c r="E14" s="1565"/>
      <c r="F14" s="1565"/>
      <c r="G14" s="1565"/>
      <c r="H14" s="1591"/>
    </row>
    <row r="15" spans="1:8" s="440" customFormat="1" ht="27" customHeight="1" x14ac:dyDescent="0.25">
      <c r="A15" s="1608" t="s">
        <v>59</v>
      </c>
      <c r="B15" s="1609"/>
      <c r="C15" s="1530"/>
      <c r="D15" s="1530"/>
      <c r="E15" s="1609" t="s">
        <v>60</v>
      </c>
      <c r="F15" s="1609"/>
      <c r="G15" s="1530"/>
      <c r="H15" s="1531"/>
    </row>
    <row r="16" spans="1:8" s="440" customFormat="1" ht="27" customHeight="1" x14ac:dyDescent="0.25">
      <c r="A16" s="1608" t="s">
        <v>61</v>
      </c>
      <c r="B16" s="1609"/>
      <c r="C16" s="1530"/>
      <c r="D16" s="1530"/>
      <c r="E16" s="1609" t="s">
        <v>62</v>
      </c>
      <c r="F16" s="1609"/>
      <c r="G16" s="1530"/>
      <c r="H16" s="1531"/>
    </row>
    <row r="17" spans="1:8" s="440" customFormat="1" ht="27" customHeight="1" x14ac:dyDescent="0.25">
      <c r="A17" s="757" t="s">
        <v>63</v>
      </c>
      <c r="B17" s="758" t="s">
        <v>64</v>
      </c>
      <c r="C17" s="1565"/>
      <c r="D17" s="1565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25">
      <c r="A18" s="1612" t="s">
        <v>952</v>
      </c>
      <c r="B18" s="1614" t="s">
        <v>67</v>
      </c>
      <c r="C18" s="1615"/>
      <c r="D18" s="1615"/>
      <c r="E18" s="1615"/>
      <c r="F18" s="1615"/>
      <c r="G18" s="1615"/>
      <c r="H18" s="1616"/>
    </row>
    <row r="19" spans="1:8" s="440" customFormat="1" ht="27" customHeight="1" x14ac:dyDescent="0.25">
      <c r="A19" s="1612"/>
      <c r="B19" s="1617"/>
      <c r="C19" s="1618"/>
      <c r="D19" s="1618"/>
      <c r="E19" s="1618"/>
      <c r="F19" s="1618"/>
      <c r="G19" s="1618"/>
      <c r="H19" s="1619"/>
    </row>
    <row r="20" spans="1:8" s="440" customFormat="1" ht="27" customHeight="1" thickBot="1" x14ac:dyDescent="0.3">
      <c r="A20" s="1613"/>
      <c r="B20" s="1620" t="s">
        <v>69</v>
      </c>
      <c r="C20" s="1620"/>
      <c r="D20" s="1579"/>
      <c r="E20" s="1579"/>
      <c r="F20" s="1579"/>
      <c r="G20" s="1579"/>
      <c r="H20" s="1593"/>
    </row>
    <row r="21" spans="1:8" s="440" customFormat="1" ht="20.100000000000001" customHeight="1" thickBot="1" x14ac:dyDescent="0.3">
      <c r="A21" s="1603"/>
      <c r="B21" s="1603"/>
      <c r="C21" s="1603"/>
      <c r="D21" s="1603"/>
      <c r="E21" s="1603"/>
      <c r="F21" s="1603"/>
      <c r="G21" s="1603"/>
      <c r="H21" s="1603"/>
    </row>
    <row r="22" spans="1:8" s="440" customFormat="1" ht="27" customHeight="1" thickBot="1" x14ac:dyDescent="0.3">
      <c r="A22" s="1594" t="s">
        <v>1112</v>
      </c>
      <c r="B22" s="1595"/>
      <c r="C22" s="1595"/>
      <c r="D22" s="1595"/>
      <c r="E22" s="1595"/>
      <c r="F22" s="1595"/>
      <c r="G22" s="1595"/>
      <c r="H22" s="1596"/>
    </row>
    <row r="23" spans="1:8" s="440" customFormat="1" ht="27" customHeight="1" x14ac:dyDescent="0.25">
      <c r="A23" s="1604" t="s">
        <v>1036</v>
      </c>
      <c r="B23" s="1605"/>
      <c r="C23" s="1606" t="s">
        <v>54</v>
      </c>
      <c r="D23" s="1606"/>
      <c r="E23" s="1606" t="s">
        <v>55</v>
      </c>
      <c r="F23" s="1606"/>
      <c r="G23" s="1606" t="s">
        <v>56</v>
      </c>
      <c r="H23" s="1607"/>
    </row>
    <row r="24" spans="1:8" s="440" customFormat="1" ht="27" customHeight="1" x14ac:dyDescent="0.25">
      <c r="A24" s="1608" t="s">
        <v>1037</v>
      </c>
      <c r="B24" s="1609"/>
      <c r="C24" s="1565" t="s">
        <v>57</v>
      </c>
      <c r="D24" s="1565"/>
      <c r="E24" s="1610" t="s">
        <v>58</v>
      </c>
      <c r="F24" s="1610"/>
      <c r="G24" s="1610" t="s">
        <v>58</v>
      </c>
      <c r="H24" s="1611"/>
    </row>
    <row r="25" spans="1:8" s="440" customFormat="1" ht="27" customHeight="1" x14ac:dyDescent="0.25">
      <c r="A25" s="1608" t="s">
        <v>1038</v>
      </c>
      <c r="B25" s="1609"/>
      <c r="C25" s="1565"/>
      <c r="D25" s="1565"/>
      <c r="E25" s="1565"/>
      <c r="F25" s="1565"/>
      <c r="G25" s="1565"/>
      <c r="H25" s="1591"/>
    </row>
    <row r="26" spans="1:8" s="440" customFormat="1" ht="27" customHeight="1" x14ac:dyDescent="0.25">
      <c r="A26" s="1608" t="s">
        <v>1039</v>
      </c>
      <c r="B26" s="1609"/>
      <c r="C26" s="1565"/>
      <c r="D26" s="1565"/>
      <c r="E26" s="1565"/>
      <c r="F26" s="1565"/>
      <c r="G26" s="1565"/>
      <c r="H26" s="1591"/>
    </row>
    <row r="27" spans="1:8" s="440" customFormat="1" ht="27" customHeight="1" x14ac:dyDescent="0.25">
      <c r="A27" s="1608" t="s">
        <v>59</v>
      </c>
      <c r="B27" s="1609"/>
      <c r="C27" s="1530"/>
      <c r="D27" s="1530"/>
      <c r="E27" s="1609" t="s">
        <v>60</v>
      </c>
      <c r="F27" s="1609"/>
      <c r="G27" s="1530"/>
      <c r="H27" s="1531"/>
    </row>
    <row r="28" spans="1:8" s="440" customFormat="1" ht="27" customHeight="1" x14ac:dyDescent="0.25">
      <c r="A28" s="1608" t="s">
        <v>61</v>
      </c>
      <c r="B28" s="1609"/>
      <c r="C28" s="1530"/>
      <c r="D28" s="1530"/>
      <c r="E28" s="1609" t="s">
        <v>62</v>
      </c>
      <c r="F28" s="1609"/>
      <c r="G28" s="1530"/>
      <c r="H28" s="1531"/>
    </row>
    <row r="29" spans="1:8" s="440" customFormat="1" ht="27" customHeight="1" x14ac:dyDescent="0.25">
      <c r="A29" s="757" t="s">
        <v>63</v>
      </c>
      <c r="B29" s="758" t="s">
        <v>64</v>
      </c>
      <c r="C29" s="1565"/>
      <c r="D29" s="1565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25">
      <c r="A30" s="1612" t="s">
        <v>952</v>
      </c>
      <c r="B30" s="1614" t="s">
        <v>67</v>
      </c>
      <c r="C30" s="1615"/>
      <c r="D30" s="1615"/>
      <c r="E30" s="1615"/>
      <c r="F30" s="1615"/>
      <c r="G30" s="1615"/>
      <c r="H30" s="1616"/>
    </row>
    <row r="31" spans="1:8" s="440" customFormat="1" ht="27" customHeight="1" x14ac:dyDescent="0.25">
      <c r="A31" s="1612"/>
      <c r="B31" s="1617"/>
      <c r="C31" s="1618"/>
      <c r="D31" s="1618"/>
      <c r="E31" s="1618"/>
      <c r="F31" s="1618"/>
      <c r="G31" s="1618"/>
      <c r="H31" s="1619"/>
    </row>
    <row r="32" spans="1:8" s="440" customFormat="1" ht="27" customHeight="1" thickBot="1" x14ac:dyDescent="0.3">
      <c r="A32" s="1613"/>
      <c r="B32" s="1620" t="s">
        <v>69</v>
      </c>
      <c r="C32" s="1620"/>
      <c r="D32" s="1579"/>
      <c r="E32" s="1579"/>
      <c r="F32" s="1579"/>
      <c r="G32" s="1579"/>
      <c r="H32" s="1593"/>
    </row>
    <row r="33" s="440" customFormat="1" ht="18" customHeight="1" x14ac:dyDescent="0.25"/>
    <row r="34" s="440" customFormat="1" ht="18" customHeight="1" x14ac:dyDescent="0.25"/>
    <row r="35" s="440" customFormat="1" ht="18" customHeight="1" x14ac:dyDescent="0.25"/>
    <row r="36" s="440" customFormat="1" ht="18" customHeight="1" x14ac:dyDescent="0.25"/>
    <row r="37" s="440" customFormat="1" ht="18" customHeight="1" x14ac:dyDescent="0.25"/>
    <row r="38" s="440" customFormat="1" ht="18" customHeight="1" x14ac:dyDescent="0.25"/>
    <row r="39" s="440" customFormat="1" ht="18" customHeight="1" x14ac:dyDescent="0.25"/>
    <row r="40" s="440" customFormat="1" ht="18" customHeight="1" x14ac:dyDescent="0.25"/>
  </sheetData>
  <sheetProtection formatCells="0" formatColumns="0" formatRows="0" insertColumns="0" insertRows="0" insertHyperlinks="0" deleteColumns="0" deleteRows="0" sort="0" autoFilter="0" pivotTables="0"/>
  <mergeCells count="72">
    <mergeCell ref="C29:D29"/>
    <mergeCell ref="A30:A32"/>
    <mergeCell ref="B30:H31"/>
    <mergeCell ref="B32:C32"/>
    <mergeCell ref="D32:H32"/>
    <mergeCell ref="A27:B27"/>
    <mergeCell ref="C27:D27"/>
    <mergeCell ref="E27:F27"/>
    <mergeCell ref="G27:H27"/>
    <mergeCell ref="A28:B28"/>
    <mergeCell ref="C28:D28"/>
    <mergeCell ref="E28:F28"/>
    <mergeCell ref="G28:H28"/>
    <mergeCell ref="A25:B25"/>
    <mergeCell ref="C25:D25"/>
    <mergeCell ref="E25:F25"/>
    <mergeCell ref="G25:H25"/>
    <mergeCell ref="A26:B26"/>
    <mergeCell ref="C26:D26"/>
    <mergeCell ref="E26:F26"/>
    <mergeCell ref="G26:H2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40625" defaultRowHeight="15" x14ac:dyDescent="0.25"/>
  <cols>
    <col min="1" max="2" width="2.7109375" customWidth="1"/>
    <col min="3" max="36" width="4" customWidth="1"/>
    <col min="130" max="130" width="9.140625" customWidth="1"/>
  </cols>
  <sheetData>
    <row r="1" spans="1:36" ht="16.5" customHeight="1" x14ac:dyDescent="0.25">
      <c r="A1" s="1666" t="s">
        <v>23</v>
      </c>
      <c r="B1" s="1667"/>
      <c r="C1" s="1668"/>
      <c r="D1" s="1653" t="s">
        <v>967</v>
      </c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1429"/>
      <c r="P1" s="1429"/>
      <c r="Q1" s="1429"/>
      <c r="R1" s="1429"/>
      <c r="S1" s="1429"/>
      <c r="T1" s="1429"/>
      <c r="U1" s="1429"/>
      <c r="V1" s="1429"/>
      <c r="W1" s="1429"/>
      <c r="X1" s="1429"/>
      <c r="Y1" s="1429"/>
      <c r="Z1" s="1429"/>
      <c r="AA1" s="1429"/>
      <c r="AB1" s="1429"/>
      <c r="AC1" s="1429"/>
      <c r="AD1" s="1429"/>
      <c r="AE1" s="1429"/>
      <c r="AF1" s="1429"/>
      <c r="AG1" s="1429"/>
      <c r="AH1" s="1429"/>
      <c r="AI1" s="1429"/>
      <c r="AJ1" s="1430"/>
    </row>
    <row r="2" spans="1:36" ht="15.75" customHeight="1" x14ac:dyDescent="0.25">
      <c r="A2" s="1669"/>
      <c r="B2" s="1433"/>
      <c r="C2" s="1438"/>
      <c r="D2" s="1667" t="s">
        <v>24</v>
      </c>
      <c r="E2" s="1667"/>
      <c r="F2" s="1667"/>
      <c r="G2" s="1667"/>
      <c r="H2" s="1667"/>
      <c r="I2" s="1667"/>
      <c r="J2" s="1667"/>
      <c r="K2" s="1667"/>
      <c r="L2" s="1666" t="s">
        <v>1062</v>
      </c>
      <c r="M2" s="1667"/>
      <c r="N2" s="1667"/>
      <c r="O2" s="1667"/>
      <c r="P2" s="1667"/>
      <c r="Q2" s="1667"/>
      <c r="R2" s="1667"/>
      <c r="S2" s="1667"/>
      <c r="T2" s="1422" t="s">
        <v>25</v>
      </c>
      <c r="U2" s="1422"/>
      <c r="V2" s="1422"/>
      <c r="W2" s="1422"/>
      <c r="X2" s="1422"/>
      <c r="Y2" s="1422"/>
      <c r="Z2" s="1422"/>
      <c r="AA2" s="1422"/>
      <c r="AB2" s="1422" t="s">
        <v>26</v>
      </c>
      <c r="AC2" s="1422"/>
      <c r="AD2" s="1422"/>
      <c r="AE2" s="1422"/>
      <c r="AF2" s="1422"/>
      <c r="AG2" s="1422"/>
      <c r="AH2" s="1422"/>
      <c r="AI2" s="1422"/>
      <c r="AJ2" s="1422"/>
    </row>
    <row r="3" spans="1:36" ht="13.5" customHeight="1" thickBot="1" x14ac:dyDescent="0.3">
      <c r="A3" s="1670"/>
      <c r="B3" s="1671"/>
      <c r="C3" s="1672"/>
      <c r="D3" s="1621" t="s">
        <v>1118</v>
      </c>
      <c r="E3" s="1622"/>
      <c r="F3" s="1622"/>
      <c r="G3" s="1622"/>
      <c r="H3" s="1622"/>
      <c r="I3" s="1622"/>
      <c r="J3" s="1622"/>
      <c r="K3" s="1622"/>
      <c r="L3" s="1622"/>
      <c r="M3" s="1622"/>
      <c r="N3" s="1622"/>
      <c r="O3" s="1622"/>
      <c r="P3" s="1622"/>
      <c r="Q3" s="1622"/>
      <c r="R3" s="1622"/>
      <c r="S3" s="1622"/>
      <c r="T3" s="1623"/>
      <c r="U3" s="1623"/>
      <c r="V3" s="1623"/>
      <c r="W3" s="1623"/>
      <c r="X3" s="1623"/>
      <c r="Y3" s="1623"/>
      <c r="Z3" s="1623"/>
      <c r="AA3" s="1644" t="s">
        <v>1043</v>
      </c>
      <c r="AB3" s="1644"/>
      <c r="AC3" s="1644"/>
      <c r="AD3" s="1645"/>
      <c r="AE3" s="1647"/>
      <c r="AF3" s="1648"/>
      <c r="AG3" s="1648"/>
      <c r="AH3" s="1648"/>
      <c r="AI3" s="1649"/>
      <c r="AJ3" s="650"/>
    </row>
    <row r="4" spans="1:36" ht="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43" t="s">
        <v>1033</v>
      </c>
      <c r="AB4" s="1643"/>
      <c r="AC4" s="1643"/>
      <c r="AD4" s="1643"/>
      <c r="AE4" s="240"/>
      <c r="AF4" s="240"/>
      <c r="AG4" s="240"/>
      <c r="AH4" s="450"/>
      <c r="AI4" s="450"/>
    </row>
    <row r="5" spans="1:36" ht="15" customHeight="1" thickBot="1" x14ac:dyDescent="0.3">
      <c r="A5" s="240"/>
      <c r="B5" s="1644" t="s">
        <v>27</v>
      </c>
      <c r="C5" s="1644"/>
      <c r="D5" s="1644"/>
      <c r="E5" s="1645"/>
      <c r="F5" s="1557">
        <f>IF(Data!B1&lt;&gt;"", Data!B1, " ")</f>
        <v>20261004</v>
      </c>
      <c r="G5" s="1627"/>
      <c r="H5" s="1627"/>
      <c r="I5" s="1627"/>
      <c r="J5" s="1558"/>
      <c r="K5" s="1628" t="s">
        <v>28</v>
      </c>
      <c r="L5" s="1629"/>
      <c r="M5" s="1630"/>
      <c r="N5" s="1557" t="str">
        <f>IF(Data!B2&lt;&gt;"", Data!B2, " ")</f>
        <v>14304769R1</v>
      </c>
      <c r="O5" s="1627"/>
      <c r="P5" s="1627"/>
      <c r="Q5" s="1627"/>
      <c r="R5" s="1558"/>
      <c r="S5" s="1628" t="s">
        <v>1065</v>
      </c>
      <c r="T5" s="1629"/>
      <c r="U5" s="1630"/>
      <c r="V5" s="1557" t="str">
        <f>IF(Data!B5&lt;&gt;"",Data!B5," ")</f>
        <v>1251085M</v>
      </c>
      <c r="W5" s="1627"/>
      <c r="X5" s="1627"/>
      <c r="Y5" s="1627"/>
      <c r="Z5" s="1558"/>
      <c r="AA5" s="1643"/>
      <c r="AB5" s="1643"/>
      <c r="AC5" s="1643"/>
      <c r="AD5" s="1643"/>
      <c r="AE5" s="1654">
        <f>IF(Data!B6&lt;&gt;"",Data!B6," ")</f>
        <v>46035</v>
      </c>
      <c r="AF5" s="1655"/>
      <c r="AG5" s="1655"/>
      <c r="AH5" s="1655"/>
      <c r="AI5" s="1656"/>
    </row>
    <row r="6" spans="1:36" ht="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43"/>
      <c r="AB6" s="1643"/>
      <c r="AC6" s="1643"/>
      <c r="AD6" s="1643"/>
      <c r="AE6" s="449"/>
      <c r="AF6" s="449"/>
      <c r="AG6" s="450"/>
      <c r="AH6" s="450"/>
      <c r="AI6" s="450"/>
    </row>
    <row r="7" spans="1:36" ht="15" customHeight="1" thickBot="1" x14ac:dyDescent="0.3">
      <c r="D7" s="1629" t="s">
        <v>29</v>
      </c>
      <c r="E7" s="1630"/>
      <c r="F7" s="1557" t="str">
        <f>IF(LEN(Data!B3)&gt;3,IF(AND(Data!B43&lt;&gt;"",Data!B43&lt;&gt;"0 0/1"""),Data!B43,""),IF(Data!B3&lt;&gt;"",Data!B3&amp;"""",""))</f>
        <v>6 1/8"</v>
      </c>
      <c r="G7" s="1627"/>
      <c r="H7" s="1627"/>
      <c r="I7" s="1627"/>
      <c r="J7" s="1558"/>
      <c r="L7" s="1629" t="s">
        <v>31</v>
      </c>
      <c r="M7" s="1630"/>
      <c r="N7" s="1557" t="str">
        <f>IF(Data!B4&lt;&gt;"",Data!B4," ")</f>
        <v>HD54</v>
      </c>
      <c r="O7" s="1627"/>
      <c r="P7" s="1627"/>
      <c r="Q7" s="1627"/>
      <c r="R7" s="1558"/>
      <c r="S7" s="1628" t="s">
        <v>32</v>
      </c>
      <c r="T7" s="1629"/>
      <c r="U7" s="1630"/>
      <c r="V7" s="1557" t="str">
        <f>IF(Data!B7&lt;&gt;"",Data!B7, " ")</f>
        <v>LSTK</v>
      </c>
      <c r="W7" s="1627"/>
      <c r="X7" s="1627"/>
      <c r="Y7" s="1627"/>
      <c r="Z7" s="1558"/>
      <c r="AA7" s="1673" t="s">
        <v>33</v>
      </c>
      <c r="AB7" s="1644"/>
      <c r="AC7" s="1644"/>
      <c r="AD7" s="1645"/>
      <c r="AE7" s="1557">
        <f>IF(Data!B24&lt;&gt;"",Data!B24," ")</f>
        <v>960031408</v>
      </c>
      <c r="AF7" s="1627"/>
      <c r="AG7" s="1627"/>
      <c r="AH7" s="1627"/>
      <c r="AI7" s="1558"/>
    </row>
    <row r="8" spans="1:36" ht="32.25" customHeight="1" thickBot="1" x14ac:dyDescent="0.3">
      <c r="A8" s="1646" t="s">
        <v>1492</v>
      </c>
      <c r="B8" s="1646"/>
      <c r="C8" s="1646"/>
      <c r="D8" s="1646"/>
      <c r="E8" s="1646"/>
      <c r="F8" s="1646"/>
      <c r="G8" s="1646"/>
      <c r="H8" s="1646"/>
      <c r="I8" s="1646"/>
      <c r="J8" s="1646"/>
      <c r="K8" s="1646"/>
      <c r="L8" s="1646"/>
      <c r="M8" s="1646"/>
      <c r="N8" s="1646"/>
      <c r="O8" s="1646"/>
      <c r="P8" s="1646"/>
      <c r="Q8" s="1646"/>
      <c r="R8" s="1646"/>
      <c r="S8" s="1646"/>
      <c r="T8" s="1646"/>
      <c r="U8" s="1646"/>
      <c r="V8" s="1646"/>
      <c r="W8" s="1646"/>
      <c r="X8" s="1646"/>
      <c r="Y8" s="1646"/>
      <c r="Z8" s="1646"/>
      <c r="AA8" s="1646"/>
      <c r="AB8" s="1646"/>
      <c r="AC8" s="1646"/>
      <c r="AD8" s="1646"/>
      <c r="AE8" s="1646"/>
      <c r="AF8" s="1646"/>
      <c r="AG8" s="1646"/>
      <c r="AH8" s="1646"/>
      <c r="AI8" s="1646"/>
      <c r="AJ8" s="1646"/>
    </row>
    <row r="9" spans="1:36" ht="12" customHeight="1" x14ac:dyDescent="0.25">
      <c r="A9" s="1638" t="s">
        <v>17</v>
      </c>
      <c r="B9" s="1639"/>
      <c r="C9" s="1639"/>
      <c r="D9" s="1639"/>
      <c r="E9" s="1639"/>
      <c r="F9" s="1639"/>
      <c r="G9" s="1639"/>
      <c r="H9" s="1639"/>
      <c r="I9" s="1639"/>
      <c r="J9" s="1639"/>
      <c r="K9" s="1639"/>
      <c r="L9" s="1639"/>
      <c r="M9" s="1639"/>
      <c r="N9" s="1639"/>
      <c r="O9" s="1639"/>
      <c r="P9" s="1639"/>
      <c r="Q9" s="1639"/>
      <c r="R9" s="1639"/>
      <c r="S9" s="1639"/>
      <c r="T9" s="1639"/>
      <c r="U9" s="1639"/>
      <c r="V9" s="1639"/>
      <c r="W9" s="1639"/>
      <c r="X9" s="1639"/>
      <c r="Y9" s="1639"/>
      <c r="Z9" s="1639"/>
      <c r="AA9" s="1639"/>
      <c r="AB9" s="1639"/>
      <c r="AC9" s="1639"/>
      <c r="AD9" s="1639"/>
      <c r="AE9" s="1639"/>
      <c r="AF9" s="1639"/>
      <c r="AG9" s="1639"/>
      <c r="AH9" s="1639"/>
      <c r="AI9" s="1639"/>
      <c r="AJ9" s="1640"/>
    </row>
    <row r="10" spans="1:36" ht="12.75" customHeight="1" thickBot="1" x14ac:dyDescent="0.3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0a</v>
      </c>
      <c r="L10" s="396" t="str">
        <f>IF(Data!CA42&lt;&gt;"",Data!CA42,"")</f>
        <v>0a</v>
      </c>
      <c r="M10" s="396" t="str">
        <f>IF(Data!CB42&lt;&gt;"",Data!CB42,"")</f>
        <v>0a</v>
      </c>
      <c r="N10" s="396" t="str">
        <f>IF(Data!CC42&lt;&gt;"",Data!CC42,"")</f>
        <v>0a</v>
      </c>
      <c r="O10" s="396" t="str">
        <f>IF(Data!CD42&lt;&gt;"",Data!CD42,"")</f>
        <v>0a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" customHeight="1" x14ac:dyDescent="0.25">
      <c r="A11" s="1632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O1</v>
      </c>
      <c r="D11" s="262" t="str">
        <f>IF(Data!$L$32=1,IF(OR(Data!$L$2=1,Data!$L$3=1),IF(OR(Data!BS46=0,Data!BS46=""),"","O"&amp;Data!BS46),IF('ARDT Cutter Entry'!$C$111&lt;&gt;"",'ARDT Cutter Entry'!D111,'ARDT Cutter Entry'!D43)),"")</f>
        <v>O1</v>
      </c>
      <c r="E11" s="262" t="str">
        <f>IF(Data!$L$32=1,IF(OR(Data!$L$2=1,Data!$L$3=1),IF(OR(Data!BT46=0,Data!BT46=""),"","O"&amp;Data!BT46),IF('ARDT Cutter Entry'!$C$111&lt;&gt;"",'ARDT Cutter Entry'!E111,'ARDT Cutter Entry'!E43)),"")</f>
        <v>O1</v>
      </c>
      <c r="F11" s="262" t="str">
        <f>IF(Data!$L$32=1,IF(OR(Data!$L$2=1,Data!$L$3=1),IF(OR(Data!BU46=0,Data!BU46=""),"","O"&amp;Data!BU46),IF('ARDT Cutter Entry'!$C$111&lt;&gt;"",'ARDT Cutter Entry'!F111,'ARDT Cutter Entry'!F43)),"")</f>
        <v>R3</v>
      </c>
      <c r="G11" s="262" t="str">
        <f>IF(Data!$L$32=1,IF(OR(Data!$L$2=1,Data!$L$3=1),IF(OR(Data!BV46=0,Data!BV46=""),"","O"&amp;Data!BV46),IF('ARDT Cutter Entry'!$C$111&lt;&gt;"",'ARDT Cutter Entry'!G111,'ARDT Cutter Entry'!G43)),"")</f>
        <v>S3</v>
      </c>
      <c r="H11" s="262" t="str">
        <f>IF(Data!$L$32=1,IF(OR(Data!$L$2=1,Data!$L$3=1),IF(OR(Data!BW46=0,Data!BW46=""),"","O"&amp;Data!BW46),IF('ARDT Cutter Entry'!$C$111&lt;&gt;"",'ARDT Cutter Entry'!H111,'ARDT Cutter Entry'!H43)),"")</f>
        <v>O1</v>
      </c>
      <c r="I11" s="262" t="str">
        <f>IF(Data!$L$32=1,IF(OR(Data!$L$2=1,Data!$L$3=1),IF(OR(Data!BX46=0,Data!BX46=""),"","O"&amp;Data!BX46),IF('ARDT Cutter Entry'!$C$111&lt;&gt;"",'ARDT Cutter Entry'!I111,'ARDT Cutter Entry'!I43)),"")</f>
        <v>O2</v>
      </c>
      <c r="J11" s="262" t="str">
        <f>IF(Data!$L$32=1,IF(OR(Data!$L$2=1,Data!$L$3=1),IF(OR(Data!BY46=0,Data!BY46=""),"","O"&amp;Data!BY46),IF('ARDT Cutter Entry'!$C$111&lt;&gt;"",'ARDT Cutter Entry'!J111,'ARDT Cutter Entry'!J43)),"")</f>
        <v>O2</v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/>
      </c>
      <c r="M11" s="262" t="str">
        <f>IF(Data!$L$32=1,IF(OR(Data!$L$2=1,Data!$L$3=1),IF(OR(Data!CB46=0,Data!CB46=""),"","O"&amp;Data!CB46),IF('ARDT Cutter Entry'!$C$111&lt;&gt;"",'ARDT Cutter Entry'!M111,'ARDT Cutter Entry'!M43)),"")</f>
        <v/>
      </c>
      <c r="N11" s="262" t="str">
        <f>IF(Data!$L$32=1,IF(OR(Data!$L$2=1,Data!$L$3=1),IF(OR(Data!CC46=0,Data!CC46=""),"","O"&amp;Data!CC46),IF('ARDT Cutter Entry'!$C$111&lt;&gt;"",'ARDT Cutter Entry'!N111,'ARDT Cutter Entry'!N43)),"")</f>
        <v/>
      </c>
      <c r="O11" s="262" t="str">
        <f>IF(Data!$L$32=1,IF(OR(Data!$L$2=1,Data!$L$3=1),IF(OR(Data!CD46=0,Data!CD46=""),"","O"&amp;Data!CD46),IF('ARDT Cutter Entry'!$C$111&lt;&gt;"",'ARDT Cutter Entry'!O111,'ARDT Cutter Entry'!O43)),"")</f>
        <v/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" customHeight="1" x14ac:dyDescent="0.25">
      <c r="A12" s="1633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O1</v>
      </c>
      <c r="D12" s="167" t="str">
        <f>IF(Data!$L$32=1,IF(OR(Data!$L$2=1,Data!$L$3=1),IF(OR(Data!BS47=0,Data!BS47=""),"","O"&amp;Data!BS47),IF('ARDT Cutter Entry'!$C$111&lt;&gt;"",'ARDT Cutter Entry'!D112,'ARDT Cutter Entry'!D44)),"")</f>
        <v>O3</v>
      </c>
      <c r="E12" s="167" t="str">
        <f>IF(Data!$L$32=1,IF(OR(Data!$L$2=1,Data!$L$3=1),IF(OR(Data!BT47=0,Data!BT47=""),"","O"&amp;Data!BT47),IF('ARDT Cutter Entry'!$C$111&lt;&gt;"",'ARDT Cutter Entry'!E112,'ARDT Cutter Entry'!E44)),"")</f>
        <v>O1</v>
      </c>
      <c r="F12" s="167" t="str">
        <f>IF(Data!$L$32=1,IF(OR(Data!$L$2=1,Data!$L$3=1),IF(OR(Data!BU47=0,Data!BU47=""),"","O"&amp;Data!BU47),IF('ARDT Cutter Entry'!$C$111&lt;&gt;"",'ARDT Cutter Entry'!F112,'ARDT Cutter Entry'!F44)),"")</f>
        <v>O2</v>
      </c>
      <c r="G12" s="167" t="str">
        <f>IF(Data!$L$32=1,IF(OR(Data!$L$2=1,Data!$L$3=1),IF(OR(Data!BV47=0,Data!BV47=""),"","O"&amp;Data!BV47),IF('ARDT Cutter Entry'!$C$111&lt;&gt;"",'ARDT Cutter Entry'!G112,'ARDT Cutter Entry'!G44)),"")</f>
        <v>O2</v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/>
      </c>
      <c r="M12" s="167" t="str">
        <f>IF(Data!$L$32=1,IF(OR(Data!$L$2=1,Data!$L$3=1),IF(OR(Data!CB47=0,Data!CB47=""),"","O"&amp;Data!CB47),IF('ARDT Cutter Entry'!$C$111&lt;&gt;"",'ARDT Cutter Entry'!M112,'ARDT Cutter Entry'!M44)),"")</f>
        <v/>
      </c>
      <c r="N12" s="167" t="str">
        <f>IF(Data!$L$32=1,IF(OR(Data!$L$2=1,Data!$L$3=1),IF(OR(Data!CC47=0,Data!CC47=""),"","O"&amp;Data!CC47),IF('ARDT Cutter Entry'!$C$111&lt;&gt;"",'ARDT Cutter Entry'!N112,'ARDT Cutter Entry'!N44)),"")</f>
        <v/>
      </c>
      <c r="O12" s="167" t="str">
        <f>IF(Data!$L$32=1,IF(OR(Data!$L$2=1,Data!$L$3=1),IF(OR(Data!CD47=0,Data!CD47=""),"","O"&amp;Data!CD47),IF('ARDT Cutter Entry'!$C$111&lt;&gt;"",'ARDT Cutter Entry'!O112,'ARDT Cutter Entry'!O44)),"")</f>
        <v/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" customHeight="1" x14ac:dyDescent="0.25">
      <c r="A13" s="1633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O1</v>
      </c>
      <c r="D13" s="167" t="str">
        <f>IF(Data!$L$32=1,IF(OR(Data!$L$2=1,Data!$L$3=1),IF(OR(Data!BS48=0,Data!BS48=""),"","O"&amp;Data!BS48),IF('ARDT Cutter Entry'!$C$111&lt;&gt;"",'ARDT Cutter Entry'!D113,'ARDT Cutter Entry'!D45)),"")</f>
        <v>O1</v>
      </c>
      <c r="E13" s="167" t="str">
        <f>IF(Data!$L$32=1,IF(OR(Data!$L$2=1,Data!$L$3=1),IF(OR(Data!BT48=0,Data!BT48=""),"","O"&amp;Data!BT48),IF('ARDT Cutter Entry'!$C$111&lt;&gt;"",'ARDT Cutter Entry'!E113,'ARDT Cutter Entry'!E45)),"")</f>
        <v>O1</v>
      </c>
      <c r="F13" s="167" t="str">
        <f>IF(Data!$L$32=1,IF(OR(Data!$L$2=1,Data!$L$3=1),IF(OR(Data!BU48=0,Data!BU48=""),"","O"&amp;Data!BU48),IF('ARDT Cutter Entry'!$C$111&lt;&gt;"",'ARDT Cutter Entry'!F113,'ARDT Cutter Entry'!F45)),"")</f>
        <v>S3</v>
      </c>
      <c r="G13" s="167" t="str">
        <f>IF(Data!$L$32=1,IF(OR(Data!$L$2=1,Data!$L$3=1),IF(OR(Data!BV48=0,Data!BV48=""),"","O"&amp;Data!BV48),IF('ARDT Cutter Entry'!$C$111&lt;&gt;"",'ARDT Cutter Entry'!G113,'ARDT Cutter Entry'!G45)),"")</f>
        <v>O1</v>
      </c>
      <c r="H13" s="167" t="str">
        <f>IF(Data!$L$32=1,IF(OR(Data!$L$2=1,Data!$L$3=1),IF(OR(Data!BW48=0,Data!BW48=""),"","O"&amp;Data!BW48),IF('ARDT Cutter Entry'!$C$111&lt;&gt;"",'ARDT Cutter Entry'!H113,'ARDT Cutter Entry'!H45)),"")</f>
        <v>O2</v>
      </c>
      <c r="I13" s="167" t="str">
        <f>IF(Data!$L$32=1,IF(OR(Data!$L$2=1,Data!$L$3=1),IF(OR(Data!BX48=0,Data!BX48=""),"","O"&amp;Data!BX48),IF('ARDT Cutter Entry'!$C$111&lt;&gt;"",'ARDT Cutter Entry'!I113,'ARDT Cutter Entry'!I45)),"")</f>
        <v>O2</v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/>
      </c>
      <c r="M13" s="167" t="str">
        <f>IF(Data!$L$32=1,IF(OR(Data!$L$2=1,Data!$L$3=1),IF(OR(Data!CB48=0,Data!CB48=""),"","O"&amp;Data!CB48),IF('ARDT Cutter Entry'!$C$111&lt;&gt;"",'ARDT Cutter Entry'!M113,'ARDT Cutter Entry'!M45)),"")</f>
        <v/>
      </c>
      <c r="N13" s="167" t="str">
        <f>IF(Data!$L$32=1,IF(OR(Data!$L$2=1,Data!$L$3=1),IF(OR(Data!CC48=0,Data!CC48=""),"","O"&amp;Data!CC48),IF('ARDT Cutter Entry'!$C$111&lt;&gt;"",'ARDT Cutter Entry'!N113,'ARDT Cutter Entry'!N45)),"")</f>
        <v/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" customHeight="1" x14ac:dyDescent="0.25">
      <c r="A14" s="1633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O1</v>
      </c>
      <c r="D14" s="167" t="str">
        <f>IF(Data!$L$32=1,IF(OR(Data!$L$2=1,Data!$L$3=1),IF(OR(Data!BS49=0,Data!BS49=""),"","O"&amp;Data!BS49),IF('ARDT Cutter Entry'!$C$111&lt;&gt;"",'ARDT Cutter Entry'!D114,'ARDT Cutter Entry'!D46)),"")</f>
        <v>O1</v>
      </c>
      <c r="E14" s="167" t="str">
        <f>IF(Data!$L$32=1,IF(OR(Data!$L$2=1,Data!$L$3=1),IF(OR(Data!BT49=0,Data!BT49=""),"","O"&amp;Data!BT49),IF('ARDT Cutter Entry'!$C$111&lt;&gt;"",'ARDT Cutter Entry'!E114,'ARDT Cutter Entry'!E46)),"")</f>
        <v>O1</v>
      </c>
      <c r="F14" s="167" t="str">
        <f>IF(Data!$L$32=1,IF(OR(Data!$L$2=1,Data!$L$3=1),IF(OR(Data!BU49=0,Data!BU49=""),"","O"&amp;Data!BU49),IF('ARDT Cutter Entry'!$C$111&lt;&gt;"",'ARDT Cutter Entry'!F114,'ARDT Cutter Entry'!F46)),"")</f>
        <v>S3</v>
      </c>
      <c r="G14" s="167" t="str">
        <f>IF(Data!$L$32=1,IF(OR(Data!$L$2=1,Data!$L$3=1),IF(OR(Data!BV49=0,Data!BV49=""),"","O"&amp;Data!BV49),IF('ARDT Cutter Entry'!$C$111&lt;&gt;"",'ARDT Cutter Entry'!G114,'ARDT Cutter Entry'!G46)),"")</f>
        <v>O1</v>
      </c>
      <c r="H14" s="167" t="str">
        <f>IF(Data!$L$32=1,IF(OR(Data!$L$2=1,Data!$L$3=1),IF(OR(Data!BW49=0,Data!BW49=""),"","O"&amp;Data!BW49),IF('ARDT Cutter Entry'!$C$111&lt;&gt;"",'ARDT Cutter Entry'!H114,'ARDT Cutter Entry'!H46)),"")</f>
        <v>O1</v>
      </c>
      <c r="I14" s="167" t="str">
        <f>IF(Data!$L$32=1,IF(OR(Data!$L$2=1,Data!$L$3=1),IF(OR(Data!BX49=0,Data!BX49=""),"","O"&amp;Data!BX49),IF('ARDT Cutter Entry'!$C$111&lt;&gt;"",'ARDT Cutter Entry'!I114,'ARDT Cutter Entry'!I46)),"")</f>
        <v>O2</v>
      </c>
      <c r="J14" s="167" t="str">
        <f>IF(Data!$L$32=1,IF(OR(Data!$L$2=1,Data!$L$3=1),IF(OR(Data!BY49=0,Data!BY49=""),"","O"&amp;Data!BY49),IF('ARDT Cutter Entry'!$C$111&lt;&gt;"",'ARDT Cutter Entry'!J114,'ARDT Cutter Entry'!J46)),"")</f>
        <v>O2</v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/>
      </c>
      <c r="M14" s="167" t="str">
        <f>IF(Data!$L$32=1,IF(OR(Data!$L$2=1,Data!$L$3=1),IF(OR(Data!CB49=0,Data!CB49=""),"","O"&amp;Data!CB49),IF('ARDT Cutter Entry'!$C$111&lt;&gt;"",'ARDT Cutter Entry'!M114,'ARDT Cutter Entry'!M46)),"")</f>
        <v/>
      </c>
      <c r="N14" s="167" t="str">
        <f>IF(Data!$L$32=1,IF(OR(Data!$L$2=1,Data!$L$3=1),IF(OR(Data!CC49=0,Data!CC49=""),"","O"&amp;Data!CC49),IF('ARDT Cutter Entry'!$C$111&lt;&gt;"",'ARDT Cutter Entry'!N114,'ARDT Cutter Entry'!N46)),"")</f>
        <v/>
      </c>
      <c r="O14" s="167" t="str">
        <f>IF(Data!$L$32=1,IF(OR(Data!$L$2=1,Data!$L$3=1),IF(OR(Data!CD49=0,Data!CD49=""),"","O"&amp;Data!CD49),IF('ARDT Cutter Entry'!$C$111&lt;&gt;"",'ARDT Cutter Entry'!O114,'ARDT Cutter Entry'!O46)),"")</f>
        <v/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" customHeight="1" x14ac:dyDescent="0.25">
      <c r="A15" s="1633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S3</v>
      </c>
      <c r="D15" s="167" t="str">
        <f>IF(Data!$L$32=1,IF(OR(Data!$L$2=1,Data!$L$3=1),IF(OR(Data!BS50=0,Data!BS50=""),"","O"&amp;Data!BS50),IF('ARDT Cutter Entry'!$C$111&lt;&gt;"",'ARDT Cutter Entry'!D115,'ARDT Cutter Entry'!D47)),"")</f>
        <v>R3</v>
      </c>
      <c r="E15" s="167" t="str">
        <f>IF(Data!$L$32=1,IF(OR(Data!$L$2=1,Data!$L$3=1),IF(OR(Data!BT50=0,Data!BT50=""),"","O"&amp;Data!BT50),IF('ARDT Cutter Entry'!$C$111&lt;&gt;"",'ARDT Cutter Entry'!E115,'ARDT Cutter Entry'!E47)),"")</f>
        <v>O1</v>
      </c>
      <c r="F15" s="167" t="str">
        <f>IF(Data!$L$32=1,IF(OR(Data!$L$2=1,Data!$L$3=1),IF(OR(Data!BU50=0,Data!BU50=""),"","O"&amp;Data!BU50),IF('ARDT Cutter Entry'!$C$111&lt;&gt;"",'ARDT Cutter Entry'!F115,'ARDT Cutter Entry'!F47)),"")</f>
        <v>O2</v>
      </c>
      <c r="G15" s="167" t="str">
        <f>IF(Data!$L$32=1,IF(OR(Data!$L$2=1,Data!$L$3=1),IF(OR(Data!BV50=0,Data!BV50=""),"","O"&amp;Data!BV50),IF('ARDT Cutter Entry'!$C$111&lt;&gt;"",'ARDT Cutter Entry'!G115,'ARDT Cutter Entry'!G47)),"")</f>
        <v>O2</v>
      </c>
      <c r="H15" s="167" t="str">
        <f>IF(Data!$L$32=1,IF(OR(Data!$L$2=1,Data!$L$3=1),IF(OR(Data!BW50=0,Data!BW50=""),"","O"&amp;Data!BW50),IF('ARDT Cutter Entry'!$C$111&lt;&gt;"",'ARDT Cutter Entry'!H115,'ARDT Cutter Entry'!H47)),"")</f>
        <v/>
      </c>
      <c r="I15" s="167" t="str">
        <f>IF(Data!$L$32=1,IF(OR(Data!$L$2=1,Data!$L$3=1),IF(OR(Data!BX50=0,Data!BX50=""),"","O"&amp;Data!BX50),IF('ARDT Cutter Entry'!$C$111&lt;&gt;"",'ARDT Cutter Entry'!I115,'ARDT Cutter Entry'!I47)),"")</f>
        <v/>
      </c>
      <c r="J15" s="167" t="str">
        <f>IF(Data!$L$32=1,IF(OR(Data!$L$2=1,Data!$L$3=1),IF(OR(Data!BY50=0,Data!BY50=""),"","O"&amp;Data!BY50),IF('ARDT Cutter Entry'!$C$111&lt;&gt;"",'ARDT Cutter Entry'!J115,'ARDT Cutter Entry'!J47)),"")</f>
        <v/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/>
      </c>
      <c r="M15" s="167" t="str">
        <f>IF(Data!$L$32=1,IF(OR(Data!$L$2=1,Data!$L$3=1),IF(OR(Data!CB50=0,Data!CB50=""),"","O"&amp;Data!CB50),IF('ARDT Cutter Entry'!$C$111&lt;&gt;"",'ARDT Cutter Entry'!M115,'ARDT Cutter Entry'!M47)),"")</f>
        <v/>
      </c>
      <c r="N15" s="167" t="str">
        <f>IF(Data!$L$32=1,IF(OR(Data!$L$2=1,Data!$L$3=1),IF(OR(Data!CC50=0,Data!CC50=""),"","O"&amp;Data!CC50),IF('ARDT Cutter Entry'!$C$111&lt;&gt;"",'ARDT Cutter Entry'!N115,'ARDT Cutter Entry'!N47)),"")</f>
        <v/>
      </c>
      <c r="O15" s="167" t="str">
        <f>IF(Data!$L$32=1,IF(OR(Data!$L$2=1,Data!$L$3=1),IF(OR(Data!CD50=0,Data!CD50=""),"","O"&amp;Data!CD50),IF('ARDT Cutter Entry'!$C$111&lt;&gt;"",'ARDT Cutter Entry'!O115,'ARDT Cutter Entry'!O47)),"")</f>
        <v/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" customHeight="1" x14ac:dyDescent="0.25">
      <c r="A16" s="1633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/>
      </c>
      <c r="D16" s="167" t="str">
        <f>IF(Data!$L$32=1,IF(OR(Data!$L$2=1,Data!$L$3=1),IF(OR(Data!BS51=0,Data!BS51=""),"","O"&amp;Data!BS51),IF('ARDT Cutter Entry'!$C$111&lt;&gt;"",'ARDT Cutter Entry'!D116,'ARDT Cutter Entry'!D48)),"")</f>
        <v/>
      </c>
      <c r="E16" s="167" t="str">
        <f>IF(Data!$L$32=1,IF(OR(Data!$L$2=1,Data!$L$3=1),IF(OR(Data!BT51=0,Data!BT51=""),"","O"&amp;Data!BT51),IF('ARDT Cutter Entry'!$C$111&lt;&gt;"",'ARDT Cutter Entry'!E116,'ARDT Cutter Entry'!E48)),"")</f>
        <v/>
      </c>
      <c r="F16" s="167" t="str">
        <f>IF(Data!$L$32=1,IF(OR(Data!$L$2=1,Data!$L$3=1),IF(OR(Data!BU51=0,Data!BU51=""),"","O"&amp;Data!BU51),IF('ARDT Cutter Entry'!$C$111&lt;&gt;"",'ARDT Cutter Entry'!F116,'ARDT Cutter Entry'!F48)),"")</f>
        <v/>
      </c>
      <c r="G16" s="167" t="str">
        <f>IF(Data!$L$32=1,IF(OR(Data!$L$2=1,Data!$L$3=1),IF(OR(Data!BV51=0,Data!BV51=""),"","O"&amp;Data!BV51),IF('ARDT Cutter Entry'!$C$111&lt;&gt;"",'ARDT Cutter Entry'!G116,'ARDT Cutter Entry'!G48)),"")</f>
        <v/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/>
      </c>
      <c r="M16" s="167" t="str">
        <f>IF(Data!$L$32=1,IF(OR(Data!$L$2=1,Data!$L$3=1),IF(OR(Data!CB51=0,Data!CB51=""),"","O"&amp;Data!CB51),IF('ARDT Cutter Entry'!$C$111&lt;&gt;"",'ARDT Cutter Entry'!M116,'ARDT Cutter Entry'!M48)),"")</f>
        <v/>
      </c>
      <c r="N16" s="167" t="str">
        <f>IF(Data!$L$32=1,IF(OR(Data!$L$2=1,Data!$L$3=1),IF(OR(Data!CC51=0,Data!CC51=""),"","O"&amp;Data!CC51),IF('ARDT Cutter Entry'!$C$111&lt;&gt;"",'ARDT Cutter Entry'!N116,'ARDT Cutter Entry'!N48)),"")</f>
        <v/>
      </c>
      <c r="O16" s="167" t="str">
        <f>IF(Data!$L$32=1,IF(OR(Data!$L$2=1,Data!$L$3=1),IF(OR(Data!CD51=0,Data!CD51=""),"","O"&amp;Data!CD51),IF('ARDT Cutter Entry'!$C$111&lt;&gt;"",'ARDT Cutter Entry'!O116,'ARDT Cutter Entry'!O48)),"")</f>
        <v/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" customHeight="1" x14ac:dyDescent="0.25">
      <c r="A17" s="1633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" customHeight="1" x14ac:dyDescent="0.25">
      <c r="A18" s="1633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" customHeight="1" x14ac:dyDescent="0.25">
      <c r="A19" s="1633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" customHeight="1" x14ac:dyDescent="0.25">
      <c r="A20" s="1633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" customHeight="1" x14ac:dyDescent="0.25">
      <c r="A21" s="1633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" customHeight="1" thickBot="1" x14ac:dyDescent="0.3">
      <c r="A22" s="1634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2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25">
      <c r="A24" s="1635" t="s">
        <v>34</v>
      </c>
      <c r="B24" s="1636"/>
      <c r="C24" s="1636"/>
      <c r="D24" s="1636"/>
      <c r="E24" s="1636"/>
      <c r="F24" s="1674"/>
      <c r="G24" s="1674"/>
      <c r="H24" s="1674"/>
      <c r="I24" s="1674"/>
      <c r="J24" s="1636" t="s">
        <v>35</v>
      </c>
      <c r="K24" s="1636"/>
      <c r="L24" s="1636"/>
      <c r="M24" s="1650"/>
      <c r="N24" s="1650"/>
      <c r="O24" s="1650"/>
      <c r="P24" s="1650"/>
      <c r="Q24" s="1636" t="s">
        <v>36</v>
      </c>
      <c r="R24" s="1636"/>
      <c r="S24" s="1650"/>
      <c r="T24" s="1650"/>
      <c r="U24" s="1650"/>
      <c r="V24" s="1650"/>
      <c r="W24" s="535"/>
      <c r="X24" s="1503" t="s">
        <v>37</v>
      </c>
      <c r="Y24" s="1503"/>
      <c r="Z24" s="1631"/>
      <c r="AA24" s="480" t="str">
        <f>IF(Data!G32&lt;&gt;"","",IF(Data!G32=1,"",IF(Data!L32=1,IF(Data!B5&lt;&gt;"",IF(OR(AE24="√",AI24="√"),"","√"),""),"")))</f>
        <v>√</v>
      </c>
      <c r="AB24" s="1503" t="s">
        <v>734</v>
      </c>
      <c r="AC24" s="1503"/>
      <c r="AD24" s="1631"/>
      <c r="AE24" s="480" t="str">
        <f>IF(Data!L32=1,IF(OR(Data!L2=1,Data!L3=1),"√",""),"")</f>
        <v/>
      </c>
      <c r="AF24" s="1503" t="s">
        <v>38</v>
      </c>
      <c r="AG24" s="1503"/>
      <c r="AH24" s="1503"/>
      <c r="AI24" s="480" t="str">
        <f>IF(Data!L32=1,IF(OR(Data!L4=1,Data!L5=1),"√",""),"")</f>
        <v/>
      </c>
      <c r="AJ24" s="26"/>
      <c r="AK24" s="396"/>
    </row>
    <row r="25" spans="1:37" ht="6" customHeight="1" x14ac:dyDescent="0.25">
      <c r="A25" s="1432"/>
      <c r="B25" s="1433"/>
      <c r="C25" s="1433"/>
      <c r="D25" s="1433"/>
      <c r="E25" s="1433"/>
      <c r="F25" s="1433"/>
      <c r="G25" s="1433"/>
      <c r="H25" s="1433"/>
      <c r="I25" s="1433"/>
      <c r="J25" s="1433"/>
      <c r="K25" s="1433"/>
      <c r="L25" s="1433"/>
      <c r="M25" s="1433"/>
      <c r="N25" s="1433"/>
      <c r="O25" s="1433"/>
      <c r="P25" s="1433"/>
      <c r="Q25" s="1433"/>
      <c r="R25" s="1433"/>
      <c r="S25" s="1433"/>
      <c r="T25" s="1433"/>
      <c r="U25" s="1433"/>
      <c r="V25" s="1433"/>
      <c r="W25" s="1433"/>
      <c r="X25" s="1433"/>
      <c r="Y25" s="1433"/>
      <c r="Z25" s="1433"/>
      <c r="AA25" s="1433"/>
      <c r="AJ25" s="26"/>
    </row>
    <row r="26" spans="1:37" ht="14.25" customHeight="1" x14ac:dyDescent="0.25">
      <c r="A26" s="1432" t="s">
        <v>20</v>
      </c>
      <c r="B26" s="1433"/>
      <c r="C26" s="1433"/>
      <c r="D26" s="1641">
        <f>IF(Evaluation!A34&lt;&gt;"",Evaluation!A34," ")</f>
        <v>2</v>
      </c>
      <c r="E26" s="1642"/>
      <c r="F26" s="1433" t="s">
        <v>968</v>
      </c>
      <c r="G26" s="1433"/>
      <c r="H26" s="1454">
        <f>IF(Evaluation!D34&lt;&gt;"",Evaluation!D34," ")</f>
        <v>4</v>
      </c>
      <c r="I26" s="1456"/>
      <c r="K26" s="1433" t="s">
        <v>969</v>
      </c>
      <c r="L26" s="1438"/>
      <c r="M26" s="1641">
        <f>IF(Evaluation!G34&lt;&gt;"",Evaluation!G34," ")</f>
        <v>27</v>
      </c>
      <c r="N26" s="1642"/>
      <c r="O26" s="1433" t="s">
        <v>970</v>
      </c>
      <c r="P26" s="1433"/>
      <c r="Q26" s="1454">
        <f>IF(Evaluation!J34&lt;&gt;"",Evaluation!J34," ")</f>
        <v>0</v>
      </c>
      <c r="R26" s="1456"/>
      <c r="S26" s="1433" t="s">
        <v>971</v>
      </c>
      <c r="T26" s="1433"/>
      <c r="U26" s="1438"/>
      <c r="V26" s="1641">
        <f>IF(Evaluation!M34&lt;&gt;"",Evaluation!M34," ")</f>
        <v>0</v>
      </c>
      <c r="W26" s="1642"/>
      <c r="X26" s="1433" t="s">
        <v>972</v>
      </c>
      <c r="Y26" s="1438"/>
      <c r="Z26" s="1641">
        <f>IF(Evaluation!P34&lt;&gt;"",Evaluation!P34," ")</f>
        <v>0</v>
      </c>
      <c r="AA26" s="1642"/>
      <c r="AC26" s="1664" t="s">
        <v>21</v>
      </c>
      <c r="AD26" s="1665"/>
      <c r="AE26" s="1454">
        <f>IF(Data!BO63&lt;&gt;"",Data!BO63," ")</f>
        <v>33</v>
      </c>
      <c r="AF26" s="1456"/>
      <c r="AJ26" s="26"/>
    </row>
    <row r="27" spans="1:37" ht="3.75" customHeight="1" thickBot="1" x14ac:dyDescent="0.3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25">
      <c r="A28" s="1435" t="s">
        <v>19</v>
      </c>
      <c r="B28" s="1436"/>
      <c r="C28" s="1436"/>
      <c r="D28" s="1675" t="str">
        <f>IF(Data!L32=1,IF(Data!L2=1,"The bit is Rerunable, No need for repair. ",IF('ARDT Cutter Entry'!Y57=1,"Accepted as rerun by engineer",IF('ARDT Cutter Entry'!D21&lt;&gt;"",'ARDT Cutter Entry'!D21," "))),"")</f>
        <v>Re-evaluated by Engineer. Pin face erosion.</v>
      </c>
      <c r="E28" s="1675"/>
      <c r="F28" s="1675"/>
      <c r="G28" s="1675"/>
      <c r="H28" s="1675"/>
      <c r="I28" s="1675"/>
      <c r="J28" s="1675"/>
      <c r="K28" s="1675"/>
      <c r="L28" s="1675"/>
      <c r="M28" s="1675"/>
      <c r="N28" s="1675"/>
      <c r="O28" s="1675"/>
      <c r="P28" s="1675"/>
      <c r="Q28" s="1675"/>
      <c r="R28" s="1675"/>
      <c r="S28" s="1675"/>
      <c r="T28" s="1675"/>
      <c r="U28" s="1675"/>
      <c r="V28" s="1675"/>
      <c r="W28" s="1675"/>
      <c r="X28" s="1675"/>
      <c r="Y28" s="1675"/>
      <c r="Z28" s="1675"/>
      <c r="AA28" s="1675"/>
      <c r="AB28" s="1675"/>
      <c r="AC28" s="1675"/>
      <c r="AD28" s="1675"/>
      <c r="AE28" s="1675"/>
      <c r="AF28" s="1675"/>
      <c r="AG28" s="1675"/>
      <c r="AH28" s="1675"/>
      <c r="AI28" s="1675"/>
      <c r="AJ28" s="1676"/>
    </row>
    <row r="29" spans="1:37" ht="9" customHeight="1" x14ac:dyDescent="0.25">
      <c r="A29" s="1651" t="str">
        <f>IF(Instructions!$L$1&lt;&gt;"",Instructions!$L$1,"")</f>
        <v/>
      </c>
      <c r="B29" s="1652"/>
      <c r="C29" s="1652"/>
      <c r="D29" s="1677"/>
      <c r="E29" s="1677"/>
      <c r="F29" s="1677"/>
      <c r="G29" s="1677"/>
      <c r="H29" s="1677"/>
      <c r="I29" s="1677"/>
      <c r="J29" s="1677"/>
      <c r="K29" s="1677"/>
      <c r="L29" s="1677"/>
      <c r="M29" s="1677"/>
      <c r="N29" s="1677"/>
      <c r="O29" s="1677"/>
      <c r="P29" s="1677"/>
      <c r="Q29" s="1677"/>
      <c r="R29" s="1677"/>
      <c r="S29" s="1677"/>
      <c r="T29" s="1677"/>
      <c r="U29" s="1677"/>
      <c r="V29" s="1677"/>
      <c r="W29" s="1677"/>
      <c r="X29" s="1677"/>
      <c r="Y29" s="1677"/>
      <c r="Z29" s="1677"/>
      <c r="AA29" s="1677"/>
      <c r="AB29" s="1677"/>
      <c r="AC29" s="1677"/>
      <c r="AD29" s="1677"/>
      <c r="AE29" s="1677"/>
      <c r="AF29" s="1677"/>
      <c r="AG29" s="1677"/>
      <c r="AH29" s="1677"/>
      <c r="AI29" s="1677"/>
      <c r="AJ29" s="1678"/>
    </row>
    <row r="30" spans="1:37" ht="9" customHeight="1" x14ac:dyDescent="0.25">
      <c r="A30" s="1651"/>
      <c r="B30" s="1652"/>
      <c r="C30" s="1652"/>
      <c r="D30" s="1677"/>
      <c r="E30" s="1677"/>
      <c r="F30" s="1677"/>
      <c r="G30" s="1677"/>
      <c r="H30" s="1677"/>
      <c r="I30" s="1677"/>
      <c r="J30" s="1677"/>
      <c r="K30" s="1677"/>
      <c r="L30" s="1677"/>
      <c r="M30" s="1677"/>
      <c r="N30" s="1677"/>
      <c r="O30" s="1677"/>
      <c r="P30" s="1677"/>
      <c r="Q30" s="1677"/>
      <c r="R30" s="1677"/>
      <c r="S30" s="1677"/>
      <c r="T30" s="1677"/>
      <c r="U30" s="1677"/>
      <c r="V30" s="1677"/>
      <c r="W30" s="1677"/>
      <c r="X30" s="1677"/>
      <c r="Y30" s="1677"/>
      <c r="Z30" s="1677"/>
      <c r="AA30" s="1677"/>
      <c r="AB30" s="1677"/>
      <c r="AC30" s="1677"/>
      <c r="AD30" s="1677"/>
      <c r="AE30" s="1677"/>
      <c r="AF30" s="1677"/>
      <c r="AG30" s="1677"/>
      <c r="AH30" s="1677"/>
      <c r="AI30" s="1677"/>
      <c r="AJ30" s="1678"/>
    </row>
    <row r="31" spans="1:37" s="5" customFormat="1" ht="17.25" customHeight="1" x14ac:dyDescent="0.2">
      <c r="A31" s="651" t="s">
        <v>1493</v>
      </c>
      <c r="B31" s="652"/>
      <c r="C31" s="652"/>
      <c r="D31" s="652"/>
      <c r="E31" s="652"/>
      <c r="F31" s="652"/>
      <c r="G31" s="652"/>
      <c r="H31" s="653"/>
      <c r="I31" s="1624"/>
      <c r="J31" s="1624"/>
      <c r="K31" s="1624"/>
      <c r="L31" s="1624"/>
      <c r="M31" s="1624"/>
      <c r="N31" s="1624"/>
      <c r="O31" s="1624"/>
      <c r="P31" s="1624"/>
      <c r="Q31" s="1624"/>
      <c r="R31" s="1624"/>
      <c r="S31" s="1624"/>
      <c r="T31" s="1624"/>
      <c r="U31" s="1624"/>
      <c r="V31" s="1624"/>
      <c r="W31" s="1625" t="s">
        <v>1059</v>
      </c>
      <c r="X31" s="1625"/>
      <c r="Y31" s="1625"/>
      <c r="Z31" s="1625"/>
      <c r="AA31" s="1625"/>
      <c r="AB31" s="1625"/>
      <c r="AC31" s="1624"/>
      <c r="AD31" s="1624"/>
      <c r="AE31" s="1624"/>
      <c r="AF31" s="1624"/>
      <c r="AG31" s="1624"/>
      <c r="AH31" s="1624"/>
      <c r="AI31" s="1624"/>
      <c r="AJ31" s="1626"/>
    </row>
    <row r="32" spans="1:37" ht="2.25" customHeight="1" thickBot="1" x14ac:dyDescent="0.3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3">
      <c r="A33" s="1432" t="s">
        <v>39</v>
      </c>
      <c r="B33" s="1433"/>
      <c r="C33" s="1433"/>
      <c r="D33" s="1433"/>
      <c r="E33" s="1433"/>
      <c r="F33" s="1433"/>
      <c r="G33" s="1433"/>
      <c r="H33" s="1433"/>
      <c r="I33" s="1433"/>
      <c r="J33" s="1433"/>
      <c r="K33" s="1433"/>
      <c r="L33" s="1433"/>
      <c r="M33" s="1433"/>
      <c r="N33" s="1433"/>
      <c r="O33" s="1433"/>
      <c r="P33" s="1433"/>
      <c r="Q33" s="1433"/>
      <c r="R33" s="1433"/>
      <c r="S33" s="1433"/>
      <c r="T33" s="1433"/>
      <c r="U33" s="1433"/>
      <c r="V33" s="1433"/>
      <c r="W33" s="1433"/>
      <c r="X33" s="1433"/>
      <c r="Y33" s="1433"/>
      <c r="Z33" s="1433"/>
      <c r="AA33" s="1433"/>
      <c r="AB33" s="1433"/>
      <c r="AC33" s="1433"/>
      <c r="AD33" s="1433"/>
      <c r="AE33" s="1433"/>
      <c r="AF33" s="1433"/>
      <c r="AG33" s="1433"/>
      <c r="AH33" s="1433"/>
      <c r="AI33" s="1433"/>
      <c r="AJ33" s="1434"/>
    </row>
    <row r="34" spans="1:36" ht="6" customHeight="1" x14ac:dyDescent="0.25">
      <c r="A34" s="1659" t="s">
        <v>108</v>
      </c>
      <c r="B34" s="1657"/>
      <c r="C34" s="1657" t="s">
        <v>40</v>
      </c>
      <c r="D34" s="1657"/>
      <c r="E34" s="1657" t="s">
        <v>41</v>
      </c>
      <c r="F34" s="1657"/>
      <c r="G34" s="1657"/>
      <c r="H34" s="1657"/>
      <c r="I34" s="1657"/>
      <c r="J34" s="1657" t="s">
        <v>730</v>
      </c>
      <c r="K34" s="1657"/>
      <c r="L34" s="1657"/>
      <c r="M34" s="1657"/>
      <c r="N34" s="1657"/>
      <c r="O34" s="1657" t="s">
        <v>43</v>
      </c>
      <c r="P34" s="1657"/>
      <c r="Q34" s="1657"/>
      <c r="R34" s="1657"/>
      <c r="S34" s="1657"/>
      <c r="T34" s="1657"/>
      <c r="U34" s="1657"/>
      <c r="V34" s="1661" t="s">
        <v>44</v>
      </c>
      <c r="W34" s="1661"/>
      <c r="X34" s="1661"/>
      <c r="Y34" s="1661"/>
      <c r="Z34" s="1661"/>
      <c r="AA34" s="1661"/>
      <c r="AB34" s="1661"/>
      <c r="AC34" s="1661"/>
      <c r="AD34" s="1661"/>
      <c r="AE34" s="1661"/>
      <c r="AF34" s="1661"/>
      <c r="AG34" s="1661"/>
      <c r="AH34" s="1661"/>
      <c r="AI34" s="1661"/>
      <c r="AJ34" s="1662"/>
    </row>
    <row r="35" spans="1:36" ht="6" customHeight="1" x14ac:dyDescent="0.25">
      <c r="A35" s="1660"/>
      <c r="B35" s="1658"/>
      <c r="C35" s="1658"/>
      <c r="D35" s="1658"/>
      <c r="E35" s="1658"/>
      <c r="F35" s="1658"/>
      <c r="G35" s="1658"/>
      <c r="H35" s="1658"/>
      <c r="I35" s="1658"/>
      <c r="J35" s="1658"/>
      <c r="K35" s="1658"/>
      <c r="L35" s="1658"/>
      <c r="M35" s="1658"/>
      <c r="N35" s="1658"/>
      <c r="O35" s="1658"/>
      <c r="P35" s="1658"/>
      <c r="Q35" s="1658"/>
      <c r="R35" s="1658"/>
      <c r="S35" s="1658"/>
      <c r="T35" s="1658"/>
      <c r="U35" s="1658"/>
      <c r="V35" s="1463"/>
      <c r="W35" s="1463"/>
      <c r="X35" s="1463"/>
      <c r="Y35" s="1463"/>
      <c r="Z35" s="1463"/>
      <c r="AA35" s="1463"/>
      <c r="AB35" s="1463"/>
      <c r="AC35" s="1463"/>
      <c r="AD35" s="1463"/>
      <c r="AE35" s="1463"/>
      <c r="AF35" s="1463"/>
      <c r="AG35" s="1463"/>
      <c r="AH35" s="1463"/>
      <c r="AI35" s="1463"/>
      <c r="AJ35" s="1663"/>
    </row>
    <row r="36" spans="1:36" ht="12" customHeight="1" x14ac:dyDescent="0.25">
      <c r="A36" s="1427">
        <f>IF(TRIM(J36)="","",IF(Data!CX60&gt;0,IF(Data!CX60&lt;&gt;"", Data!CX60, " ")," "))</f>
        <v>1</v>
      </c>
      <c r="B36" s="1420"/>
      <c r="C36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36" s="1420"/>
      <c r="E36" s="1420">
        <f>IF(Data!GK2&gt;0,IF(Data!GK2&lt;&gt;"",Data!GK2," ")," ")</f>
        <v>1313</v>
      </c>
      <c r="F36" s="1420"/>
      <c r="G36" s="1420"/>
      <c r="H36" s="1420"/>
      <c r="I36" s="1420"/>
      <c r="J36" s="1420">
        <f>IF(Data!GG2&gt;0,IF(Data!GG2&lt;&gt;"",IF(Data!GG2&lt;&gt;"Add the cutter in list",Data!GG2," ")," "),"")</f>
        <v>1145493</v>
      </c>
      <c r="K36" s="1420"/>
      <c r="L36" s="1420"/>
      <c r="M36" s="1420"/>
      <c r="N36" s="1420"/>
      <c r="O36" s="1420" t="str">
        <f>IF(Data!H12&lt;&gt;"", Data!H12, " ")</f>
        <v xml:space="preserve"> CT427 0.010"</v>
      </c>
      <c r="P36" s="1420"/>
      <c r="Q36" s="1420"/>
      <c r="R36" s="1420"/>
      <c r="S36" s="1420"/>
      <c r="T36" s="1420"/>
      <c r="U36" s="1420"/>
      <c r="V36" s="1420" t="str">
        <f>IF(Evaluation!R44&lt;&gt;"",Evaluation!R44," ")</f>
        <v xml:space="preserve"> </v>
      </c>
      <c r="W36" s="1420"/>
      <c r="X36" s="1420"/>
      <c r="Y36" s="1420"/>
      <c r="Z36" s="1420"/>
      <c r="AA36" s="1420"/>
      <c r="AB36" s="1420"/>
      <c r="AC36" s="1420"/>
      <c r="AD36" s="1420"/>
      <c r="AE36" s="1420"/>
      <c r="AF36" s="1420"/>
      <c r="AG36" s="1420"/>
      <c r="AH36" s="1420"/>
      <c r="AI36" s="1420"/>
      <c r="AJ36" s="1421"/>
    </row>
    <row r="37" spans="1:36" ht="12" customHeight="1" x14ac:dyDescent="0.25">
      <c r="A37" s="1427">
        <f>IF(TRIM(J37)="","",IF(Data!CX61&gt;0,IF(Data!CX61&lt;&gt;"",Data!CX61," ")," "))</f>
        <v>2</v>
      </c>
      <c r="B37" s="1420"/>
      <c r="C37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0</v>
      </c>
      <c r="D37" s="1420"/>
      <c r="E37" s="1420">
        <f>IF(Data!GK3&gt;0,IF(Data!GK3&lt;&gt;"",Data!GK3," ")," ")</f>
        <v>1308</v>
      </c>
      <c r="F37" s="1420"/>
      <c r="G37" s="1420"/>
      <c r="H37" s="1420"/>
      <c r="I37" s="1420"/>
      <c r="J37" s="1420">
        <f>IF(Data!GG3&gt;0,IF(Data!GG3&lt;&gt;"",IF(Data!GG3&lt;&gt;"Add the cutter in list",Data!GG3," ")," "),"")</f>
        <v>418525</v>
      </c>
      <c r="K37" s="1420"/>
      <c r="L37" s="1420"/>
      <c r="M37" s="1420"/>
      <c r="N37" s="1420"/>
      <c r="O37" s="1420" t="str">
        <f>IF(Data!H13&lt;&gt;"", Data!H13, " ")</f>
        <v>Drop in CT31</v>
      </c>
      <c r="P37" s="1420"/>
      <c r="Q37" s="1420"/>
      <c r="R37" s="1420"/>
      <c r="S37" s="1420"/>
      <c r="T37" s="1420"/>
      <c r="U37" s="1420"/>
      <c r="V37" s="1420" t="str">
        <f>IF(Evaluation!R45&lt;&gt;"",Evaluation!R45," ")</f>
        <v xml:space="preserve"> </v>
      </c>
      <c r="W37" s="1420"/>
      <c r="X37" s="1420"/>
      <c r="Y37" s="1420"/>
      <c r="Z37" s="1420"/>
      <c r="AA37" s="1420"/>
      <c r="AB37" s="1420"/>
      <c r="AC37" s="1420"/>
      <c r="AD37" s="1420"/>
      <c r="AE37" s="1420"/>
      <c r="AF37" s="1420"/>
      <c r="AG37" s="1420"/>
      <c r="AH37" s="1420"/>
      <c r="AI37" s="1420"/>
      <c r="AJ37" s="1421"/>
    </row>
    <row r="38" spans="1:36" ht="12" customHeight="1" x14ac:dyDescent="0.25">
      <c r="A38" s="1427">
        <f>IF(TRIM(J38)="","",IF(Data!CX62&gt;0,IF(Data!CX62&lt;&gt;"",Data!CX62," ")," "))</f>
        <v>3</v>
      </c>
      <c r="B38" s="1420"/>
      <c r="C38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0</v>
      </c>
      <c r="D38" s="1420"/>
      <c r="E38" s="1420">
        <f>IF(Data!GK4&gt;0,IF(Data!GK4&lt;&gt;"",Data!GK4," ")," ")</f>
        <v>1313</v>
      </c>
      <c r="F38" s="1420"/>
      <c r="G38" s="1420"/>
      <c r="H38" s="1420"/>
      <c r="I38" s="1420"/>
      <c r="J38" s="1420">
        <f>IF(Data!GG4&gt;0,IF(Data!GG4&lt;&gt;"",IF(Data!GG4&lt;&gt;"Add the cutter in list",Data!GG4," ")," "),"")</f>
        <v>1209332</v>
      </c>
      <c r="K38" s="1420"/>
      <c r="L38" s="1420"/>
      <c r="M38" s="1420"/>
      <c r="N38" s="1420"/>
      <c r="O38" s="1420" t="str">
        <f>IF(Data!H14&lt;&gt;"", Data!H14, " ")</f>
        <v xml:space="preserve"> CT147G U</v>
      </c>
      <c r="P38" s="1420"/>
      <c r="Q38" s="1420"/>
      <c r="R38" s="1420"/>
      <c r="S38" s="1420"/>
      <c r="T38" s="1420"/>
      <c r="U38" s="1420"/>
      <c r="V38" s="1420" t="str">
        <f>IF(Evaluation!R46&lt;&gt;"",Evaluation!R46," ")</f>
        <v xml:space="preserve"> </v>
      </c>
      <c r="W38" s="1420"/>
      <c r="X38" s="1420"/>
      <c r="Y38" s="1420"/>
      <c r="Z38" s="1420"/>
      <c r="AA38" s="1420"/>
      <c r="AB38" s="1420"/>
      <c r="AC38" s="1420"/>
      <c r="AD38" s="1420"/>
      <c r="AE38" s="1420"/>
      <c r="AF38" s="1420"/>
      <c r="AG38" s="1420"/>
      <c r="AH38" s="1420"/>
      <c r="AI38" s="1420"/>
      <c r="AJ38" s="1421"/>
    </row>
    <row r="39" spans="1:36" ht="12" customHeight="1" x14ac:dyDescent="0.25">
      <c r="A39" s="1427">
        <f>IF(TRIM(J39)="","",IF(Data!CX63&gt;0,IF(Data!CX63&lt;&gt;"",Data!CX63," ")," "))</f>
        <v>4</v>
      </c>
      <c r="B39" s="1420"/>
      <c r="C39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39" s="1420"/>
      <c r="E39" s="1420">
        <f>IF(Data!GK5&gt;0,IF(Data!GK5&lt;&gt;"",Data!GK5," ")," ")</f>
        <v>1313</v>
      </c>
      <c r="F39" s="1420"/>
      <c r="G39" s="1420"/>
      <c r="H39" s="1420"/>
      <c r="I39" s="1420"/>
      <c r="J39" s="1420">
        <f>IF(Data!GG5&gt;0,IF(Data!GG5&lt;&gt;"",IF(Data!GG5&lt;&gt;"Add the cutter in list",Data!GG5," ")," "),"")</f>
        <v>1146346</v>
      </c>
      <c r="K39" s="1420"/>
      <c r="L39" s="1420"/>
      <c r="M39" s="1420"/>
      <c r="N39" s="1420"/>
      <c r="O39" s="1420" t="str">
        <f>IF(Data!H15&lt;&gt;"", Data!H15, " ")</f>
        <v xml:space="preserve"> CT418 18C-60</v>
      </c>
      <c r="P39" s="1420"/>
      <c r="Q39" s="1420"/>
      <c r="R39" s="1420"/>
      <c r="S39" s="1420"/>
      <c r="T39" s="1420"/>
      <c r="U39" s="1420"/>
      <c r="V39" s="1420" t="str">
        <f>IF(Evaluation!R47&lt;&gt;"",Evaluation!R47," ")</f>
        <v>To Replace Cutter # 1</v>
      </c>
      <c r="W39" s="1420"/>
      <c r="X39" s="1420"/>
      <c r="Y39" s="1420"/>
      <c r="Z39" s="1420"/>
      <c r="AA39" s="1420"/>
      <c r="AB39" s="1420"/>
      <c r="AC39" s="1420"/>
      <c r="AD39" s="1420"/>
      <c r="AE39" s="1420"/>
      <c r="AF39" s="1420"/>
      <c r="AG39" s="1420"/>
      <c r="AH39" s="1420"/>
      <c r="AI39" s="1420"/>
      <c r="AJ39" s="1421"/>
    </row>
    <row r="40" spans="1:36" ht="12" customHeight="1" x14ac:dyDescent="0.25">
      <c r="A40" s="1427">
        <f>IF(TRIM(J40)="","",IF(Data!CX64&gt;0,IF(Data!CX64&lt;&gt;"",Data!CX64," ")," "))</f>
        <v>5</v>
      </c>
      <c r="B40" s="1420"/>
      <c r="C40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420"/>
      <c r="E40" s="1420">
        <f>IF(Data!GK6&gt;0,IF(Data!GK6&lt;&gt;"",Data!GK6," ")," ")</f>
        <v>1313</v>
      </c>
      <c r="F40" s="1420"/>
      <c r="G40" s="1420"/>
      <c r="H40" s="1420"/>
      <c r="I40" s="1420"/>
      <c r="J40" s="1420">
        <f>IF(Data!GG6&gt;0,IF(Data!GG6&lt;&gt;"",IF(Data!GG6&lt;&gt;"Add the cutter in list",Data!GG6," ")," "),"")</f>
        <v>2001155</v>
      </c>
      <c r="K40" s="1420"/>
      <c r="L40" s="1420"/>
      <c r="M40" s="1420"/>
      <c r="N40" s="1420"/>
      <c r="O40" s="1420" t="str">
        <f>IF(Data!H16&lt;&gt;"", Data!H16, " ")</f>
        <v xml:space="preserve"> CT179T U-60</v>
      </c>
      <c r="P40" s="1420"/>
      <c r="Q40" s="1420"/>
      <c r="R40" s="1420"/>
      <c r="S40" s="1420"/>
      <c r="T40" s="1420"/>
      <c r="U40" s="1420"/>
      <c r="V40" s="1420" t="str">
        <f>IF(Evaluation!R48&lt;&gt;"",Evaluation!R48," ")</f>
        <v>To Replace Cutter # 3</v>
      </c>
      <c r="W40" s="1420"/>
      <c r="X40" s="1420"/>
      <c r="Y40" s="1420"/>
      <c r="Z40" s="1420"/>
      <c r="AA40" s="1420"/>
      <c r="AB40" s="1420"/>
      <c r="AC40" s="1420"/>
      <c r="AD40" s="1420"/>
      <c r="AE40" s="1420"/>
      <c r="AF40" s="1420"/>
      <c r="AG40" s="1420"/>
      <c r="AH40" s="1420"/>
      <c r="AI40" s="1420"/>
      <c r="AJ40" s="1421"/>
    </row>
    <row r="41" spans="1:36" ht="12" customHeight="1" x14ac:dyDescent="0.25">
      <c r="A41" s="1427" t="str">
        <f>IF(TRIM(J41)="","",IF(Data!CX65&gt;0,IF(Data!CX65&lt;&gt;"",Data!CX65," ")," "))</f>
        <v/>
      </c>
      <c r="B41" s="1420"/>
      <c r="C41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420"/>
      <c r="E41" s="1420" t="str">
        <f>IF(Data!GK7&gt;0,IF(Data!GK7&lt;&gt;"",Data!GK7," ")," ")</f>
        <v xml:space="preserve"> </v>
      </c>
      <c r="F41" s="1420"/>
      <c r="G41" s="1420"/>
      <c r="H41" s="1420"/>
      <c r="I41" s="1420"/>
      <c r="J41" s="1420" t="str">
        <f>IF(Data!GG7&gt;0,IF(Data!GG7&lt;&gt;"",IF(Data!GG7&lt;&gt;"Add the cutter in list",Data!GG7," ")," "),"")</f>
        <v xml:space="preserve"> </v>
      </c>
      <c r="K41" s="1420"/>
      <c r="L41" s="1420"/>
      <c r="M41" s="1420"/>
      <c r="N41" s="1420"/>
      <c r="O41" s="1420" t="str">
        <f>IF(Data!H17&lt;&gt;"", Data!H17, " ")</f>
        <v xml:space="preserve"> </v>
      </c>
      <c r="P41" s="1420"/>
      <c r="Q41" s="1420"/>
      <c r="R41" s="1420"/>
      <c r="S41" s="1420"/>
      <c r="T41" s="1420"/>
      <c r="U41" s="1420"/>
      <c r="V41" s="1420" t="str">
        <f>IF(Evaluation!R49&lt;&gt;"",Evaluation!R49," ")</f>
        <v xml:space="preserve"> </v>
      </c>
      <c r="W41" s="1420"/>
      <c r="X41" s="1420"/>
      <c r="Y41" s="1420"/>
      <c r="Z41" s="1420"/>
      <c r="AA41" s="1420"/>
      <c r="AB41" s="1420"/>
      <c r="AC41" s="1420"/>
      <c r="AD41" s="1420"/>
      <c r="AE41" s="1420"/>
      <c r="AF41" s="1420"/>
      <c r="AG41" s="1420"/>
      <c r="AH41" s="1420"/>
      <c r="AI41" s="1420"/>
      <c r="AJ41" s="1421"/>
    </row>
    <row r="42" spans="1:36" ht="12" customHeight="1" x14ac:dyDescent="0.25">
      <c r="A42" s="1427" t="str">
        <f>IF(TRIM(J42)="","",IF(Data!CX66&gt;0,IF(Data!CX66&lt;&gt;"",Data!CX66," ")," "))</f>
        <v/>
      </c>
      <c r="B42" s="1420"/>
      <c r="C42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420"/>
      <c r="E42" s="1420" t="str">
        <f>IF(Data!GK8&gt;0,IF(Data!GK8&lt;&gt;"",Data!GK8," ")," ")</f>
        <v xml:space="preserve"> </v>
      </c>
      <c r="F42" s="1420"/>
      <c r="G42" s="1420"/>
      <c r="H42" s="1420"/>
      <c r="I42" s="1420"/>
      <c r="J42" s="1420" t="str">
        <f>IF(Data!GG8&gt;0,IF(Data!GG8&lt;&gt;"",IF(Data!GG8&lt;&gt;"Add the cutter in list",Data!GG8," ")," "),"")</f>
        <v xml:space="preserve"> </v>
      </c>
      <c r="K42" s="1420"/>
      <c r="L42" s="1420"/>
      <c r="M42" s="1420"/>
      <c r="N42" s="1420"/>
      <c r="O42" s="1420" t="str">
        <f>IF(Data!H18&lt;&gt;"", Data!H18, " ")</f>
        <v xml:space="preserve"> </v>
      </c>
      <c r="P42" s="1420"/>
      <c r="Q42" s="1420"/>
      <c r="R42" s="1420"/>
      <c r="S42" s="1420"/>
      <c r="T42" s="1420"/>
      <c r="U42" s="1420"/>
      <c r="V42" s="1420" t="str">
        <f>IF(Evaluation!R50&lt;&gt;"",Evaluation!R50," ")</f>
        <v xml:space="preserve"> </v>
      </c>
      <c r="W42" s="1420"/>
      <c r="X42" s="1420"/>
      <c r="Y42" s="1420"/>
      <c r="Z42" s="1420"/>
      <c r="AA42" s="1420"/>
      <c r="AB42" s="1420"/>
      <c r="AC42" s="1420"/>
      <c r="AD42" s="1420"/>
      <c r="AE42" s="1420"/>
      <c r="AF42" s="1420"/>
      <c r="AG42" s="1420"/>
      <c r="AH42" s="1420"/>
      <c r="AI42" s="1420"/>
      <c r="AJ42" s="1421"/>
    </row>
    <row r="43" spans="1:36" ht="12" customHeight="1" x14ac:dyDescent="0.25">
      <c r="A43" s="1427" t="str">
        <f>IF(TRIM(J43)="","",IF(Data!CX67&gt;0,IF(Data!CX67&lt;&gt;"",Data!CX67," ")," "))</f>
        <v/>
      </c>
      <c r="B43" s="1420"/>
      <c r="C43" s="1420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420"/>
      <c r="E43" s="1420" t="str">
        <f>IF(Data!GK9&gt;0,IF(Data!GK9&lt;&gt;"",Data!GK9," ")," ")</f>
        <v xml:space="preserve"> </v>
      </c>
      <c r="F43" s="1420"/>
      <c r="G43" s="1420"/>
      <c r="H43" s="1420"/>
      <c r="I43" s="1420"/>
      <c r="J43" s="1420" t="str">
        <f>IF(Data!GG9&gt;0,IF(Data!GG9&lt;&gt;"",IF(Data!GG9&lt;&gt;"Add the cutter in list",Data!GG9," ")," "),"")</f>
        <v xml:space="preserve"> </v>
      </c>
      <c r="K43" s="1420"/>
      <c r="L43" s="1420"/>
      <c r="M43" s="1420"/>
      <c r="N43" s="1420"/>
      <c r="O43" s="1420" t="str">
        <f>IF(Data!H19&lt;&gt;"", Data!H19, " ")</f>
        <v xml:space="preserve"> </v>
      </c>
      <c r="P43" s="1420"/>
      <c r="Q43" s="1420"/>
      <c r="R43" s="1420"/>
      <c r="S43" s="1420"/>
      <c r="T43" s="1420"/>
      <c r="U43" s="1420"/>
      <c r="V43" s="1420" t="str">
        <f>IF(Evaluation!R57&lt;&gt;"",Evaluation!R57," ")</f>
        <v xml:space="preserve"> </v>
      </c>
      <c r="W43" s="1420"/>
      <c r="X43" s="1420"/>
      <c r="Y43" s="1420"/>
      <c r="Z43" s="1420"/>
      <c r="AA43" s="1420"/>
      <c r="AB43" s="1420"/>
      <c r="AC43" s="1420"/>
      <c r="AD43" s="1420"/>
      <c r="AE43" s="1420"/>
      <c r="AF43" s="1420"/>
      <c r="AG43" s="1420"/>
      <c r="AH43" s="1420"/>
      <c r="AI43" s="1420"/>
      <c r="AJ43" s="1421"/>
    </row>
    <row r="44" spans="1:36" ht="12" customHeight="1" x14ac:dyDescent="0.25">
      <c r="A44" s="1427" t="str">
        <f>IF(TRIM(J44)="","",IF(Data!CX68&gt;0,IF(Data!CX68&lt;&gt;"",Data!CX68," ")," "))</f>
        <v/>
      </c>
      <c r="B44" s="1420"/>
      <c r="C44" s="1420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420"/>
      <c r="E44" s="1420" t="str">
        <f>IF(Data!GK10&gt;0,IF(Data!GK10&lt;&gt;"",Data!GK10," ")," ")</f>
        <v xml:space="preserve"> </v>
      </c>
      <c r="F44" s="1420"/>
      <c r="G44" s="1420"/>
      <c r="H44" s="1420"/>
      <c r="I44" s="1420"/>
      <c r="J44" s="1420" t="str">
        <f>IF(Data!GG10&gt;0,IF(Data!GG10&lt;&gt;"",IF(Data!GG10&lt;&gt;"Add the cutter in list",Data!GG10," ")," "),"")</f>
        <v xml:space="preserve"> </v>
      </c>
      <c r="K44" s="1420"/>
      <c r="L44" s="1420"/>
      <c r="M44" s="1420"/>
      <c r="N44" s="1420"/>
      <c r="O44" s="1420" t="str">
        <f>IF(Data!H20&lt;&gt;"", Data!H20, " ")</f>
        <v xml:space="preserve"> </v>
      </c>
      <c r="P44" s="1420"/>
      <c r="Q44" s="1420"/>
      <c r="R44" s="1420"/>
      <c r="S44" s="1420"/>
      <c r="T44" s="1420"/>
      <c r="U44" s="1420"/>
      <c r="V44" s="1420" t="str">
        <f>IF(Evaluation!R58&lt;&gt;"",Evaluation!R58," ")</f>
        <v xml:space="preserve"> </v>
      </c>
      <c r="W44" s="1420"/>
      <c r="X44" s="1420"/>
      <c r="Y44" s="1420"/>
      <c r="Z44" s="1420"/>
      <c r="AA44" s="1420"/>
      <c r="AB44" s="1420"/>
      <c r="AC44" s="1420"/>
      <c r="AD44" s="1420"/>
      <c r="AE44" s="1420"/>
      <c r="AF44" s="1420"/>
      <c r="AG44" s="1420"/>
      <c r="AH44" s="1420"/>
      <c r="AI44" s="1420"/>
      <c r="AJ44" s="1421"/>
    </row>
    <row r="45" spans="1:36" ht="12" customHeight="1" thickBot="1" x14ac:dyDescent="0.3">
      <c r="A45" s="1425" t="str">
        <f>IF(TRIM(J45)="","",IF(Data!CX69&gt;0,IF(Data!CX69&lt;&gt;"",Data!CX69," ")," "))</f>
        <v/>
      </c>
      <c r="B45" s="1426"/>
      <c r="C45" s="1426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426"/>
      <c r="E45" s="1426" t="str">
        <f>IF(Data!GK11&gt;0,IF(Data!GK11&lt;&gt;"",Data!GK11," ")," ")</f>
        <v xml:space="preserve"> </v>
      </c>
      <c r="F45" s="1426"/>
      <c r="G45" s="1426"/>
      <c r="H45" s="1426"/>
      <c r="I45" s="1426"/>
      <c r="J45" s="1426" t="str">
        <f>IF(Data!GG11&gt;0,IF(Data!GG11&lt;&gt;"",IF(Data!GG11&lt;&gt;"Add the cutter in list",Data!GG11," ")," "),"")</f>
        <v xml:space="preserve"> </v>
      </c>
      <c r="K45" s="1426"/>
      <c r="L45" s="1426"/>
      <c r="M45" s="1426"/>
      <c r="N45" s="1426"/>
      <c r="O45" s="1426" t="str">
        <f>IF(Data!H21&lt;&gt;"", Data!H21, " ")</f>
        <v xml:space="preserve"> </v>
      </c>
      <c r="P45" s="1426"/>
      <c r="Q45" s="1426"/>
      <c r="R45" s="1426"/>
      <c r="S45" s="1426"/>
      <c r="T45" s="1426"/>
      <c r="U45" s="1426"/>
      <c r="V45" s="1426" t="str">
        <f>IF(Evaluation!R60&lt;&gt;"",Evaluation!R60," ")</f>
        <v xml:space="preserve"> </v>
      </c>
      <c r="W45" s="1426"/>
      <c r="X45" s="1426"/>
      <c r="Y45" s="1426"/>
      <c r="Z45" s="1426"/>
      <c r="AA45" s="1426"/>
      <c r="AB45" s="1426"/>
      <c r="AC45" s="1426"/>
      <c r="AD45" s="1426"/>
      <c r="AE45" s="1426"/>
      <c r="AF45" s="1426"/>
      <c r="AG45" s="1426"/>
      <c r="AH45" s="1426"/>
      <c r="AI45" s="1426"/>
      <c r="AJ45" s="1428"/>
    </row>
    <row r="46" spans="1:36" ht="9.9499999999999993" customHeight="1" x14ac:dyDescent="0.2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25">
      <c r="A47" s="1624" t="s">
        <v>1056</v>
      </c>
      <c r="B47" s="1624"/>
      <c r="C47" s="1624"/>
      <c r="D47" s="1624"/>
      <c r="E47" s="1624"/>
      <c r="F47" s="1624"/>
      <c r="H47" s="1624" t="str">
        <f>IF(Data!B16&lt;&gt;"",Data!B16," ")</f>
        <v>LSTK</v>
      </c>
      <c r="I47" s="1624"/>
      <c r="J47" s="1624"/>
      <c r="K47" s="1624"/>
      <c r="P47" s="1624" t="s">
        <v>1494</v>
      </c>
      <c r="Q47" s="1624"/>
      <c r="R47" s="1624"/>
      <c r="S47" s="1624"/>
      <c r="T47" s="1624"/>
      <c r="U47" s="1624"/>
      <c r="V47" s="1624"/>
      <c r="W47" s="1624"/>
      <c r="X47" s="1637"/>
      <c r="Y47" s="1637"/>
      <c r="Z47" s="1637"/>
      <c r="AA47" s="1637"/>
    </row>
    <row r="49" spans="22:36" x14ac:dyDescent="0.2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2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75" x14ac:dyDescent="0.25"/>
  <cols>
    <col min="1" max="1" width="18.140625" style="1000" bestFit="1" customWidth="1"/>
    <col min="2" max="2" width="18.5703125" style="1000" bestFit="1" customWidth="1"/>
    <col min="3" max="3" width="11.5703125" style="1000" bestFit="1" customWidth="1"/>
    <col min="4" max="4" width="12.42578125" style="1000" bestFit="1" customWidth="1"/>
    <col min="5" max="5" width="16.28515625" style="1000" bestFit="1" customWidth="1"/>
    <col min="6" max="6" width="13.5703125" style="1000" bestFit="1" customWidth="1"/>
    <col min="7" max="7" width="13.5703125" style="1000" customWidth="1"/>
    <col min="8" max="8" width="17.140625" style="1000" bestFit="1" customWidth="1"/>
    <col min="9" max="9" width="13.85546875" style="10" customWidth="1"/>
    <col min="10" max="10" width="115.42578125" style="13" bestFit="1" customWidth="1"/>
    <col min="11" max="11" width="16.5703125" bestFit="1" customWidth="1"/>
    <col min="12" max="12" width="14.5703125" customWidth="1"/>
    <col min="13" max="13" width="18.5703125" bestFit="1" customWidth="1"/>
    <col min="15" max="15" width="12" customWidth="1"/>
    <col min="17" max="17" width="13.5703125" bestFit="1" customWidth="1"/>
    <col min="18" max="18" width="13.5703125" customWidth="1"/>
    <col min="19" max="19" width="14.85546875" bestFit="1" customWidth="1"/>
    <col min="20" max="20" width="41.42578125" style="10" customWidth="1"/>
    <col min="21" max="21" width="95.7109375" bestFit="1" customWidth="1"/>
    <col min="22" max="22" width="40.140625" bestFit="1" customWidth="1"/>
  </cols>
  <sheetData>
    <row r="1" spans="1:22" x14ac:dyDescent="0.25">
      <c r="K1" s="1684" t="s">
        <v>2211</v>
      </c>
      <c r="L1" s="1679" t="str">
        <f>_xlfn.TEXTJOIN(". ", TRUE, U4:U320) &amp; IF(_xlfn.TEXTJOIN(". ", TRUE, U4:U320)&lt;&gt;"",".","")</f>
        <v/>
      </c>
      <c r="M1" s="1680"/>
      <c r="N1" s="1680"/>
      <c r="O1" s="1680"/>
      <c r="P1" s="1680"/>
      <c r="Q1" s="1680"/>
      <c r="R1" s="1680"/>
      <c r="S1" s="1681"/>
    </row>
    <row r="2" spans="1:22" ht="16.5" thickBot="1" x14ac:dyDescent="0.3">
      <c r="K2" s="1685"/>
      <c r="L2" s="1682"/>
      <c r="M2" s="1510"/>
      <c r="N2" s="1510"/>
      <c r="O2" s="1510"/>
      <c r="P2" s="1510"/>
      <c r="Q2" s="1510"/>
      <c r="R2" s="1510"/>
      <c r="S2" s="1683"/>
    </row>
    <row r="3" spans="1:22" x14ac:dyDescent="0.25">
      <c r="A3" s="991" t="s">
        <v>2207</v>
      </c>
      <c r="B3" s="991" t="s">
        <v>2208</v>
      </c>
      <c r="C3" s="992" t="s">
        <v>1165</v>
      </c>
      <c r="D3" s="991" t="s">
        <v>1166</v>
      </c>
      <c r="E3" s="991" t="s">
        <v>2243</v>
      </c>
      <c r="F3" s="991" t="s">
        <v>2209</v>
      </c>
      <c r="G3" s="991" t="s">
        <v>2242</v>
      </c>
      <c r="H3" s="991" t="s">
        <v>2215</v>
      </c>
      <c r="I3" s="991" t="s">
        <v>995</v>
      </c>
      <c r="J3" s="1002" t="s">
        <v>2210</v>
      </c>
      <c r="L3" s="993" t="s">
        <v>2207</v>
      </c>
      <c r="M3" s="994" t="s">
        <v>2208</v>
      </c>
      <c r="N3" s="995" t="s">
        <v>1165</v>
      </c>
      <c r="O3" s="994" t="s">
        <v>1166</v>
      </c>
      <c r="P3" s="994" t="s">
        <v>2243</v>
      </c>
      <c r="Q3" s="994" t="s">
        <v>2209</v>
      </c>
      <c r="R3" s="994" t="s">
        <v>2242</v>
      </c>
      <c r="S3" s="994" t="s">
        <v>2215</v>
      </c>
      <c r="T3" s="994" t="s">
        <v>995</v>
      </c>
      <c r="U3" s="997" t="s">
        <v>2212</v>
      </c>
      <c r="V3" s="994" t="s">
        <v>2214</v>
      </c>
    </row>
    <row r="4" spans="1:22" x14ac:dyDescent="0.25">
      <c r="B4" s="1000">
        <v>14081145</v>
      </c>
      <c r="I4" s="1000"/>
      <c r="J4" s="1003" t="s">
        <v>2213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25">
      <c r="E5" s="1000">
        <v>1257458</v>
      </c>
      <c r="I5" s="1000"/>
      <c r="J5" s="1003" t="s">
        <v>2216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25">
      <c r="E6" s="1000" t="s">
        <v>2184</v>
      </c>
      <c r="I6" s="1000"/>
      <c r="J6" s="1003" t="s">
        <v>2216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2488</v>
      </c>
    </row>
    <row r="7" spans="1:22" x14ac:dyDescent="0.25">
      <c r="G7" s="1000">
        <v>1212690</v>
      </c>
      <c r="I7" s="1000"/>
      <c r="J7" s="1003" t="s">
        <v>2219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25">
      <c r="F8" s="1000" t="s">
        <v>2220</v>
      </c>
      <c r="G8" s="1000">
        <v>1259957</v>
      </c>
      <c r="I8" s="1000"/>
      <c r="J8" s="1003" t="s">
        <v>2219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25">
      <c r="F9" s="1000" t="s">
        <v>2220</v>
      </c>
      <c r="G9" s="1000">
        <v>1158011</v>
      </c>
      <c r="I9" s="1000"/>
      <c r="J9" s="1003" t="s">
        <v>2221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25">
      <c r="F10" s="1000" t="s">
        <v>2220</v>
      </c>
      <c r="G10" s="1000">
        <v>1269498</v>
      </c>
      <c r="I10" s="1000"/>
      <c r="J10" s="1003" t="s">
        <v>2222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25">
      <c r="B11" s="1000">
        <v>13824396</v>
      </c>
      <c r="I11" s="1000"/>
      <c r="J11" s="13" t="s">
        <v>2224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25">
      <c r="B12" s="1000">
        <v>13955536</v>
      </c>
      <c r="I12" s="1000"/>
      <c r="J12" s="13" t="s">
        <v>2224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25">
      <c r="B13" s="1000">
        <v>13970758</v>
      </c>
      <c r="I13" s="1000"/>
      <c r="J13" s="13" t="s">
        <v>2224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25">
      <c r="E14" s="1000">
        <v>1092981</v>
      </c>
      <c r="F14" s="1000" t="s">
        <v>2220</v>
      </c>
      <c r="I14" s="1000"/>
      <c r="J14" s="13" t="s">
        <v>2244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25">
      <c r="E15" s="1000">
        <v>1083564</v>
      </c>
      <c r="F15" s="1000" t="s">
        <v>2220</v>
      </c>
      <c r="I15" s="1000"/>
      <c r="J15" s="13" t="s">
        <v>2244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25">
      <c r="E16" s="1000">
        <v>1176919</v>
      </c>
      <c r="F16" s="1000" t="s">
        <v>2220</v>
      </c>
      <c r="I16" s="1000"/>
      <c r="J16" s="13" t="s">
        <v>2244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25">
      <c r="E17" s="1000">
        <v>1269308</v>
      </c>
      <c r="F17" s="1000" t="s">
        <v>2220</v>
      </c>
      <c r="I17" s="1000"/>
      <c r="J17" s="13" t="s">
        <v>2244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25">
      <c r="E18" s="1000">
        <v>1092981</v>
      </c>
      <c r="F18" s="1000" t="s">
        <v>2223</v>
      </c>
      <c r="I18" s="1000"/>
      <c r="J18" s="13" t="s">
        <v>2244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25">
      <c r="E19" s="1000">
        <v>1083564</v>
      </c>
      <c r="F19" s="1000" t="s">
        <v>2223</v>
      </c>
      <c r="I19" s="1000"/>
      <c r="J19" s="13" t="s">
        <v>2244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25">
      <c r="E20" s="1000">
        <v>1176919</v>
      </c>
      <c r="F20" s="1000" t="s">
        <v>2223</v>
      </c>
      <c r="I20" s="1000"/>
      <c r="J20" s="13" t="s">
        <v>2244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25">
      <c r="E21" s="1000">
        <v>1269308</v>
      </c>
      <c r="F21" s="1000" t="s">
        <v>2223</v>
      </c>
      <c r="I21" s="1000"/>
      <c r="J21" s="13" t="s">
        <v>2244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25">
      <c r="E22" s="1000">
        <v>1092981</v>
      </c>
      <c r="F22" s="1000" t="s">
        <v>791</v>
      </c>
      <c r="I22" s="1000"/>
      <c r="J22" s="13" t="s">
        <v>2244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25">
      <c r="E23" s="1000">
        <v>1083564</v>
      </c>
      <c r="F23" s="1000" t="s">
        <v>791</v>
      </c>
      <c r="I23" s="1000"/>
      <c r="J23" s="13" t="s">
        <v>2244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25">
      <c r="E24" s="1000">
        <v>1176919</v>
      </c>
      <c r="F24" s="1000" t="s">
        <v>791</v>
      </c>
      <c r="I24" s="1000"/>
      <c r="J24" s="13" t="s">
        <v>2244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25">
      <c r="E25" s="1000">
        <v>1269308</v>
      </c>
      <c r="F25" s="1000" t="s">
        <v>791</v>
      </c>
      <c r="I25" s="1000"/>
      <c r="J25" s="13" t="s">
        <v>2244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25">
      <c r="B26" s="1000">
        <v>13844444</v>
      </c>
      <c r="I26" s="1000"/>
      <c r="J26" s="13" t="s">
        <v>2253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25">
      <c r="E27" s="1000">
        <v>1249569</v>
      </c>
      <c r="I27" s="1000"/>
      <c r="J27" s="13" t="s">
        <v>2256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25">
      <c r="H28" s="1000" t="s">
        <v>1488</v>
      </c>
      <c r="I28" s="1000"/>
      <c r="J28" s="13" t="s">
        <v>2254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0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2488</v>
      </c>
    </row>
    <row r="29" spans="2:22" x14ac:dyDescent="0.25">
      <c r="H29" s="1000" t="s">
        <v>1232</v>
      </c>
      <c r="I29" s="1000"/>
      <c r="J29" s="13" t="s">
        <v>2255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0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2427</v>
      </c>
    </row>
    <row r="30" spans="2:22" x14ac:dyDescent="0.25">
      <c r="E30" s="1000" t="s">
        <v>1325</v>
      </c>
      <c r="F30" s="1000" t="s">
        <v>2220</v>
      </c>
      <c r="I30" s="1000"/>
      <c r="J30" s="13" t="s">
        <v>2244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25">
      <c r="E31" s="1000" t="s">
        <v>1222</v>
      </c>
      <c r="F31" s="1000" t="s">
        <v>2220</v>
      </c>
      <c r="I31" s="1000"/>
      <c r="J31" s="13" t="s">
        <v>2244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25">
      <c r="E32" s="1000" t="s">
        <v>1838</v>
      </c>
      <c r="F32" s="1000" t="s">
        <v>2220</v>
      </c>
      <c r="I32" s="1000"/>
      <c r="J32" s="13" t="s">
        <v>2244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25">
      <c r="E33" s="1000" t="s">
        <v>2169</v>
      </c>
      <c r="F33" s="1000" t="s">
        <v>2220</v>
      </c>
      <c r="I33" s="1000"/>
      <c r="J33" s="13" t="s">
        <v>2244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25">
      <c r="E34" s="1000" t="s">
        <v>1325</v>
      </c>
      <c r="F34" s="1000" t="s">
        <v>2223</v>
      </c>
      <c r="I34" s="1000"/>
      <c r="J34" s="13" t="s">
        <v>2244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25">
      <c r="E35" s="1000" t="s">
        <v>1222</v>
      </c>
      <c r="F35" s="1000" t="s">
        <v>2223</v>
      </c>
      <c r="I35" s="1000"/>
      <c r="J35" s="13" t="s">
        <v>2244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25">
      <c r="E36" s="1000" t="s">
        <v>1838</v>
      </c>
      <c r="F36" s="1000" t="s">
        <v>2223</v>
      </c>
      <c r="I36" s="1000"/>
      <c r="J36" s="13" t="s">
        <v>2244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25">
      <c r="E37" s="1000" t="s">
        <v>2169</v>
      </c>
      <c r="F37" s="1000" t="s">
        <v>2223</v>
      </c>
      <c r="I37" s="1000"/>
      <c r="J37" s="13" t="s">
        <v>2244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25">
      <c r="E38" s="1000" t="s">
        <v>1325</v>
      </c>
      <c r="F38" s="1000" t="s">
        <v>791</v>
      </c>
      <c r="I38" s="1000"/>
      <c r="J38" s="13" t="s">
        <v>2244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25">
      <c r="E39" s="1000" t="s">
        <v>1222</v>
      </c>
      <c r="F39" s="1000" t="s">
        <v>791</v>
      </c>
      <c r="I39" s="1000"/>
      <c r="J39" s="13" t="s">
        <v>2244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25">
      <c r="E40" s="1000" t="s">
        <v>1838</v>
      </c>
      <c r="F40" s="1000" t="s">
        <v>791</v>
      </c>
      <c r="I40" s="1000"/>
      <c r="J40" s="13" t="s">
        <v>2244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25">
      <c r="E41" s="1000" t="s">
        <v>2169</v>
      </c>
      <c r="F41" s="1000" t="s">
        <v>791</v>
      </c>
      <c r="I41" s="1000"/>
      <c r="J41" s="13" t="s">
        <v>2244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25">
      <c r="E42" s="1000" t="s">
        <v>2138</v>
      </c>
      <c r="I42" s="1000"/>
      <c r="J42" s="13" t="s">
        <v>2256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25">
      <c r="E43" s="1000" t="s">
        <v>2306</v>
      </c>
      <c r="F43" s="1000" t="s">
        <v>2220</v>
      </c>
      <c r="I43" s="1000"/>
      <c r="J43" s="13" t="s">
        <v>2307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25">
      <c r="E44" s="1000" t="s">
        <v>2306</v>
      </c>
      <c r="F44" s="1000" t="s">
        <v>2223</v>
      </c>
      <c r="I44" s="1000"/>
      <c r="J44" s="13" t="s">
        <v>2307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25">
      <c r="E45" s="1000" t="s">
        <v>2306</v>
      </c>
      <c r="F45" s="1000" t="s">
        <v>791</v>
      </c>
      <c r="I45" s="1000"/>
      <c r="J45" s="13" t="s">
        <v>2307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25">
      <c r="E46" s="1000">
        <v>1246680</v>
      </c>
      <c r="F46" s="1000" t="s">
        <v>2220</v>
      </c>
      <c r="I46" s="1000"/>
      <c r="J46" s="13" t="s">
        <v>2308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25">
      <c r="E47" s="1000">
        <v>1246680</v>
      </c>
      <c r="F47" s="1000" t="s">
        <v>2223</v>
      </c>
      <c r="I47" s="1000"/>
      <c r="J47" s="13" t="s">
        <v>2308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25">
      <c r="E48" s="1000">
        <v>1246680</v>
      </c>
      <c r="F48" s="1000" t="s">
        <v>791</v>
      </c>
      <c r="I48" s="1000"/>
      <c r="J48" s="13" t="s">
        <v>2308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25">
      <c r="E49" s="1000">
        <v>1267829</v>
      </c>
      <c r="F49" s="1000" t="s">
        <v>2312</v>
      </c>
      <c r="I49" s="1000"/>
      <c r="J49" s="13" t="s">
        <v>2328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2427</v>
      </c>
    </row>
    <row r="50" spans="2:22" x14ac:dyDescent="0.25">
      <c r="E50" s="1000">
        <v>1276939</v>
      </c>
      <c r="F50" s="1000" t="s">
        <v>2312</v>
      </c>
      <c r="I50" s="1000"/>
      <c r="J50" s="13" t="s">
        <v>2328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2427</v>
      </c>
    </row>
    <row r="51" spans="2:22" x14ac:dyDescent="0.25">
      <c r="E51" s="1000">
        <v>1255267</v>
      </c>
      <c r="F51" s="1000" t="s">
        <v>2312</v>
      </c>
      <c r="I51" s="1000"/>
      <c r="J51" s="13" t="s">
        <v>2328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2427</v>
      </c>
    </row>
    <row r="52" spans="2:22" x14ac:dyDescent="0.25">
      <c r="E52" s="1000" t="s">
        <v>2170</v>
      </c>
      <c r="F52" s="1000" t="s">
        <v>2312</v>
      </c>
      <c r="I52" s="1000"/>
      <c r="J52" s="13" t="s">
        <v>2328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2427</v>
      </c>
    </row>
    <row r="53" spans="2:22" x14ac:dyDescent="0.25">
      <c r="E53" s="1000" t="s">
        <v>2218</v>
      </c>
      <c r="F53" s="1000" t="s">
        <v>2312</v>
      </c>
      <c r="I53" s="1000"/>
      <c r="J53" s="13" t="s">
        <v>2328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2427</v>
      </c>
    </row>
    <row r="54" spans="2:22" x14ac:dyDescent="0.25">
      <c r="E54" s="1000" t="s">
        <v>2145</v>
      </c>
      <c r="F54" s="1000" t="s">
        <v>2312</v>
      </c>
      <c r="I54" s="1000"/>
      <c r="J54" s="13" t="s">
        <v>2328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2427</v>
      </c>
    </row>
    <row r="55" spans="2:22" x14ac:dyDescent="0.25">
      <c r="E55" s="1000" t="s">
        <v>2325</v>
      </c>
      <c r="F55" s="1000" t="s">
        <v>2312</v>
      </c>
      <c r="I55" s="1000"/>
      <c r="J55" s="13" t="s">
        <v>2328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2427</v>
      </c>
    </row>
    <row r="56" spans="2:22" x14ac:dyDescent="0.25">
      <c r="E56" s="1000" t="s">
        <v>2326</v>
      </c>
      <c r="F56" s="1000" t="s">
        <v>2312</v>
      </c>
      <c r="I56" s="1000"/>
      <c r="J56" s="13" t="s">
        <v>2328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2427</v>
      </c>
    </row>
    <row r="57" spans="2:22" x14ac:dyDescent="0.25">
      <c r="E57" s="1000" t="s">
        <v>2327</v>
      </c>
      <c r="F57" s="1000" t="s">
        <v>2312</v>
      </c>
      <c r="I57" s="1000"/>
      <c r="J57" s="13" t="s">
        <v>2328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2427</v>
      </c>
    </row>
    <row r="58" spans="2:22" x14ac:dyDescent="0.25">
      <c r="B58" s="1000" t="s">
        <v>2429</v>
      </c>
      <c r="F58" s="1000" t="s">
        <v>2312</v>
      </c>
      <c r="I58" s="1000"/>
      <c r="J58" s="13" t="s">
        <v>2430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2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2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2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2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2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2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2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2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2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2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2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2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2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2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2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2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2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2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2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2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2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2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2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2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2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2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2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2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2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2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2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2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2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2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2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2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2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2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2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2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2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2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2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2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2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2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2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2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2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2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2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2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2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2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2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2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2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2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2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2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2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2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2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2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2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2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2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2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2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2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2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2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2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2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2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2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2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2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2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2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2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2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2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2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2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2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2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2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2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2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2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2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2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2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2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2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2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2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2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2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2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2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2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2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2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2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2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2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2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2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2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2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2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2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2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2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2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2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2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2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2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2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2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2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2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2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2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2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2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2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2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2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2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2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2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2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2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2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2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2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2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2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2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2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2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2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2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2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2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2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2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2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2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2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2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2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2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2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2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2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2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2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2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2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2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2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2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2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2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2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2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2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2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2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2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2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2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2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2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2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2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2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2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2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2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2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2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2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2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2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2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2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2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2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2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2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2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2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2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2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2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2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2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2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2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2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2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2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2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2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2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2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2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2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2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2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2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2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2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2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2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2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2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2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2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2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2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2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2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2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2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2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2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2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2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2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2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2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2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2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2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2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2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2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2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2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2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2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2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2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2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2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2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2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2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2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2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2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2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2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2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2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RowHeight="12.75" x14ac:dyDescent="0.25"/>
  <cols>
    <col min="1" max="1" width="11.7109375" style="1028" customWidth="1"/>
    <col min="2" max="3" width="5.42578125" style="1028" customWidth="1"/>
    <col min="4" max="5" width="9.42578125" style="1028" customWidth="1"/>
    <col min="6" max="6" width="10.5703125" style="1028" customWidth="1"/>
    <col min="7" max="8" width="11" style="1028" customWidth="1"/>
    <col min="9" max="9" width="10.85546875" style="1028" customWidth="1"/>
    <col min="10" max="16384" width="9.140625" style="1028"/>
  </cols>
  <sheetData>
    <row r="1" spans="1:15" ht="15.75" customHeight="1" x14ac:dyDescent="0.25">
      <c r="A1" s="1687" t="s">
        <v>2445</v>
      </c>
      <c r="B1" s="1688"/>
      <c r="C1" s="1688"/>
      <c r="D1" s="1688"/>
      <c r="E1" s="1688"/>
      <c r="F1" s="1688"/>
      <c r="G1" s="1691" t="s">
        <v>2446</v>
      </c>
      <c r="H1" s="1691"/>
      <c r="I1" s="1692"/>
    </row>
    <row r="2" spans="1:15" ht="15.75" customHeight="1" x14ac:dyDescent="0.25">
      <c r="A2" s="1689"/>
      <c r="B2" s="1690"/>
      <c r="C2" s="1690"/>
      <c r="D2" s="1690"/>
      <c r="E2" s="1690"/>
      <c r="F2" s="1690"/>
      <c r="G2" s="1693" t="s">
        <v>2447</v>
      </c>
      <c r="H2" s="1694"/>
      <c r="I2" s="1695"/>
    </row>
    <row r="3" spans="1:15" ht="15.75" customHeight="1" x14ac:dyDescent="0.25">
      <c r="A3" s="1696" t="s">
        <v>2448</v>
      </c>
      <c r="B3" s="1697"/>
      <c r="C3" s="1697"/>
      <c r="D3" s="1697"/>
      <c r="E3" s="1697"/>
      <c r="F3" s="1697"/>
      <c r="G3" s="1700" t="s">
        <v>2449</v>
      </c>
      <c r="H3" s="1700"/>
      <c r="I3" s="1701"/>
    </row>
    <row r="4" spans="1:15" ht="15.75" customHeight="1" thickBot="1" x14ac:dyDescent="0.3">
      <c r="A4" s="1698"/>
      <c r="B4" s="1699"/>
      <c r="C4" s="1699"/>
      <c r="D4" s="1699"/>
      <c r="E4" s="1699"/>
      <c r="F4" s="1699"/>
      <c r="G4" s="1702" t="s">
        <v>2450</v>
      </c>
      <c r="H4" s="1702"/>
      <c r="I4" s="1703"/>
    </row>
    <row r="5" spans="1:15" ht="5.25" customHeight="1" thickBot="1" x14ac:dyDescent="0.25">
      <c r="A5" s="1704"/>
      <c r="B5" s="1704"/>
      <c r="C5" s="1704"/>
      <c r="D5" s="1704"/>
      <c r="E5" s="1704"/>
      <c r="F5" s="1704"/>
      <c r="G5" s="1704"/>
      <c r="H5" s="1704"/>
      <c r="I5" s="1704"/>
    </row>
    <row r="6" spans="1:15" ht="18" customHeight="1" thickBot="1" x14ac:dyDescent="0.3">
      <c r="A6" s="1067" t="s">
        <v>2451</v>
      </c>
      <c r="B6" s="1705" t="s">
        <v>2452</v>
      </c>
      <c r="C6" s="1706"/>
      <c r="D6" s="1706"/>
      <c r="E6" s="1707"/>
      <c r="F6" s="1067" t="s">
        <v>2453</v>
      </c>
      <c r="G6" s="1705" t="s">
        <v>2454</v>
      </c>
      <c r="H6" s="1706"/>
      <c r="I6" s="1707"/>
    </row>
    <row r="7" spans="1:15" ht="5.25" customHeight="1" thickBot="1" x14ac:dyDescent="0.25">
      <c r="A7" s="1704"/>
      <c r="B7" s="1704"/>
      <c r="C7" s="1704"/>
      <c r="D7" s="1704"/>
      <c r="E7" s="1704"/>
      <c r="F7" s="1704"/>
      <c r="G7" s="1704"/>
      <c r="H7" s="1704"/>
      <c r="I7" s="1704"/>
    </row>
    <row r="8" spans="1:15" ht="16.5" customHeight="1" x14ac:dyDescent="0.2">
      <c r="A8" s="1708" t="s">
        <v>2455</v>
      </c>
      <c r="B8" s="1709"/>
      <c r="C8" s="1709"/>
      <c r="D8" s="1709"/>
      <c r="E8" s="1709"/>
      <c r="F8" s="1709"/>
      <c r="G8" s="1709"/>
      <c r="H8" s="1709"/>
      <c r="I8" s="1710"/>
    </row>
    <row r="9" spans="1:15" ht="16.5" customHeight="1" thickBot="1" x14ac:dyDescent="0.3">
      <c r="A9" s="1068" t="s">
        <v>1478</v>
      </c>
      <c r="B9" s="1093"/>
      <c r="C9" s="1081" t="b">
        <v>0</v>
      </c>
      <c r="D9" s="1082"/>
      <c r="E9" s="1686" t="s">
        <v>2456</v>
      </c>
      <c r="F9" s="1686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25">
      <c r="A10" s="1704"/>
      <c r="B10" s="1704"/>
      <c r="C10" s="1704"/>
      <c r="D10" s="1704"/>
      <c r="E10" s="1704"/>
      <c r="F10" s="1704"/>
      <c r="G10" s="1704"/>
      <c r="H10" s="1704"/>
      <c r="I10" s="1704"/>
    </row>
    <row r="11" spans="1:15" ht="17.25" customHeight="1" x14ac:dyDescent="0.25">
      <c r="A11" s="1070" t="s">
        <v>2457</v>
      </c>
      <c r="B11" s="1713">
        <f>IF(Data!B1&lt;&gt;"", Data!B1, " ")</f>
        <v>20261004</v>
      </c>
      <c r="C11" s="1713"/>
      <c r="D11" s="1713"/>
      <c r="E11" s="1713"/>
      <c r="F11" s="1071" t="s">
        <v>2458</v>
      </c>
      <c r="G11" s="1713" t="str">
        <f>IF(Data!B2&lt;&gt;"", Data!B2, " ")</f>
        <v>14304769R1</v>
      </c>
      <c r="H11" s="1713"/>
      <c r="I11" s="1714"/>
    </row>
    <row r="12" spans="1:15" ht="17.25" customHeight="1" thickBot="1" x14ac:dyDescent="0.3">
      <c r="A12" s="1072" t="s">
        <v>2459</v>
      </c>
      <c r="B12" s="1715" t="str">
        <f>IF(LEN(Data!B3)&gt;3,IF(AND(Data!B43&lt;&gt;"",Data!B43&lt;&gt;"0 0/1"""),Data!B43,""),IF(Data!B3&lt;&gt;"",Data!B3&amp;"""",""))</f>
        <v>6 1/8"</v>
      </c>
      <c r="C12" s="1715"/>
      <c r="D12" s="1715"/>
      <c r="E12" s="1715"/>
      <c r="F12" s="1073" t="s">
        <v>2460</v>
      </c>
      <c r="G12" s="1715" t="str">
        <f>IF(Data!B4&lt;&gt;"",Data!B4," ")</f>
        <v>HD54</v>
      </c>
      <c r="H12" s="1715"/>
      <c r="I12" s="1716"/>
    </row>
    <row r="13" spans="1:15" ht="5.25" customHeight="1" thickBot="1" x14ac:dyDescent="0.25">
      <c r="A13" s="1704"/>
      <c r="B13" s="1704"/>
      <c r="C13" s="1704"/>
      <c r="D13" s="1704"/>
      <c r="E13" s="1704"/>
      <c r="F13" s="1704"/>
      <c r="G13" s="1704"/>
      <c r="H13" s="1704"/>
      <c r="I13" s="1704"/>
    </row>
    <row r="14" spans="1:15" ht="17.25" customHeight="1" thickBot="1" x14ac:dyDescent="0.3">
      <c r="A14" s="1717" t="s">
        <v>109</v>
      </c>
      <c r="B14" s="1718"/>
      <c r="C14" s="1718"/>
      <c r="D14" s="1718"/>
      <c r="E14" s="1718"/>
      <c r="F14" s="1718"/>
      <c r="G14" s="1718"/>
      <c r="H14" s="1718"/>
      <c r="I14" s="1719"/>
    </row>
    <row r="15" spans="1:15" ht="17.25" customHeight="1" thickBot="1" x14ac:dyDescent="0.3">
      <c r="A15" s="1085" t="s">
        <v>108</v>
      </c>
      <c r="B15" s="1724" t="s">
        <v>6</v>
      </c>
      <c r="C15" s="1725"/>
      <c r="D15" s="1074" t="s">
        <v>7</v>
      </c>
      <c r="E15" s="1074" t="s">
        <v>2461</v>
      </c>
      <c r="F15" s="1074" t="s">
        <v>40</v>
      </c>
      <c r="G15" s="1074" t="s">
        <v>1835</v>
      </c>
      <c r="H15" s="1720" t="s">
        <v>765</v>
      </c>
      <c r="I15" s="1721"/>
    </row>
    <row r="16" spans="1:15" ht="15" customHeight="1" x14ac:dyDescent="0.25">
      <c r="A16" s="1094">
        <f>IF(TRIM(E16)="","",IF(Data!CX60&gt;0,IF(Data!CX60&lt;&gt;"", Data!CX60, " ")," "))</f>
        <v>1</v>
      </c>
      <c r="B16" s="1726">
        <f>IF(Data!GK2&gt;0,IF(Data!GK2&lt;&gt;"",Data!GK2," ")," ")</f>
        <v>1313</v>
      </c>
      <c r="C16" s="1727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E16" s="1076">
        <f>IF(Data!GG2&gt;0,IF(Data!GG2&lt;&gt;"",IF(Data!GG2&lt;&gt;"Add the cutter in list",Data!GG2," ")," "),"")</f>
        <v>1145493</v>
      </c>
      <c r="F16" s="1100"/>
      <c r="G16" s="1083"/>
      <c r="H16" s="1722"/>
      <c r="I16" s="1723"/>
      <c r="O16" s="1090" t="s">
        <v>2476</v>
      </c>
    </row>
    <row r="17" spans="1:15" ht="15" customHeight="1" x14ac:dyDescent="0.25">
      <c r="A17" s="1094">
        <f>IF(TRIM(E17)="","",IF(Data!CX61&gt;0,IF(Data!CX61&lt;&gt;"", Data!CX61, " ")," "))</f>
        <v>2</v>
      </c>
      <c r="B17" s="1728">
        <f>IF(Data!GK3&gt;0,IF(Data!GK3&lt;&gt;"",Data!GK3," ")," ")</f>
        <v>1308</v>
      </c>
      <c r="C17" s="1729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E17" s="1075">
        <f>IF(Data!GG3&gt;0,IF(Data!GG3&lt;&gt;"",IF(Data!GG3&lt;&gt;"Add the cutter in list",Data!GG3," ")," "),"")</f>
        <v>418525</v>
      </c>
      <c r="F17" s="1101"/>
      <c r="G17" s="1083"/>
      <c r="H17" s="1711"/>
      <c r="I17" s="1712"/>
      <c r="O17" s="1086" t="s">
        <v>2479</v>
      </c>
    </row>
    <row r="18" spans="1:15" ht="15" customHeight="1" x14ac:dyDescent="0.25">
      <c r="A18" s="1094">
        <f>IF(TRIM(E18)="","",IF(Data!CX62&gt;0,IF(Data!CX62&lt;&gt;"", Data!CX62, " ")," "))</f>
        <v>3</v>
      </c>
      <c r="B18" s="1728">
        <f>IF(Data!GK4&gt;0,IF(Data!GK4&lt;&gt;"",Data!GK4," ")," ")</f>
        <v>1313</v>
      </c>
      <c r="C18" s="1729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E18" s="1075">
        <f>IF(Data!GG4&gt;0,IF(Data!GG4&lt;&gt;"",IF(Data!GG4&lt;&gt;"Add the cutter in list",Data!GG4," ")," "),"")</f>
        <v>1209332</v>
      </c>
      <c r="F18" s="1101"/>
      <c r="G18" s="1083"/>
      <c r="H18" s="1711"/>
      <c r="I18" s="1712"/>
      <c r="O18" s="1087" t="s">
        <v>2480</v>
      </c>
    </row>
    <row r="19" spans="1:15" ht="15" customHeight="1" x14ac:dyDescent="0.25">
      <c r="A19" s="1094">
        <f>IF(TRIM(E19)="","",IF(Data!CX63&gt;0,IF(Data!CX63&lt;&gt;"", Data!CX63, " ")," "))</f>
        <v>4</v>
      </c>
      <c r="B19" s="1728">
        <f>IF(Data!GK5&gt;0,IF(Data!GK5&lt;&gt;"",Data!GK5," ")," ")</f>
        <v>1313</v>
      </c>
      <c r="C19" s="1729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E19" s="1075">
        <f>IF(Data!GG5&gt;0,IF(Data!GG5&lt;&gt;"",IF(Data!GG5&lt;&gt;"Add the cutter in list",Data!GG5," ")," "),"")</f>
        <v>1146346</v>
      </c>
      <c r="F19" s="1101"/>
      <c r="G19" s="1083"/>
      <c r="H19" s="1711"/>
      <c r="I19" s="1712"/>
      <c r="O19" s="1088" t="s">
        <v>2481</v>
      </c>
    </row>
    <row r="20" spans="1:15" ht="15" customHeight="1" x14ac:dyDescent="0.25">
      <c r="A20" s="1094">
        <f>IF(TRIM(E20)="","",IF(Data!CX64&gt;0,IF(Data!CX64&lt;&gt;"", Data!CX64, " ")," "))</f>
        <v>5</v>
      </c>
      <c r="B20" s="1728">
        <f>IF(Data!GK6&gt;0,IF(Data!GK6&lt;&gt;"",Data!GK6," ")," ")</f>
        <v>1313</v>
      </c>
      <c r="C20" s="1729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E20" s="1075">
        <f>IF(Data!GG6&gt;0,IF(Data!GG6&lt;&gt;"",IF(Data!GG6&lt;&gt;"Add the cutter in list",Data!GG6," ")," "),"")</f>
        <v>2001155</v>
      </c>
      <c r="F20" s="1101"/>
      <c r="G20" s="1083"/>
      <c r="H20" s="1711"/>
      <c r="I20" s="1712"/>
      <c r="O20" s="1087" t="s">
        <v>2482</v>
      </c>
    </row>
    <row r="21" spans="1:15" ht="15" customHeight="1" x14ac:dyDescent="0.25">
      <c r="A21" s="1094" t="str">
        <f>IF(TRIM(E21)="","",IF(Data!CX65&gt;0,IF(Data!CX65&lt;&gt;"", Data!CX65, " ")," "))</f>
        <v/>
      </c>
      <c r="B21" s="1728" t="str">
        <f>IF(Data!GK7&gt;0,IF(Data!GK7&lt;&gt;"",Data!GK7," ")," ")</f>
        <v xml:space="preserve"> </v>
      </c>
      <c r="C21" s="1729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11"/>
      <c r="I21" s="1712"/>
      <c r="O21" s="1089" t="s">
        <v>2477</v>
      </c>
    </row>
    <row r="22" spans="1:15" ht="15" customHeight="1" x14ac:dyDescent="0.25">
      <c r="A22" s="1094" t="str">
        <f>IF(TRIM(E22)="","",IF(Data!CX66&gt;0,IF(Data!CX66&lt;&gt;"", Data!CX66, " ")," "))</f>
        <v/>
      </c>
      <c r="B22" s="1728" t="str">
        <f>IF(Data!GK8&gt;0,IF(Data!GK8&lt;&gt;"",Data!GK8," ")," ")</f>
        <v xml:space="preserve"> </v>
      </c>
      <c r="C22" s="1729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11"/>
      <c r="I22" s="1712"/>
      <c r="O22" s="36" t="s">
        <v>2478</v>
      </c>
    </row>
    <row r="23" spans="1:15" ht="15" customHeight="1" x14ac:dyDescent="0.25">
      <c r="A23" s="1094" t="str">
        <f>IF(TRIM(E23)="","",IF(Data!CX67&gt;0,IF(Data!CX67&lt;&gt;"", Data!CX67, " ")," "))</f>
        <v/>
      </c>
      <c r="B23" s="1728" t="str">
        <f>IF(Data!GK9&gt;0,IF(Data!GK9&lt;&gt;"",Data!GK9," ")," ")</f>
        <v xml:space="preserve"> </v>
      </c>
      <c r="C23" s="1729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11"/>
      <c r="I23" s="1712"/>
    </row>
    <row r="24" spans="1:15" ht="15" customHeight="1" x14ac:dyDescent="0.25">
      <c r="A24" s="1094" t="str">
        <f>IF(TRIM(E24)="","",IF(Data!CX68&gt;0,IF(Data!CX68&lt;&gt;"", Data!CX68, " ")," "))</f>
        <v/>
      </c>
      <c r="B24" s="1728" t="str">
        <f>IF(Data!GK10&gt;0,IF(Data!GK10&lt;&gt;"",Data!GK10," ")," ")</f>
        <v xml:space="preserve"> </v>
      </c>
      <c r="C24" s="1729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11"/>
      <c r="I24" s="1712"/>
    </row>
    <row r="25" spans="1:15" ht="15" customHeight="1" thickBot="1" x14ac:dyDescent="0.3">
      <c r="A25" s="1094" t="str">
        <f>IF(TRIM(E25)="","",IF(Data!CX69&gt;0,IF(Data!CX69&lt;&gt;"", Data!CX69, " ")," "))</f>
        <v/>
      </c>
      <c r="B25" s="1739" t="str">
        <f>IF(Data!GK11&gt;0,IF(Data!GK11&lt;&gt;"",Data!GK11," ")," ")</f>
        <v xml:space="preserve"> </v>
      </c>
      <c r="C25" s="1740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33"/>
      <c r="I25" s="1734"/>
    </row>
    <row r="26" spans="1:15" ht="37.5" customHeight="1" thickBot="1" x14ac:dyDescent="0.3">
      <c r="A26" s="1077" t="s">
        <v>1476</v>
      </c>
      <c r="B26" s="1756"/>
      <c r="C26" s="1756"/>
      <c r="D26" s="1757"/>
      <c r="E26" s="1757"/>
      <c r="F26" s="1757"/>
      <c r="G26" s="1757"/>
      <c r="H26" s="1757"/>
      <c r="I26" s="1758"/>
    </row>
    <row r="27" spans="1:15" ht="5.25" customHeight="1" thickBot="1" x14ac:dyDescent="0.25">
      <c r="A27" s="1704"/>
      <c r="B27" s="1704"/>
      <c r="C27" s="1704"/>
      <c r="D27" s="1704"/>
      <c r="E27" s="1704"/>
      <c r="F27" s="1704"/>
      <c r="G27" s="1704"/>
      <c r="H27" s="1704"/>
      <c r="I27" s="1704"/>
    </row>
    <row r="28" spans="1:15" ht="32.25" customHeight="1" thickBot="1" x14ac:dyDescent="0.3">
      <c r="A28" s="1730" t="s">
        <v>2462</v>
      </c>
      <c r="B28" s="1731"/>
      <c r="C28" s="1768"/>
      <c r="D28" s="1757"/>
      <c r="E28" s="1769"/>
      <c r="F28" s="1732" t="s">
        <v>2463</v>
      </c>
      <c r="G28" s="1732"/>
      <c r="H28" s="1732"/>
      <c r="I28" s="1721"/>
    </row>
    <row r="29" spans="1:15" ht="32.25" customHeight="1" thickBot="1" x14ac:dyDescent="0.3">
      <c r="A29" s="1730" t="s">
        <v>2464</v>
      </c>
      <c r="B29" s="1731"/>
      <c r="C29" s="1768"/>
      <c r="D29" s="1757"/>
      <c r="E29" s="1769"/>
      <c r="F29" s="1732" t="s">
        <v>2465</v>
      </c>
      <c r="G29" s="1732"/>
      <c r="H29" s="1732"/>
      <c r="I29" s="1721"/>
    </row>
    <row r="30" spans="1:15" ht="5.25" customHeight="1" thickBot="1" x14ac:dyDescent="0.25">
      <c r="A30" s="1704"/>
      <c r="B30" s="1704"/>
      <c r="C30" s="1704"/>
      <c r="D30" s="1704"/>
      <c r="E30" s="1704"/>
      <c r="F30" s="1704"/>
      <c r="G30" s="1704"/>
      <c r="H30" s="1704"/>
      <c r="I30" s="1704"/>
    </row>
    <row r="31" spans="1:15" ht="33.75" customHeight="1" x14ac:dyDescent="0.25">
      <c r="A31" s="1735" t="s">
        <v>2466</v>
      </c>
      <c r="B31" s="1736"/>
      <c r="C31" s="1770" t="s">
        <v>2467</v>
      </c>
      <c r="D31" s="1771"/>
      <c r="E31" s="1772"/>
      <c r="F31" s="1737" t="s">
        <v>2468</v>
      </c>
      <c r="G31" s="1737"/>
      <c r="H31" s="1737" t="s">
        <v>2469</v>
      </c>
      <c r="I31" s="1738"/>
    </row>
    <row r="32" spans="1:15" ht="33.75" customHeight="1" x14ac:dyDescent="0.25">
      <c r="A32" s="1750" t="s">
        <v>2470</v>
      </c>
      <c r="B32" s="1751"/>
      <c r="C32" s="1748" t="s">
        <v>57</v>
      </c>
      <c r="D32" s="1749"/>
      <c r="E32" s="1743"/>
      <c r="F32" s="1746" t="s">
        <v>2471</v>
      </c>
      <c r="G32" s="1746"/>
      <c r="H32" s="1746" t="s">
        <v>2471</v>
      </c>
      <c r="I32" s="1747"/>
    </row>
    <row r="33" spans="1:9" ht="33.75" customHeight="1" x14ac:dyDescent="0.25">
      <c r="A33" s="1750" t="s">
        <v>1349</v>
      </c>
      <c r="B33" s="1751"/>
      <c r="C33" s="1748"/>
      <c r="D33" s="1749"/>
      <c r="E33" s="1743"/>
      <c r="F33" s="1752"/>
      <c r="G33" s="1752"/>
      <c r="H33" s="1752"/>
      <c r="I33" s="1753"/>
    </row>
    <row r="34" spans="1:9" ht="33.75" customHeight="1" thickBot="1" x14ac:dyDescent="0.3">
      <c r="A34" s="1759" t="s">
        <v>1351</v>
      </c>
      <c r="B34" s="1760"/>
      <c r="C34" s="1763"/>
      <c r="D34" s="1764"/>
      <c r="E34" s="1765"/>
      <c r="F34" s="1761"/>
      <c r="G34" s="1761"/>
      <c r="H34" s="1761"/>
      <c r="I34" s="1762"/>
    </row>
    <row r="35" spans="1:9" ht="5.25" customHeight="1" thickBot="1" x14ac:dyDescent="0.25">
      <c r="A35" s="1704"/>
      <c r="B35" s="1704"/>
      <c r="C35" s="1704"/>
      <c r="D35" s="1704"/>
      <c r="E35" s="1704"/>
      <c r="F35" s="1704"/>
      <c r="G35" s="1704"/>
      <c r="H35" s="1704"/>
      <c r="I35" s="1704"/>
    </row>
    <row r="36" spans="1:9" ht="27" customHeight="1" thickBot="1" x14ac:dyDescent="0.3">
      <c r="A36" s="1095" t="s">
        <v>2472</v>
      </c>
      <c r="B36" s="1766" t="s">
        <v>1878</v>
      </c>
      <c r="C36" s="1767"/>
      <c r="D36" s="1754"/>
      <c r="E36" s="1755"/>
      <c r="F36" s="1091" t="s">
        <v>2473</v>
      </c>
      <c r="G36" s="1099"/>
      <c r="H36" s="1091" t="s">
        <v>1079</v>
      </c>
      <c r="I36" s="1099"/>
    </row>
    <row r="37" spans="1:9" ht="23.85" customHeight="1" x14ac:dyDescent="0.25">
      <c r="A37" s="1741" t="s">
        <v>2474</v>
      </c>
      <c r="B37" s="1097" t="s">
        <v>46</v>
      </c>
      <c r="C37" s="1098" t="b">
        <v>0</v>
      </c>
      <c r="D37" s="1742" t="s">
        <v>67</v>
      </c>
      <c r="E37" s="1744"/>
      <c r="F37" s="1744"/>
      <c r="G37" s="1744"/>
      <c r="H37" s="1744"/>
      <c r="I37" s="1745"/>
    </row>
    <row r="38" spans="1:9" ht="23.85" customHeight="1" thickBot="1" x14ac:dyDescent="0.3">
      <c r="A38" s="1741"/>
      <c r="B38" s="1078" t="s">
        <v>1186</v>
      </c>
      <c r="C38" s="1096" t="b">
        <v>0</v>
      </c>
      <c r="D38" s="1743"/>
      <c r="E38" s="1746"/>
      <c r="F38" s="1746"/>
      <c r="G38" s="1746"/>
      <c r="H38" s="1746"/>
      <c r="I38" s="1747"/>
    </row>
    <row r="39" spans="1:9" ht="27" customHeight="1" thickBot="1" x14ac:dyDescent="0.3">
      <c r="A39" s="1072" t="s">
        <v>2475</v>
      </c>
      <c r="B39" s="1766" t="s">
        <v>1878</v>
      </c>
      <c r="C39" s="1767"/>
      <c r="D39" s="1754"/>
      <c r="E39" s="1755"/>
      <c r="F39" s="1091" t="s">
        <v>2473</v>
      </c>
      <c r="G39" s="1099"/>
      <c r="H39" s="1091" t="s">
        <v>1079</v>
      </c>
      <c r="I39" s="1099"/>
    </row>
  </sheetData>
  <mergeCells count="76"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F29:G29"/>
    <mergeCell ref="H29:I29"/>
    <mergeCell ref="A30:I30"/>
    <mergeCell ref="A31:B31"/>
    <mergeCell ref="F31:G31"/>
    <mergeCell ref="H31:I31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zoomScaleNormal="100" zoomScaleSheetLayoutView="100" workbookViewId="0">
      <selection activeCell="K43" sqref="K43:S44"/>
    </sheetView>
  </sheetViews>
  <sheetFormatPr defaultColWidth="9.140625" defaultRowHeight="15" x14ac:dyDescent="0.25"/>
  <cols>
    <col min="1" max="27" width="4" customWidth="1"/>
    <col min="28" max="28" width="3" customWidth="1"/>
    <col min="29" max="30" width="3.140625" customWidth="1"/>
    <col min="130" max="130" width="9.140625" customWidth="1"/>
  </cols>
  <sheetData>
    <row r="1" spans="1:27" ht="20.100000000000001" customHeight="1" x14ac:dyDescent="0.25">
      <c r="A1" s="1794"/>
      <c r="B1" s="1795"/>
      <c r="C1" s="1785" t="s">
        <v>977</v>
      </c>
      <c r="D1" s="1785"/>
      <c r="E1" s="1785"/>
      <c r="F1" s="1785"/>
      <c r="G1" s="1785"/>
      <c r="H1" s="1785"/>
      <c r="I1" s="1785"/>
      <c r="J1" s="1785"/>
      <c r="K1" s="1785"/>
      <c r="L1" s="1785"/>
      <c r="M1" s="1785"/>
      <c r="N1" s="1785"/>
      <c r="O1" s="1785"/>
      <c r="P1" s="1785"/>
      <c r="Q1" s="1786"/>
      <c r="R1" s="1789" t="s">
        <v>1054</v>
      </c>
      <c r="S1" s="1555"/>
      <c r="T1" s="1555"/>
      <c r="U1" s="1555"/>
      <c r="V1" s="1555"/>
      <c r="W1" s="1555"/>
      <c r="X1" s="1555"/>
      <c r="Y1" s="1555"/>
      <c r="Z1" s="1555"/>
      <c r="AA1" s="1790"/>
    </row>
    <row r="2" spans="1:27" ht="20.100000000000001" customHeight="1" x14ac:dyDescent="0.25">
      <c r="A2" s="1796"/>
      <c r="B2" s="1797"/>
      <c r="C2" s="1787"/>
      <c r="D2" s="1787"/>
      <c r="E2" s="1787"/>
      <c r="F2" s="1787"/>
      <c r="G2" s="1787"/>
      <c r="H2" s="1787"/>
      <c r="I2" s="1787"/>
      <c r="J2" s="1787"/>
      <c r="K2" s="1787"/>
      <c r="L2" s="1787"/>
      <c r="M2" s="1787"/>
      <c r="N2" s="1787"/>
      <c r="O2" s="1787"/>
      <c r="P2" s="1787"/>
      <c r="Q2" s="1788"/>
      <c r="R2" s="1791" t="s">
        <v>1064</v>
      </c>
      <c r="S2" s="1559"/>
      <c r="T2" s="1559"/>
      <c r="U2" s="1559"/>
      <c r="V2" s="1559"/>
      <c r="W2" s="1559"/>
      <c r="X2" s="1559"/>
      <c r="Y2" s="1559"/>
      <c r="Z2" s="1559"/>
      <c r="AA2" s="1792"/>
    </row>
    <row r="3" spans="1:27" ht="18" customHeight="1" x14ac:dyDescent="0.25">
      <c r="A3" s="1548" t="s">
        <v>1122</v>
      </c>
      <c r="B3" s="1549"/>
      <c r="C3" s="1549"/>
      <c r="D3" s="1549"/>
      <c r="E3" s="1549"/>
      <c r="F3" s="1549"/>
      <c r="G3" s="1549"/>
      <c r="H3" s="1549"/>
      <c r="I3" s="1549"/>
      <c r="J3" s="1549"/>
      <c r="K3" s="1549"/>
      <c r="L3" s="1549"/>
      <c r="M3" s="1549"/>
      <c r="N3" s="1549"/>
      <c r="O3" s="1549"/>
      <c r="P3" s="1549"/>
      <c r="Q3" s="1549"/>
      <c r="R3" s="1559" t="s">
        <v>1040</v>
      </c>
      <c r="S3" s="1559"/>
      <c r="T3" s="1559"/>
      <c r="U3" s="1559"/>
      <c r="V3" s="1559"/>
      <c r="W3" s="1559"/>
      <c r="X3" s="1559"/>
      <c r="Y3" s="1559"/>
      <c r="Z3" s="1559"/>
      <c r="AA3" s="1792"/>
    </row>
    <row r="4" spans="1:27" ht="18" customHeight="1" thickBot="1" x14ac:dyDescent="0.3">
      <c r="A4" s="1550"/>
      <c r="B4" s="1551"/>
      <c r="C4" s="1551"/>
      <c r="D4" s="1551"/>
      <c r="E4" s="1551"/>
      <c r="F4" s="1551"/>
      <c r="G4" s="1551"/>
      <c r="H4" s="1551"/>
      <c r="I4" s="1551"/>
      <c r="J4" s="1551"/>
      <c r="K4" s="1551"/>
      <c r="L4" s="1551"/>
      <c r="M4" s="1551"/>
      <c r="N4" s="1551"/>
      <c r="O4" s="1551"/>
      <c r="P4" s="1551"/>
      <c r="Q4" s="1551"/>
      <c r="R4" s="1562" t="s">
        <v>1041</v>
      </c>
      <c r="S4" s="1562"/>
      <c r="T4" s="1562"/>
      <c r="U4" s="1562"/>
      <c r="V4" s="1562"/>
      <c r="W4" s="1562"/>
      <c r="X4" s="1562"/>
      <c r="Y4" s="1562"/>
      <c r="Z4" s="1562"/>
      <c r="AA4" s="1793"/>
    </row>
    <row r="5" spans="1:27" ht="6" customHeight="1" thickBot="1" x14ac:dyDescent="0.3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3">
      <c r="A6" s="240"/>
      <c r="B6" s="1644" t="s">
        <v>27</v>
      </c>
      <c r="C6" s="1644"/>
      <c r="D6" s="1644"/>
      <c r="E6" s="1645"/>
      <c r="F6" s="1557">
        <f>IF(Data!B1&lt;&gt;"", Data!B1, " ")</f>
        <v>20261004</v>
      </c>
      <c r="G6" s="1627"/>
      <c r="H6" s="1627"/>
      <c r="I6" s="1627"/>
      <c r="J6" s="1558"/>
      <c r="K6" s="1628" t="s">
        <v>28</v>
      </c>
      <c r="L6" s="1629"/>
      <c r="M6" s="1630"/>
      <c r="N6" s="1557" t="str">
        <f>IF(Data!B2&lt;&gt;"", Data!B2, " ")</f>
        <v>14304769R1</v>
      </c>
      <c r="O6" s="1627"/>
      <c r="P6" s="1627"/>
      <c r="Q6" s="1627"/>
      <c r="R6" s="1558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43" t="s">
        <v>1033</v>
      </c>
      <c r="T7" s="1643"/>
      <c r="U7" s="1643"/>
      <c r="V7" s="1643"/>
      <c r="W7" s="449"/>
      <c r="X7" s="449"/>
      <c r="Y7" s="450"/>
      <c r="Z7" s="450"/>
      <c r="AA7" s="450"/>
    </row>
    <row r="8" spans="1:27" ht="15.75" customHeight="1" thickBot="1" x14ac:dyDescent="0.3">
      <c r="D8" s="1629" t="s">
        <v>29</v>
      </c>
      <c r="E8" s="1630"/>
      <c r="F8" s="1557" t="str">
        <f>IF(LEN(Data!B3)&gt;3,IF(AND(Data!B43&lt;&gt;"",Data!B43&lt;&gt;"0 0/1"""),Data!B43,""),IF(Data!B3&lt;&gt;"",Data!B3&amp;"""",""))</f>
        <v>6 1/8"</v>
      </c>
      <c r="G8" s="1627"/>
      <c r="H8" s="1627"/>
      <c r="I8" s="1627"/>
      <c r="J8" s="1558"/>
      <c r="K8" s="1628" t="s">
        <v>1065</v>
      </c>
      <c r="L8" s="1629"/>
      <c r="M8" s="1630"/>
      <c r="N8" s="1557" t="str">
        <f>IF(Data!B5&lt;&gt;"",Data!B5," ")</f>
        <v>1251085M</v>
      </c>
      <c r="O8" s="1627"/>
      <c r="P8" s="1627"/>
      <c r="Q8" s="1627"/>
      <c r="R8" s="1558"/>
      <c r="S8" s="1643"/>
      <c r="T8" s="1643"/>
      <c r="U8" s="1643"/>
      <c r="V8" s="1643"/>
      <c r="W8" s="1654">
        <f>IF(Data!B6&lt;&gt;"",Data!B6," ")</f>
        <v>46035</v>
      </c>
      <c r="X8" s="1655"/>
      <c r="Y8" s="1655"/>
      <c r="Z8" s="1655"/>
      <c r="AA8" s="1656"/>
    </row>
    <row r="9" spans="1:27" ht="6" customHeight="1" thickBot="1" x14ac:dyDescent="0.3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43"/>
      <c r="T9" s="1643"/>
      <c r="U9" s="1643"/>
      <c r="V9" s="1643"/>
      <c r="W9" s="449"/>
      <c r="X9" s="449"/>
      <c r="Y9" s="450"/>
      <c r="Z9" s="450"/>
      <c r="AA9" s="450"/>
    </row>
    <row r="10" spans="1:27" ht="15.75" customHeight="1" thickBot="1" x14ac:dyDescent="0.3">
      <c r="D10" s="1629" t="s">
        <v>31</v>
      </c>
      <c r="E10" s="1630"/>
      <c r="F10" s="1557" t="str">
        <f>IF(Data!B4&lt;&gt;"",Data!B4," ")</f>
        <v>HD54</v>
      </c>
      <c r="G10" s="1627"/>
      <c r="H10" s="1627"/>
      <c r="I10" s="1627"/>
      <c r="J10" s="1558"/>
      <c r="K10" s="1628" t="s">
        <v>32</v>
      </c>
      <c r="L10" s="1629"/>
      <c r="M10" s="1630"/>
      <c r="N10" s="1557" t="str">
        <f>IF(Data!B7&lt;&gt;"",Data!B7, " ")</f>
        <v>LSTK</v>
      </c>
      <c r="O10" s="1627"/>
      <c r="P10" s="1627"/>
      <c r="Q10" s="1627"/>
      <c r="R10" s="1558"/>
      <c r="S10" s="1673" t="s">
        <v>33</v>
      </c>
      <c r="T10" s="1644"/>
      <c r="U10" s="1644"/>
      <c r="V10" s="1645"/>
      <c r="W10" s="1557">
        <f>IF(Data!B24&lt;&gt;"",Data!B24,IFERROR(VLOOKUP(Data!$B$7,Data!F63:G70,2,FALSE),""))</f>
        <v>960031408</v>
      </c>
      <c r="X10" s="1627"/>
      <c r="Y10" s="1627"/>
      <c r="Z10" s="1627"/>
      <c r="AA10" s="1558"/>
    </row>
    <row r="11" spans="1:27" ht="6" customHeight="1" x14ac:dyDescent="0.2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4.95" customHeight="1" x14ac:dyDescent="0.25">
      <c r="A12" s="1798" t="s">
        <v>1495</v>
      </c>
      <c r="B12" s="1799"/>
      <c r="C12" s="1799"/>
      <c r="D12" s="1799"/>
      <c r="E12" s="1799"/>
      <c r="F12" s="1799"/>
      <c r="G12" s="1799"/>
      <c r="H12" s="1799"/>
      <c r="I12" s="1799"/>
      <c r="J12" s="1799"/>
      <c r="K12" s="1799"/>
      <c r="L12" s="1799"/>
      <c r="M12" s="1799"/>
      <c r="N12" s="1799"/>
      <c r="O12" s="1799"/>
      <c r="P12" s="1799"/>
      <c r="Q12" s="1799"/>
      <c r="R12" s="1799"/>
      <c r="S12" s="1799"/>
      <c r="T12" s="1799"/>
      <c r="U12" s="1799"/>
      <c r="V12" s="1799"/>
      <c r="W12" s="1799"/>
      <c r="X12" s="1799"/>
      <c r="Y12" s="1799"/>
      <c r="Z12" s="1799"/>
      <c r="AA12" s="1800"/>
    </row>
    <row r="13" spans="1:27" ht="5.0999999999999996" customHeight="1" thickBot="1" x14ac:dyDescent="0.3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5.95" customHeight="1" x14ac:dyDescent="0.25">
      <c r="A14" s="1816"/>
      <c r="B14" s="1817"/>
      <c r="C14" s="1782" t="s">
        <v>17</v>
      </c>
      <c r="D14" s="1783"/>
      <c r="E14" s="1783"/>
      <c r="F14" s="1783"/>
      <c r="G14" s="1783"/>
      <c r="H14" s="1783"/>
      <c r="I14" s="1783"/>
      <c r="J14" s="1783"/>
      <c r="K14" s="1783"/>
      <c r="L14" s="1783"/>
      <c r="M14" s="1783"/>
      <c r="N14" s="1783"/>
      <c r="O14" s="1783"/>
      <c r="P14" s="1783"/>
      <c r="Q14" s="1783"/>
      <c r="R14" s="1783"/>
      <c r="S14" s="1783"/>
      <c r="T14" s="1783"/>
      <c r="U14" s="1783"/>
      <c r="V14" s="1783"/>
      <c r="W14" s="1783"/>
      <c r="X14" s="1783"/>
      <c r="Y14" s="1783"/>
      <c r="Z14" s="1783"/>
      <c r="AA14" s="1784"/>
    </row>
    <row r="15" spans="1:27" ht="15.95" customHeight="1" thickBot="1" x14ac:dyDescent="0.3">
      <c r="A15" s="1818"/>
      <c r="B15" s="1819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0a</v>
      </c>
      <c r="L15" s="447" t="str">
        <f>IF(Data!CA42&lt;&gt;"",Data!CA42,"")</f>
        <v>0a</v>
      </c>
      <c r="M15" s="447" t="str">
        <f>IF(Data!CB42&lt;&gt;"",Data!CB42,"")</f>
        <v>0a</v>
      </c>
      <c r="N15" s="447" t="str">
        <f>IF(Data!CC42&lt;&gt;"",Data!CC42,"")</f>
        <v>0a</v>
      </c>
      <c r="O15" s="447" t="str">
        <f>IF(Data!CD42&lt;&gt;"",Data!CD42,"")</f>
        <v>0a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5.95" customHeight="1" x14ac:dyDescent="0.25">
      <c r="A16" s="1820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O1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O1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O1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R3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S3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O1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O2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O2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/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/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/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/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5.95" customHeight="1" x14ac:dyDescent="0.25">
      <c r="A17" s="1821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O1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O3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O1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O2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O2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/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/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/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/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5.95" customHeight="1" x14ac:dyDescent="0.25">
      <c r="A18" s="1821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O1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O1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O1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S3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O1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O2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O2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/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/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/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5.95" customHeight="1" x14ac:dyDescent="0.25">
      <c r="A19" s="1821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O1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O1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O1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S3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O1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O1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>O2</v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>O2</v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/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/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/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/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5.95" customHeight="1" x14ac:dyDescent="0.25">
      <c r="A20" s="1821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S3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R3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O1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O2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O2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/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/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/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/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/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/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/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5.95" customHeight="1" x14ac:dyDescent="0.25">
      <c r="A21" s="1821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/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/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/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/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/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/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/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/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/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5.95" customHeight="1" x14ac:dyDescent="0.25">
      <c r="A22" s="1821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5.95" customHeight="1" x14ac:dyDescent="0.25">
      <c r="A23" s="1821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5.95" customHeight="1" x14ac:dyDescent="0.25">
      <c r="A24" s="1821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5.95" customHeight="1" x14ac:dyDescent="0.25">
      <c r="A25" s="1821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5.95" customHeight="1" x14ac:dyDescent="0.25">
      <c r="A26" s="1821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5.95" customHeight="1" thickBot="1" x14ac:dyDescent="0.3">
      <c r="A27" s="1822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2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25">
      <c r="A29" s="450"/>
      <c r="U29" s="449"/>
      <c r="V29" s="1644"/>
      <c r="W29" s="1644"/>
      <c r="X29" s="1644"/>
      <c r="Y29" s="450"/>
    </row>
    <row r="30" spans="1:27" ht="5.0999999999999996" customHeight="1" x14ac:dyDescent="0.2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25">
      <c r="A31" s="1806" t="s">
        <v>795</v>
      </c>
      <c r="B31" s="1806"/>
      <c r="C31" s="1806"/>
      <c r="D31" s="1806"/>
      <c r="E31" s="1814" t="str">
        <f>IF(Data!B11&lt;&gt;"",Data!B11,"")</f>
        <v>Yakoob Alajawad</v>
      </c>
      <c r="F31" s="1814"/>
      <c r="G31" s="1814"/>
      <c r="H31" s="1814"/>
      <c r="I31" s="1806" t="s">
        <v>796</v>
      </c>
      <c r="J31" s="1806"/>
      <c r="K31" s="1814" t="str">
        <f>IF(Data!B12&lt;&gt;"",Data!B12,"")</f>
        <v>Ramzi Kassab</v>
      </c>
      <c r="L31" s="1814"/>
      <c r="M31" s="1814"/>
      <c r="N31" s="1814"/>
      <c r="O31" s="1815" t="s">
        <v>36</v>
      </c>
      <c r="P31" s="1815"/>
      <c r="Q31" s="1807">
        <f>IF(Data!B13&lt;&gt;"",Data!B13,"")</f>
        <v>46035</v>
      </c>
      <c r="R31" s="1807"/>
      <c r="S31" s="1807"/>
      <c r="T31" s="1807"/>
      <c r="U31" s="451"/>
      <c r="V31" s="1644"/>
      <c r="W31" s="1644"/>
      <c r="X31" s="1644"/>
      <c r="Y31" s="450"/>
      <c r="Z31" s="452"/>
    </row>
    <row r="32" spans="1:27" ht="5.0999999999999996" customHeight="1" thickBot="1" x14ac:dyDescent="0.3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5.95" customHeight="1" x14ac:dyDescent="0.25">
      <c r="A33" s="1808" t="s">
        <v>1047</v>
      </c>
      <c r="B33" s="1801"/>
      <c r="C33" s="1801"/>
      <c r="D33" s="1801" t="s">
        <v>1048</v>
      </c>
      <c r="E33" s="1801"/>
      <c r="F33" s="1801" t="s">
        <v>1049</v>
      </c>
      <c r="G33" s="1801"/>
      <c r="H33" s="1801" t="s">
        <v>1050</v>
      </c>
      <c r="I33" s="1801"/>
      <c r="J33" s="1661" t="s">
        <v>1051</v>
      </c>
      <c r="K33" s="1661"/>
      <c r="L33" s="1801" t="s">
        <v>1052</v>
      </c>
      <c r="M33" s="1801"/>
      <c r="N33" s="1801" t="s">
        <v>21</v>
      </c>
      <c r="O33" s="1802"/>
      <c r="R33" s="1808" t="str">
        <f>IF(COUNTIF(F10,"S*"),"P.H.F.-P","P.B.U.-P")</f>
        <v>P.B.U.-P</v>
      </c>
      <c r="S33" s="1801"/>
      <c r="T33" s="1801"/>
      <c r="U33" s="1801" t="str">
        <f>IF(COUNTIF(F10,"S*"),"F.H.F.-V","F.B.U.-V")</f>
        <v>F.B.U.-V</v>
      </c>
      <c r="V33" s="1801"/>
      <c r="W33" s="1801"/>
      <c r="X33" s="1801" t="str">
        <f>IF(COUNTIF(F10,"S*"),"IA.H.F.-I","IA.B.U.-I")</f>
        <v>IA.B.U.-I</v>
      </c>
      <c r="Y33" s="1801"/>
      <c r="Z33" s="1802"/>
    </row>
    <row r="34" spans="1:27" ht="15.75" customHeight="1" thickBot="1" x14ac:dyDescent="0.3">
      <c r="A34" s="1813">
        <f>IF(OR(Data!L2=1,Data!L3=1),0,IF('Eng. Cutter Entry'!C4&lt;&gt;"",'ARDT Cutter Entry'!BI62,'ARDT Cutter Entry'!BI6))</f>
        <v>2</v>
      </c>
      <c r="B34" s="1803"/>
      <c r="C34" s="1803"/>
      <c r="D34" s="1803">
        <f>IF(OR(Data!L2=1,Data!L3=1),0,IF('Eng. Cutter Entry'!C4&lt;&gt;"",'ARDT Cutter Entry'!BI63,'ARDT Cutter Entry'!BI7))</f>
        <v>4</v>
      </c>
      <c r="E34" s="1803"/>
      <c r="F34" s="1803">
        <f>IF(OR(Data!L2=1,Data!L3=1),Data!BO63,IF('Eng. Cutter Entry'!C4&lt;&gt;"",'ARDT Cutter Entry'!BI65,'ARDT Cutter Entry'!BI9))</f>
        <v>27</v>
      </c>
      <c r="G34" s="1803"/>
      <c r="H34" s="1803">
        <f>IF(OR(Data!L2=1,Data!L3=1),0,IF('Eng. Cutter Entry'!C4&lt;&gt;"",'ARDT Cutter Entry'!BI64,'ARDT Cutter Entry'!BI8))</f>
        <v>0</v>
      </c>
      <c r="I34" s="1803"/>
      <c r="J34" s="1803">
        <f>IF(OR(Data!L2=1,Data!L3=1),0,IF('Eng. Cutter Entry'!C4&lt;&gt;"",'ARDT Cutter Entry'!BI58+'ARDT Cutter Entry'!BI59,'ARDT Cutter Entry'!BI2+'ARDT Cutter Entry'!BI3))</f>
        <v>0</v>
      </c>
      <c r="K34" s="1803"/>
      <c r="L34" s="1803">
        <f>IF(OR(Data!L2=1,Data!L3=1),0,IF('Eng. Cutter Entry'!C4&lt;&gt;"",'ARDT Cutter Entry'!BI60+'ARDT Cutter Entry'!BI61,'ARDT Cutter Entry'!BI4+'ARDT Cutter Entry'!BI5))</f>
        <v>0</v>
      </c>
      <c r="M34" s="1803"/>
      <c r="N34" s="1803">
        <f>IF(Data!BO63&lt;&gt;"",Data!BO63," ")</f>
        <v>33</v>
      </c>
      <c r="O34" s="1804"/>
      <c r="R34" s="1813">
        <f>IF(OR(Data!L2=1,Data!L3=1),0,IF('Eng. Cutter Entry'!C4&lt;&gt;"",'ARDT Cutter Entry'!AL62,'ARDT Cutter Entry'!AL2))</f>
        <v>0</v>
      </c>
      <c r="S34" s="1803"/>
      <c r="T34" s="1803"/>
      <c r="U34" s="1803">
        <f>IF(OR(Data!L2=1,Data!L3=1),0,IF('Eng. Cutter Entry'!C4&lt;&gt;"",'ARDT Cutter Entry'!AL64,'ARDT Cutter Entry'!AL4))</f>
        <v>0</v>
      </c>
      <c r="V34" s="1803"/>
      <c r="W34" s="1803"/>
      <c r="X34" s="1803">
        <f>IF(OR(Data!L2=1,Data!L3=1),0,IF('Eng. Cutter Entry'!C4&lt;&gt;"",'ARDT Cutter Entry'!AL63,'ARDT Cutter Entry'!AL3))</f>
        <v>0</v>
      </c>
      <c r="Y34" s="1803"/>
      <c r="Z34" s="1804"/>
    </row>
    <row r="35" spans="1:27" ht="3.75" customHeight="1" x14ac:dyDescent="0.2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25">
      <c r="A36" s="1812" t="s">
        <v>19</v>
      </c>
      <c r="B36" s="1812"/>
      <c r="C36" s="1812"/>
      <c r="D36" s="1812"/>
      <c r="E36" s="1643" t="str">
        <f>IF(Data!L2=1,"The bit is Rerunable, No need for repair. ",IF('ARDT Cutter Entry'!Y57=1,"Accepted as rerun by LSTK engineer",IF('ARDT Cutter Entry'!D21&lt;&gt;"",'ARDT Cutter Entry'!D21," ")))</f>
        <v>Re-evaluated by Engineer. Pin face erosion.</v>
      </c>
      <c r="F36" s="1643"/>
      <c r="G36" s="1643"/>
      <c r="H36" s="1643"/>
      <c r="I36" s="1643"/>
      <c r="J36" s="1643"/>
      <c r="K36" s="1643"/>
      <c r="L36" s="1643"/>
      <c r="M36" s="1643"/>
      <c r="N36" s="1643"/>
      <c r="O36" s="1643"/>
      <c r="P36" s="1643"/>
      <c r="Q36" s="1643"/>
      <c r="R36" s="1643"/>
      <c r="S36" s="1643"/>
      <c r="T36" s="1643"/>
      <c r="U36" s="1643"/>
      <c r="V36" s="1643"/>
      <c r="W36" s="1643"/>
      <c r="X36" s="1643"/>
      <c r="Y36" s="1643"/>
      <c r="Z36" s="1643"/>
      <c r="AA36" s="1643"/>
    </row>
    <row r="37" spans="1:27" ht="13.5" customHeight="1" x14ac:dyDescent="0.25">
      <c r="A37" s="1830" t="str">
        <f>IF(Instructions!$L$1&lt;&gt;"",Instructions!$L$1,"")</f>
        <v/>
      </c>
      <c r="B37" s="1830"/>
      <c r="C37" s="1830"/>
      <c r="D37" s="1830"/>
      <c r="E37" s="1643"/>
      <c r="F37" s="1643"/>
      <c r="G37" s="1643"/>
      <c r="H37" s="1643"/>
      <c r="I37" s="1643"/>
      <c r="J37" s="1643"/>
      <c r="K37" s="1643"/>
      <c r="L37" s="1643"/>
      <c r="M37" s="1643"/>
      <c r="N37" s="1643"/>
      <c r="O37" s="1643"/>
      <c r="P37" s="1643"/>
      <c r="Q37" s="1643"/>
      <c r="R37" s="1643"/>
      <c r="S37" s="1643"/>
      <c r="T37" s="1643"/>
      <c r="U37" s="1643"/>
      <c r="V37" s="1643"/>
      <c r="W37" s="1643"/>
      <c r="X37" s="1643"/>
      <c r="Y37" s="1643"/>
      <c r="Z37" s="1643"/>
      <c r="AA37" s="1643"/>
    </row>
    <row r="38" spans="1:27" ht="13.5" customHeight="1" x14ac:dyDescent="0.25">
      <c r="A38" s="1830"/>
      <c r="B38" s="1830"/>
      <c r="C38" s="1830"/>
      <c r="D38" s="1830"/>
      <c r="E38" s="1643"/>
      <c r="F38" s="1643"/>
      <c r="G38" s="1643"/>
      <c r="H38" s="1643"/>
      <c r="I38" s="1643"/>
      <c r="J38" s="1643"/>
      <c r="K38" s="1643"/>
      <c r="L38" s="1643"/>
      <c r="M38" s="1643"/>
      <c r="N38" s="1643"/>
      <c r="O38" s="1643"/>
      <c r="P38" s="1643"/>
      <c r="Q38" s="1643"/>
      <c r="R38" s="1643"/>
      <c r="S38" s="1643"/>
      <c r="T38" s="1643"/>
      <c r="U38" s="1643"/>
      <c r="V38" s="1643"/>
      <c r="W38" s="1643"/>
      <c r="X38" s="1643"/>
      <c r="Y38" s="1643"/>
      <c r="Z38" s="1643"/>
      <c r="AA38" s="1643"/>
    </row>
    <row r="39" spans="1:27" ht="4.5" customHeight="1" x14ac:dyDescent="0.2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25">
      <c r="B40" s="1644" t="s">
        <v>729</v>
      </c>
      <c r="C40" s="1644"/>
      <c r="D40" s="1644"/>
      <c r="E40" s="1644"/>
      <c r="F40" s="1644"/>
      <c r="G40" s="1644"/>
      <c r="H40" s="1805" t="str">
        <f>IF(Data!B14&lt;&gt;"",Data!B14,"")</f>
        <v>Murthada Turaifi</v>
      </c>
      <c r="I40" s="1805"/>
      <c r="J40" s="1805"/>
      <c r="K40" s="1805"/>
      <c r="L40" s="1805"/>
      <c r="O40" s="1806" t="s">
        <v>36</v>
      </c>
      <c r="P40" s="1806"/>
      <c r="Q40" s="1807">
        <f>IF(Data!B15&lt;&gt;"",Data!B15,"")</f>
        <v>46036</v>
      </c>
      <c r="R40" s="1807"/>
      <c r="S40" s="1807"/>
      <c r="T40" s="1807"/>
      <c r="V40" s="450"/>
      <c r="W40" s="450"/>
      <c r="X40" s="450"/>
      <c r="Y40" s="450"/>
      <c r="Z40" s="452"/>
    </row>
    <row r="41" spans="1:27" ht="3.75" customHeight="1" thickBot="1" x14ac:dyDescent="0.3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5.95" customHeight="1" x14ac:dyDescent="0.25">
      <c r="A42" s="1808" t="s">
        <v>39</v>
      </c>
      <c r="B42" s="1801"/>
      <c r="C42" s="1801"/>
      <c r="D42" s="1801"/>
      <c r="E42" s="1801"/>
      <c r="F42" s="1801"/>
      <c r="G42" s="1801"/>
      <c r="H42" s="1801"/>
      <c r="I42" s="1801"/>
      <c r="J42" s="1801"/>
      <c r="K42" s="1801"/>
      <c r="L42" s="1801"/>
      <c r="M42" s="1801"/>
      <c r="N42" s="1801"/>
      <c r="O42" s="1801"/>
      <c r="P42" s="1801"/>
      <c r="Q42" s="1801"/>
      <c r="R42" s="1801"/>
      <c r="S42" s="1801"/>
      <c r="T42" s="1801"/>
      <c r="U42" s="1801"/>
      <c r="V42" s="1801"/>
      <c r="W42" s="1801"/>
      <c r="X42" s="1801"/>
      <c r="Y42" s="1801"/>
      <c r="Z42" s="1801"/>
      <c r="AA42" s="1802"/>
    </row>
    <row r="43" spans="1:27" ht="15.95" customHeight="1" x14ac:dyDescent="0.25">
      <c r="A43" s="1809" t="s">
        <v>108</v>
      </c>
      <c r="B43" s="1810"/>
      <c r="C43" s="1658" t="s">
        <v>40</v>
      </c>
      <c r="D43" s="1658"/>
      <c r="E43" s="1811" t="s">
        <v>41</v>
      </c>
      <c r="F43" s="1811"/>
      <c r="G43" s="1811"/>
      <c r="H43" s="1811" t="s">
        <v>730</v>
      </c>
      <c r="I43" s="1811"/>
      <c r="J43" s="1811"/>
      <c r="K43" s="1810" t="s">
        <v>43</v>
      </c>
      <c r="L43" s="1810"/>
      <c r="M43" s="1810"/>
      <c r="N43" s="1810"/>
      <c r="O43" s="1810"/>
      <c r="P43" s="1810"/>
      <c r="Q43" s="1810"/>
      <c r="R43" s="1810"/>
      <c r="S43" s="1810"/>
      <c r="T43" s="1776" t="s">
        <v>44</v>
      </c>
      <c r="U43" s="1776"/>
      <c r="V43" s="1776"/>
      <c r="W43" s="1776"/>
      <c r="X43" s="1776"/>
      <c r="Y43" s="1776"/>
      <c r="Z43" s="1776"/>
      <c r="AA43" s="1777"/>
    </row>
    <row r="44" spans="1:27" ht="15.95" customHeight="1" x14ac:dyDescent="0.25">
      <c r="A44" s="1809"/>
      <c r="B44" s="1810"/>
      <c r="C44" s="1658"/>
      <c r="D44" s="1658"/>
      <c r="E44" s="1811"/>
      <c r="F44" s="1811"/>
      <c r="G44" s="1811"/>
      <c r="H44" s="1811"/>
      <c r="I44" s="1811"/>
      <c r="J44" s="1811"/>
      <c r="K44" s="1810"/>
      <c r="L44" s="1810"/>
      <c r="M44" s="1810"/>
      <c r="N44" s="1810"/>
      <c r="O44" s="1810"/>
      <c r="P44" s="1810"/>
      <c r="Q44" s="1810"/>
      <c r="R44" s="1810"/>
      <c r="S44" s="1810"/>
      <c r="T44" s="1776" t="s">
        <v>727</v>
      </c>
      <c r="U44" s="1776"/>
      <c r="V44" s="1776"/>
      <c r="W44" s="1776"/>
      <c r="X44" s="1776" t="s">
        <v>728</v>
      </c>
      <c r="Y44" s="1776"/>
      <c r="Z44" s="1776"/>
      <c r="AA44" s="1777"/>
    </row>
    <row r="45" spans="1:27" ht="15.95" customHeight="1" x14ac:dyDescent="0.25">
      <c r="A45" s="1427">
        <f>IF(TRIM(H45)="","",IF(Data!CX60&gt;0,IF(Data!CX60&lt;&gt;"", Data!CX60, " ")," "))</f>
        <v>1</v>
      </c>
      <c r="B45" s="1420"/>
      <c r="C45" s="1775">
        <f>IF(Data!L5&lt;&gt;1,IF(Quotation!$W$27=550,0,IF('Eng. Cutter Entry'!$C$4&lt;&gt;"",IF(Data!E12&gt;0,IF(Data!E12&lt;&gt;"", Data!E12,0),0),'ARDT Cutter Entry'!AQ2+'ARDT Cutter Entry'!AQ3+'ARDT Cutter Entry'!AQ4+'ARDT Cutter Entry'!AQ5)),"")</f>
        <v>0</v>
      </c>
      <c r="D45" s="1775"/>
      <c r="E45" s="1775">
        <f>IF(Data!GK2&gt;0,IF(Data!GK2&lt;&gt;"",Data!GK2," ")," ")</f>
        <v>1313</v>
      </c>
      <c r="F45" s="1775"/>
      <c r="G45" s="1775"/>
      <c r="H45" s="1775">
        <f>IF(Data!GG2&gt;0,IF(Data!GG2&lt;&gt;"",IF(Data!GG2&lt;&gt;"Add the cutter in list",Data!GG2," ")," "),"")</f>
        <v>1145493</v>
      </c>
      <c r="I45" s="1775"/>
      <c r="J45" s="1775"/>
      <c r="K45" s="155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L45" s="1559"/>
      <c r="M45" s="1559"/>
      <c r="N45" s="1559"/>
      <c r="O45" s="1775" t="str">
        <f>IF(AND(Data!GR2&lt;&gt;"",Data!GR2&lt;&gt;0),Data!GR2,"")</f>
        <v/>
      </c>
      <c r="P45" s="1775"/>
      <c r="Q45" s="1775"/>
      <c r="R45" s="1775"/>
      <c r="S45" s="1775"/>
      <c r="T45" s="1776" t="str">
        <f>IF(Data!L12=0,"",Data!L12)</f>
        <v/>
      </c>
      <c r="U45" s="1776"/>
      <c r="V45" s="1776"/>
      <c r="W45" s="1776"/>
      <c r="X45" s="1776" t="str">
        <f>IF(Data!M12&lt;&gt;"",Data!M12,IF(IFERROR(C45-T45,C45)=0,"",IFERROR(C45-T45,C45)))</f>
        <v/>
      </c>
      <c r="Y45" s="1776"/>
      <c r="Z45" s="1776"/>
      <c r="AA45" s="1777"/>
    </row>
    <row r="46" spans="1:27" ht="15.95" customHeight="1" x14ac:dyDescent="0.25">
      <c r="A46" s="1427">
        <f>IF(TRIM(H46)="","",IF(Data!CX61&gt;0,IF(Data!CX61&lt;&gt;"", Data!CX61, " ")," "))</f>
        <v>2</v>
      </c>
      <c r="B46" s="1420"/>
      <c r="C46" s="1775">
        <f>IF(Data!L5&lt;&gt;1,IF(Quotation!$W$27=550,0,IF('Eng. Cutter Entry'!$C$4&lt;&gt;"",IF(Data!E13&gt;0,IF(Data!E13&lt;&gt;"", Data!E13, 0),0),'ARDT Cutter Entry'!AR2+'ARDT Cutter Entry'!AR3+'ARDT Cutter Entry'!AR4+'ARDT Cutter Entry'!AR5)),"")</f>
        <v>0</v>
      </c>
      <c r="D46" s="1775"/>
      <c r="E46" s="1775">
        <f>IF(Data!GK3&gt;0,IF(Data!GK3&lt;&gt;"",Data!GK3," ")," ")</f>
        <v>1308</v>
      </c>
      <c r="F46" s="1775"/>
      <c r="G46" s="1775"/>
      <c r="H46" s="1775">
        <f>IF(Data!GG3&gt;0,IF(Data!GG3&lt;&gt;"",IF(Data!GG3&lt;&gt;"Add the cutter in list",Data!GG3," ")," "),"")</f>
        <v>418525</v>
      </c>
      <c r="I46" s="1775"/>
      <c r="J46" s="1775"/>
      <c r="K46" s="155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46" s="1559"/>
      <c r="M46" s="1559"/>
      <c r="N46" s="1559"/>
      <c r="O46" s="1775" t="str">
        <f>IF(AND(Data!GR3&lt;&gt;"",Data!GR3&lt;&gt;0),Data!GR3,"")</f>
        <v/>
      </c>
      <c r="P46" s="1775"/>
      <c r="Q46" s="1775"/>
      <c r="R46" s="1775"/>
      <c r="S46" s="1775"/>
      <c r="T46" s="1776" t="str">
        <f>IF(Data!L13=0,"",Data!L13)</f>
        <v/>
      </c>
      <c r="U46" s="1776"/>
      <c r="V46" s="1776"/>
      <c r="W46" s="1776"/>
      <c r="X46" s="1776" t="str">
        <f>IF(Data!M13&lt;&gt;"",Data!M13,IF(IFERROR(C46-T46,C46)=0,"",IFERROR(C46-T46,C46)))</f>
        <v/>
      </c>
      <c r="Y46" s="1776"/>
      <c r="Z46" s="1776"/>
      <c r="AA46" s="1777"/>
    </row>
    <row r="47" spans="1:27" ht="15.95" customHeight="1" x14ac:dyDescent="0.25">
      <c r="A47" s="1427">
        <f>IF(TRIM(H47)="","",IF(Data!CX62&gt;0,IF(Data!CX62&lt;&gt;"", Data!CX62, " ")," "))</f>
        <v>3</v>
      </c>
      <c r="B47" s="1420"/>
      <c r="C47" s="1775">
        <f>IF(Data!L5&lt;&gt;1,IF(Quotation!$W$27=550,0,IF('Eng. Cutter Entry'!$C$4&lt;&gt;"",IF(Data!E14&gt;0,IF(Data!E14&lt;&gt;"", Data!E14, 0),0),'ARDT Cutter Entry'!AS2+'ARDT Cutter Entry'!AS3+'ARDT Cutter Entry'!AS4+'ARDT Cutter Entry'!AS5)),"")</f>
        <v>0</v>
      </c>
      <c r="D47" s="1775"/>
      <c r="E47" s="1775">
        <f>IF(Data!GK4&gt;0,IF(Data!GK4&lt;&gt;"",Data!GK4," ")," ")</f>
        <v>1313</v>
      </c>
      <c r="F47" s="1775"/>
      <c r="G47" s="1775"/>
      <c r="H47" s="1775">
        <f>IF(Data!GG4&gt;0,IF(Data!GG4&lt;&gt;"",IF(Data!GG4&lt;&gt;"Add the cutter in list",Data!GG4," ")," "),"")</f>
        <v>1209332</v>
      </c>
      <c r="I47" s="1775"/>
      <c r="J47" s="1775"/>
      <c r="K47" s="155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L47" s="1559"/>
      <c r="M47" s="1559"/>
      <c r="N47" s="1559"/>
      <c r="O47" s="1775" t="str">
        <f>IF(AND(Data!GR4&lt;&gt;"",Data!GR4&lt;&gt;0),Data!GR4,"")</f>
        <v/>
      </c>
      <c r="P47" s="1775"/>
      <c r="Q47" s="1775"/>
      <c r="R47" s="1775"/>
      <c r="S47" s="1775"/>
      <c r="T47" s="1776" t="str">
        <f>IF(Data!L14=0,"",Data!L14)</f>
        <v/>
      </c>
      <c r="U47" s="1776"/>
      <c r="V47" s="1776"/>
      <c r="W47" s="1776"/>
      <c r="X47" s="1776" t="str">
        <f>IF(Data!M14&lt;&gt;"",Data!M14,IF(IFERROR(C47-T47,C47)=0,"",IFERROR(C47-T47,C47)))</f>
        <v/>
      </c>
      <c r="Y47" s="1776"/>
      <c r="Z47" s="1776"/>
      <c r="AA47" s="1777"/>
    </row>
    <row r="48" spans="1:27" ht="15.95" customHeight="1" x14ac:dyDescent="0.25">
      <c r="A48" s="1427">
        <f>IF(TRIM(H48)="","",IF(Data!CX63&gt;0,IF(Data!CX63&lt;&gt;"", Data!CX63, " ")," "))</f>
        <v>4</v>
      </c>
      <c r="B48" s="1420"/>
      <c r="C48" s="1775">
        <f>IF(Data!L5&lt;&gt;1,IF(Quotation!$W$27=550,0,IF('Eng. Cutter Entry'!$C$4&lt;&gt;"",IF(Data!E15&gt;0,IF(Data!E15&lt;&gt;"", Data!E15, 0),0),'ARDT Cutter Entry'!AT2+'ARDT Cutter Entry'!AT3+'ARDT Cutter Entry'!AT4+'ARDT Cutter Entry'!AT5)),"")</f>
        <v>0</v>
      </c>
      <c r="D48" s="1775"/>
      <c r="E48" s="1775">
        <f>IF(Data!GK5&gt;0,IF(Data!GK5&lt;&gt;"",Data!GK5," ")," ")</f>
        <v>1313</v>
      </c>
      <c r="F48" s="1775"/>
      <c r="G48" s="1775"/>
      <c r="H48" s="1775">
        <f>IF(Data!GG5&gt;0,IF(Data!GG5&lt;&gt;"",IF(Data!GG5&lt;&gt;"Add the cutter in list",Data!GG5," ")," "),"")</f>
        <v>1146346</v>
      </c>
      <c r="I48" s="1775"/>
      <c r="J48" s="1775"/>
      <c r="K48" s="155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L48" s="1559"/>
      <c r="M48" s="1559"/>
      <c r="N48" s="1559"/>
      <c r="O48" s="1775" t="str">
        <f>IF(AND(Data!GR5&lt;&gt;"",Data!GR5&lt;&gt;0),Data!GR5,"")</f>
        <v/>
      </c>
      <c r="P48" s="1775"/>
      <c r="Q48" s="1775"/>
      <c r="R48" s="1775"/>
      <c r="S48" s="1775"/>
      <c r="T48" s="1776" t="str">
        <f>IF(Data!L15=0,"",Data!L15)</f>
        <v/>
      </c>
      <c r="U48" s="1776"/>
      <c r="V48" s="1776"/>
      <c r="W48" s="1776"/>
      <c r="X48" s="1776" t="str">
        <f>IF(Data!M15&lt;&gt;"",Data!M15,IF(IFERROR(C48-T48,C48)=0,"",IFERROR(C48-T48,C48)))</f>
        <v/>
      </c>
      <c r="Y48" s="1776"/>
      <c r="Z48" s="1776"/>
      <c r="AA48" s="1777"/>
    </row>
    <row r="49" spans="1:34" ht="15.95" customHeight="1" x14ac:dyDescent="0.25">
      <c r="A49" s="1427">
        <f>IF(TRIM(H49)="","",IF(Data!CX64&gt;0,IF(Data!CX64&lt;&gt;"", Data!CX64, " ")," "))</f>
        <v>5</v>
      </c>
      <c r="B49" s="1420"/>
      <c r="C49" s="1775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75"/>
      <c r="E49" s="1775">
        <f>IF(Data!GK6&gt;0,IF(Data!GK6&lt;&gt;"",Data!GK6," ")," ")</f>
        <v>1313</v>
      </c>
      <c r="F49" s="1775"/>
      <c r="G49" s="1775"/>
      <c r="H49" s="1775">
        <f>IF(Data!GG6&gt;0,IF(Data!GG6&lt;&gt;"",IF(Data!GG6&lt;&gt;"Add the cutter in list",Data!GG6," ")," "),"")</f>
        <v>2001155</v>
      </c>
      <c r="I49" s="1775"/>
      <c r="J49" s="1775"/>
      <c r="K49" s="155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L49" s="1559"/>
      <c r="M49" s="1559"/>
      <c r="N49" s="1559"/>
      <c r="O49" s="1775" t="str">
        <f>IF(AND(Data!GR6&lt;&gt;"",Data!GR6&lt;&gt;0),Data!GR6,"")</f>
        <v/>
      </c>
      <c r="P49" s="1775"/>
      <c r="Q49" s="1775"/>
      <c r="R49" s="1775"/>
      <c r="S49" s="1775"/>
      <c r="T49" s="1776" t="str">
        <f>IF(Data!L16=0,"",Data!L16)</f>
        <v/>
      </c>
      <c r="U49" s="1776"/>
      <c r="V49" s="1776"/>
      <c r="W49" s="1776"/>
      <c r="X49" s="1776" t="str">
        <f>IF(Data!M16&lt;&gt;"",Data!M16,IF(IFERROR(C49-T49,C49)=0,"",IFERROR(C49-T49,C49)))</f>
        <v/>
      </c>
      <c r="Y49" s="1776"/>
      <c r="Z49" s="1776"/>
      <c r="AA49" s="1777"/>
    </row>
    <row r="50" spans="1:34" ht="15.95" customHeight="1" x14ac:dyDescent="0.25">
      <c r="A50" s="1427" t="str">
        <f>IF(TRIM(H50)="","",IF(Data!CX65&gt;0,IF(Data!CX65&lt;&gt;"", Data!CX65, " ")," "))</f>
        <v/>
      </c>
      <c r="B50" s="1420"/>
      <c r="C50" s="1775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75"/>
      <c r="E50" s="1775" t="str">
        <f>IF(Data!GK7&gt;0,IF(Data!GK7&lt;&gt;"",Data!GK7," ")," ")</f>
        <v xml:space="preserve"> </v>
      </c>
      <c r="F50" s="1775"/>
      <c r="G50" s="1775"/>
      <c r="H50" s="1775" t="str">
        <f>IF(Data!GG7&gt;0,IF(Data!GG7&lt;&gt;"",IF(Data!GG7&lt;&gt;"Add the cutter in list",Data!GG7," ")," "),"")</f>
        <v xml:space="preserve"> </v>
      </c>
      <c r="I50" s="1775"/>
      <c r="J50" s="1775"/>
      <c r="K50" s="155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59"/>
      <c r="M50" s="1559"/>
      <c r="N50" s="1559"/>
      <c r="O50" s="1775" t="str">
        <f>IF(AND(Data!GR7&lt;&gt;"",Data!GR7&lt;&gt;0),Data!GR7,"")</f>
        <v/>
      </c>
      <c r="P50" s="1775"/>
      <c r="Q50" s="1775"/>
      <c r="R50" s="1775"/>
      <c r="S50" s="1775"/>
      <c r="T50" s="1776" t="str">
        <f>IF(Data!L17=0,"",Data!L17)</f>
        <v/>
      </c>
      <c r="U50" s="1776"/>
      <c r="V50" s="1776"/>
      <c r="W50" s="1776"/>
      <c r="X50" s="1776" t="str">
        <f>IF(Data!M17&lt;&gt;"",Data!M17,IF(IFERROR(C50-T50,C50)=0,"",IFERROR(C50-T50,C50)))</f>
        <v/>
      </c>
      <c r="Y50" s="1776"/>
      <c r="Z50" s="1776"/>
      <c r="AA50" s="1777"/>
    </row>
    <row r="51" spans="1:34" ht="15.95" customHeight="1" x14ac:dyDescent="0.25">
      <c r="A51" s="1427" t="str">
        <f>IF(TRIM(H51)="","",IF(Data!CX66&gt;0,IF(Data!CX66&lt;&gt;"", Data!CX66, " ")," "))</f>
        <v/>
      </c>
      <c r="B51" s="1420"/>
      <c r="C51" s="1775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75"/>
      <c r="E51" s="1775" t="str">
        <f>IF(Data!GK8&gt;0,IF(Data!GK8&lt;&gt;"",Data!GK8," ")," ")</f>
        <v xml:space="preserve"> </v>
      </c>
      <c r="F51" s="1775"/>
      <c r="G51" s="1775"/>
      <c r="H51" s="1775" t="str">
        <f>IF(Data!GG8&gt;0,IF(Data!GG8&lt;&gt;"",IF(Data!GG8&lt;&gt;"Add the cutter in list",Data!GG8," ")," "),"")</f>
        <v xml:space="preserve"> </v>
      </c>
      <c r="I51" s="1775"/>
      <c r="J51" s="1775"/>
      <c r="K51" s="155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59"/>
      <c r="M51" s="1559"/>
      <c r="N51" s="1559"/>
      <c r="O51" s="1775" t="str">
        <f>IF(AND(Data!GR8&lt;&gt;"",Data!GR8&lt;&gt;0),Data!GR8,"")</f>
        <v/>
      </c>
      <c r="P51" s="1775"/>
      <c r="Q51" s="1775"/>
      <c r="R51" s="1775"/>
      <c r="S51" s="1775"/>
      <c r="T51" s="1776" t="str">
        <f>IF(Data!L18=0,"",Data!L18)</f>
        <v/>
      </c>
      <c r="U51" s="1776"/>
      <c r="V51" s="1776"/>
      <c r="W51" s="1776"/>
      <c r="X51" s="1776" t="str">
        <f>IF(Data!M18&lt;&gt;"",Data!M18,IF(IFERROR(C51-T51,C51)=0,"",IFERROR(C51-T51,C51)))</f>
        <v/>
      </c>
      <c r="Y51" s="1776"/>
      <c r="Z51" s="1776"/>
      <c r="AA51" s="1777"/>
    </row>
    <row r="52" spans="1:34" ht="15.95" customHeight="1" x14ac:dyDescent="0.25">
      <c r="A52" s="1778" t="str">
        <f>IF(TRIM(H52)="","",IF(Data!CX67&gt;0,IF(Data!CX67&lt;&gt;"", Data!CX67, " ")," "))</f>
        <v/>
      </c>
      <c r="B52" s="1779"/>
      <c r="C52" s="1775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75"/>
      <c r="E52" s="1775" t="str">
        <f>IF(Data!GK9&gt;0,IF(Data!GK9&lt;&gt;"",Data!GK9," ")," ")</f>
        <v xml:space="preserve"> </v>
      </c>
      <c r="F52" s="1775"/>
      <c r="G52" s="1775"/>
      <c r="H52" s="1775" t="str">
        <f>IF(Data!GG9&gt;0,IF(Data!GG9&lt;&gt;"",IF(Data!GG9&lt;&gt;"Add the cutter in list",Data!GG9," ")," "),"")</f>
        <v xml:space="preserve"> </v>
      </c>
      <c r="I52" s="1775"/>
      <c r="J52" s="1775"/>
      <c r="K52" s="155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59"/>
      <c r="M52" s="1559"/>
      <c r="N52" s="1559"/>
      <c r="O52" s="1775" t="str">
        <f>IF(AND(Data!GR9&lt;&gt;"",Data!GR9&lt;&gt;0),Data!GR9,"")</f>
        <v/>
      </c>
      <c r="P52" s="1775"/>
      <c r="Q52" s="1775"/>
      <c r="R52" s="1775"/>
      <c r="S52" s="1775"/>
      <c r="T52" s="1776" t="str">
        <f>IF(Data!L19=0,"",Data!L19)</f>
        <v/>
      </c>
      <c r="U52" s="1776"/>
      <c r="V52" s="1776"/>
      <c r="W52" s="1776"/>
      <c r="X52" s="1776" t="str">
        <f>IF(Data!M19&lt;&gt;"",Data!M19,IF(IFERROR(C52-T52,C52)=0,"",IFERROR(C52-T52,C52)))</f>
        <v/>
      </c>
      <c r="Y52" s="1776"/>
      <c r="Z52" s="1776"/>
      <c r="AA52" s="1777"/>
    </row>
    <row r="53" spans="1:34" ht="15.75" customHeight="1" x14ac:dyDescent="0.25">
      <c r="A53" s="1780" t="str">
        <f>IF(TRIM(H53)="","",IF(Data!CX68&gt;0,IF(Data!CX68&lt;&gt;"", Data!CX68, " ")," "))</f>
        <v/>
      </c>
      <c r="B53" s="1781"/>
      <c r="C53" s="1775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75"/>
      <c r="E53" s="1775" t="str">
        <f>IF(Data!GK10&gt;0,IF(Data!GK10&lt;&gt;"",Data!GK10," ")," ")</f>
        <v xml:space="preserve"> </v>
      </c>
      <c r="F53" s="1775"/>
      <c r="G53" s="1775"/>
      <c r="H53" s="1775" t="str">
        <f>IF(Data!GG10&gt;0,IF(Data!GG10&lt;&gt;"",IF(Data!GG10&lt;&gt;"Add the cutter in list",Data!GG10," ")," "),"")</f>
        <v xml:space="preserve"> </v>
      </c>
      <c r="I53" s="1775"/>
      <c r="J53" s="1775"/>
      <c r="K53" s="155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59"/>
      <c r="M53" s="1559"/>
      <c r="N53" s="1559"/>
      <c r="O53" s="1775" t="str">
        <f>IF(AND(Data!GR10&lt;&gt;"",Data!GR10&lt;&gt;0),Data!GR10,"")</f>
        <v/>
      </c>
      <c r="P53" s="1775"/>
      <c r="Q53" s="1775"/>
      <c r="R53" s="1775"/>
      <c r="S53" s="1775"/>
      <c r="T53" s="1776" t="str">
        <f>IF(Data!L20=0,"",Data!L20)</f>
        <v/>
      </c>
      <c r="U53" s="1776"/>
      <c r="V53" s="1776"/>
      <c r="W53" s="1776"/>
      <c r="X53" s="1776" t="str">
        <f>IF(Data!M20&lt;&gt;"",Data!M20,IF(IFERROR(C53-T53,C53)=0,"",IFERROR(C53-T53,C53)))</f>
        <v/>
      </c>
      <c r="Y53" s="1776"/>
      <c r="Z53" s="1776"/>
      <c r="AA53" s="1777"/>
    </row>
    <row r="54" spans="1:34" ht="15.75" customHeight="1" x14ac:dyDescent="0.25">
      <c r="A54" s="1773" t="str">
        <f>IF(TRIM(H54)="","",IF(Data!CX69&gt;0,IF(Data!CX69&lt;&gt;"", Data!CX69, " ")," "))</f>
        <v/>
      </c>
      <c r="B54" s="1774"/>
      <c r="C54" s="1775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75"/>
      <c r="E54" s="1775" t="str">
        <f>IF(Data!GK11&gt;0,IF(Data!GK11&lt;&gt;"",Data!GK11," ")," ")</f>
        <v xml:space="preserve"> </v>
      </c>
      <c r="F54" s="1775"/>
      <c r="G54" s="1775"/>
      <c r="H54" s="1775" t="str">
        <f>IF(Data!GG11&gt;0,IF(Data!GG11&lt;&gt;"",IF(Data!GG11&lt;&gt;"Add the cutter in list",Data!GG11," ")," "),"")</f>
        <v xml:space="preserve"> </v>
      </c>
      <c r="I54" s="1775"/>
      <c r="J54" s="1775"/>
      <c r="K54" s="155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59"/>
      <c r="M54" s="1559"/>
      <c r="N54" s="1559"/>
      <c r="O54" s="1775" t="str">
        <f>IF(AND(Data!GR11&lt;&gt;"",Data!GR11&lt;&gt;0),Data!GR11,"")</f>
        <v/>
      </c>
      <c r="P54" s="1775"/>
      <c r="Q54" s="1775"/>
      <c r="R54" s="1775"/>
      <c r="S54" s="1775"/>
      <c r="T54" s="1776" t="str">
        <f>IF(Data!L21=0,"",Data!L21)</f>
        <v/>
      </c>
      <c r="U54" s="1776"/>
      <c r="V54" s="1776"/>
      <c r="W54" s="1776"/>
      <c r="X54" s="1776" t="str">
        <f>IF(Data!M21&lt;&gt;"",Data!M21,IF(IFERROR(C54-T54,C54)=0,"",IFERROR(C54-T54,C54)))</f>
        <v/>
      </c>
      <c r="Y54" s="1776"/>
      <c r="Z54" s="1776"/>
      <c r="AA54" s="1777"/>
    </row>
    <row r="55" spans="1:34" ht="15.75" customHeight="1" x14ac:dyDescent="0.25">
      <c r="A55" s="1773" t="str">
        <f>IF(TRIM(H55)="","",IF(Data!CX70&gt;0,IF(Data!CX70&lt;&gt;"", Data!CX70, " ")," "))</f>
        <v/>
      </c>
      <c r="B55" s="1774"/>
      <c r="C55" s="1775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75"/>
      <c r="E55" s="1775" t="str">
        <f>IF(Data!GK12&gt;0,IF(Data!GK12&lt;&gt;"",Data!GK12," ")," ")</f>
        <v xml:space="preserve"> </v>
      </c>
      <c r="F55" s="1775"/>
      <c r="G55" s="1775"/>
      <c r="H55" s="1775" t="str">
        <f>IF(Data!GG12&gt;0,IF(Data!GG12&lt;&gt;"",IF(Data!GG12&lt;&gt;"Add the cutter in list",Data!GG12," ")," "),"")</f>
        <v xml:space="preserve"> </v>
      </c>
      <c r="I55" s="1775"/>
      <c r="J55" s="1775"/>
      <c r="K55" s="1559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59"/>
      <c r="M55" s="1559"/>
      <c r="N55" s="1559"/>
      <c r="O55" s="1775" t="str">
        <f>IF(AND(Data!GR12&lt;&gt;"",Data!GR12&lt;&gt;0),Data!GR12,"")</f>
        <v/>
      </c>
      <c r="P55" s="1775"/>
      <c r="Q55" s="1775"/>
      <c r="R55" s="1775"/>
      <c r="S55" s="1775"/>
      <c r="T55" s="1776" t="str">
        <f>IF(Data!L22=0,"",Data!L22)</f>
        <v/>
      </c>
      <c r="U55" s="1776"/>
      <c r="V55" s="1776"/>
      <c r="W55" s="1776"/>
      <c r="X55" s="1776" t="str">
        <f>IF(Data!M22&lt;&gt;"",Data!M22,IF(IFERROR(C55-T55,C55)=0,"",IFERROR(C55-T55,C55)))</f>
        <v/>
      </c>
      <c r="Y55" s="1776"/>
      <c r="Z55" s="1776"/>
      <c r="AA55" s="1777"/>
    </row>
    <row r="56" spans="1:34" ht="15.75" customHeight="1" x14ac:dyDescent="0.25">
      <c r="A56" s="1773" t="str">
        <f>IF(TRIM(H56)="","",IF(Data!CX71&gt;0,IF(Data!CX71&lt;&gt;"", Data!CX71, " ")," "))</f>
        <v/>
      </c>
      <c r="B56" s="1774"/>
      <c r="C56" s="1775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75"/>
      <c r="E56" s="1775" t="str">
        <f>IF(Data!GK13&gt;0,IF(Data!GK13&lt;&gt;"",Data!GK13," ")," ")</f>
        <v xml:space="preserve"> </v>
      </c>
      <c r="F56" s="1775"/>
      <c r="G56" s="1775"/>
      <c r="H56" s="1775" t="str">
        <f>IF(Data!GG13&gt;0,IF(Data!GG13&lt;&gt;"",IF(Data!GG13&lt;&gt;"Add the cutter in list",Data!GG13," ")," "),"")</f>
        <v xml:space="preserve"> </v>
      </c>
      <c r="I56" s="1775"/>
      <c r="J56" s="1775"/>
      <c r="K56" s="1559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59"/>
      <c r="M56" s="1559"/>
      <c r="N56" s="1559"/>
      <c r="O56" s="1775" t="str">
        <f>IF(AND(Data!GR13&lt;&gt;"",Data!GR13&lt;&gt;0),Data!GR13,"")</f>
        <v/>
      </c>
      <c r="P56" s="1775"/>
      <c r="Q56" s="1775"/>
      <c r="R56" s="1775"/>
      <c r="S56" s="1775"/>
      <c r="T56" s="1776" t="str">
        <f>IF(Data!L23=0,"",Data!L23)</f>
        <v/>
      </c>
      <c r="U56" s="1776"/>
      <c r="V56" s="1776"/>
      <c r="W56" s="1776"/>
      <c r="X56" s="1776" t="str">
        <f>IF(Data!M23&lt;&gt;"",Data!M23,IF(IFERROR(C56-T56,C56)=0,"",IFERROR(C56-T56,C56)))</f>
        <v/>
      </c>
      <c r="Y56" s="1776"/>
      <c r="Z56" s="1776"/>
      <c r="AA56" s="1777"/>
    </row>
    <row r="57" spans="1:34" ht="15.75" customHeight="1" x14ac:dyDescent="0.25">
      <c r="A57" s="1773" t="str">
        <f>IF(TRIM(H57)="","",IF(Data!CX72&gt;0,IF(Data!CX72&lt;&gt;"", Data!CX72, " ")," "))</f>
        <v/>
      </c>
      <c r="B57" s="1774"/>
      <c r="C57" s="1775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75"/>
      <c r="E57" s="1775" t="str">
        <f>IF(Data!GK14&gt;0,IF(Data!GK14&lt;&gt;"",Data!GK14," ")," ")</f>
        <v xml:space="preserve"> </v>
      </c>
      <c r="F57" s="1775"/>
      <c r="G57" s="1775"/>
      <c r="H57" s="1775" t="str">
        <f>IF(Data!GG14&gt;0,IF(Data!GG14&lt;&gt;"",IF(Data!GG14&lt;&gt;"Add the cutter in list",Data!GG14," ")," "),"")</f>
        <v xml:space="preserve"> </v>
      </c>
      <c r="I57" s="1775"/>
      <c r="J57" s="1775"/>
      <c r="K57" s="1559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59"/>
      <c r="M57" s="1559"/>
      <c r="N57" s="1559"/>
      <c r="O57" s="1775" t="str">
        <f>IF(AND(Data!GR14&lt;&gt;"",Data!GR14&lt;&gt;0),Data!GR14,"")</f>
        <v/>
      </c>
      <c r="P57" s="1775"/>
      <c r="Q57" s="1775"/>
      <c r="R57" s="1775"/>
      <c r="S57" s="1775"/>
      <c r="T57" s="1776" t="str">
        <f>IF(Data!L24=0,"",Data!L24)</f>
        <v/>
      </c>
      <c r="U57" s="1776"/>
      <c r="V57" s="1776"/>
      <c r="W57" s="1776"/>
      <c r="X57" s="1776" t="str">
        <f>IF(Data!M24&lt;&gt;"",Data!M24,IF(IFERROR(C57-T57,C57)=0,"",IFERROR(C57-T57,C57)))</f>
        <v/>
      </c>
      <c r="Y57" s="1776"/>
      <c r="Z57" s="1776"/>
      <c r="AA57" s="1777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25">
      <c r="A58" s="1773" t="str">
        <f>IF(TRIM(H58)="","",IF(Data!CX73&gt;0,IF(Data!CX73&lt;&gt;"", Data!CX73, " ")," "))</f>
        <v/>
      </c>
      <c r="B58" s="1774"/>
      <c r="C58" s="1775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75"/>
      <c r="E58" s="1775" t="str">
        <f>IF(Data!GK15&gt;0,IF(Data!GK15&lt;&gt;"",Data!GK15," ")," ")</f>
        <v xml:space="preserve"> </v>
      </c>
      <c r="F58" s="1775"/>
      <c r="G58" s="1775"/>
      <c r="H58" s="1775" t="str">
        <f>IF(Data!GG15&gt;0,IF(Data!GG15&lt;&gt;"",IF(Data!GG15&lt;&gt;"Add the cutter in list",Data!GG15," ")," "),"")</f>
        <v xml:space="preserve"> </v>
      </c>
      <c r="I58" s="1775"/>
      <c r="J58" s="1775"/>
      <c r="K58" s="1559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59"/>
      <c r="M58" s="1559"/>
      <c r="N58" s="1559"/>
      <c r="O58" s="1775" t="str">
        <f>IF(AND(Data!GR15&lt;&gt;"",Data!GR15&lt;&gt;0),Data!GR15,"")</f>
        <v/>
      </c>
      <c r="P58" s="1775"/>
      <c r="Q58" s="1775"/>
      <c r="R58" s="1775"/>
      <c r="S58" s="1775"/>
      <c r="T58" s="1776" t="str">
        <f>IF(Data!L25=0,"",Data!L25)</f>
        <v/>
      </c>
      <c r="U58" s="1776"/>
      <c r="V58" s="1776"/>
      <c r="W58" s="1776"/>
      <c r="X58" s="1776" t="str">
        <f>IF(Data!M25&lt;&gt;"",Data!M25,IF(IFERROR(C58-T58,C58)=0,"",IFERROR(C58-T58,C58)))</f>
        <v/>
      </c>
      <c r="Y58" s="1776"/>
      <c r="Z58" s="1776"/>
      <c r="AA58" s="1777"/>
      <c r="AH58">
        <f>AF57*AG57</f>
        <v>13.004799999999999</v>
      </c>
    </row>
    <row r="59" spans="1:34" ht="15.75" customHeight="1" x14ac:dyDescent="0.25">
      <c r="A59" s="1773" t="str">
        <f>IF(TRIM(H59)="","",IF(Data!CX74&gt;0,IF(Data!CX74&lt;&gt;"", Data!CX74, " ")," "))</f>
        <v/>
      </c>
      <c r="B59" s="1774"/>
      <c r="C59" s="1775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75"/>
      <c r="E59" s="1775" t="str">
        <f>IF(Data!GK16&gt;0,IF(Data!GK16&lt;&gt;"",Data!GK16," ")," ")</f>
        <v xml:space="preserve"> </v>
      </c>
      <c r="F59" s="1775"/>
      <c r="G59" s="1775"/>
      <c r="H59" s="1775" t="str">
        <f>IF(Data!GG16&gt;0,IF(Data!GG16&lt;&gt;"",IF(Data!GG16&lt;&gt;"Add the cutter in list",Data!GG16," ")," "),"")</f>
        <v xml:space="preserve"> </v>
      </c>
      <c r="I59" s="1775"/>
      <c r="J59" s="1775"/>
      <c r="K59" s="1559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59"/>
      <c r="M59" s="1559"/>
      <c r="N59" s="1559"/>
      <c r="O59" s="1775" t="str">
        <f>IF(AND(Data!GR16&lt;&gt;"",Data!GR16&lt;&gt;0),Data!GR16,"")</f>
        <v/>
      </c>
      <c r="P59" s="1775"/>
      <c r="Q59" s="1775"/>
      <c r="R59" s="1775"/>
      <c r="S59" s="1775"/>
      <c r="T59" s="1776" t="str">
        <f>IF(Data!L26=0,"",Data!L26)</f>
        <v/>
      </c>
      <c r="U59" s="1776"/>
      <c r="V59" s="1776"/>
      <c r="W59" s="1776"/>
      <c r="X59" s="1776" t="str">
        <f>IF(Data!M26&lt;&gt;"",Data!M26,IF(IFERROR(C59-T59,C59)=0,"",IFERROR(C59-T59,C59)))</f>
        <v/>
      </c>
      <c r="Y59" s="1776"/>
      <c r="Z59" s="1776"/>
      <c r="AA59" s="1777"/>
      <c r="AH59">
        <f>7.75/3.75</f>
        <v>2.0666666666666669</v>
      </c>
    </row>
    <row r="60" spans="1:34" ht="15.75" customHeight="1" x14ac:dyDescent="0.25">
      <c r="A60" s="1773" t="str">
        <f>IF(TRIM(H60)="","",IF(Data!CX75&gt;0,IF(Data!CX75&lt;&gt;"", Data!CX75, " ")," "))</f>
        <v/>
      </c>
      <c r="B60" s="1774"/>
      <c r="C60" s="1775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75"/>
      <c r="E60" s="1775" t="str">
        <f>IF(Data!GK17&gt;0,IF(Data!GK17&lt;&gt;"",Data!GK17," ")," ")</f>
        <v xml:space="preserve"> </v>
      </c>
      <c r="F60" s="1775"/>
      <c r="G60" s="1775"/>
      <c r="H60" s="1775" t="str">
        <f>IF(Data!GG17&gt;0,IF(Data!GG17&lt;&gt;"",IF(Data!GG17&lt;&gt;"Add the cutter in list",Data!GG17," ")," "),"")</f>
        <v xml:space="preserve"> </v>
      </c>
      <c r="I60" s="1775"/>
      <c r="J60" s="1775"/>
      <c r="K60" s="1559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59"/>
      <c r="M60" s="1559"/>
      <c r="N60" s="1559"/>
      <c r="O60" s="1775" t="str">
        <f>IF(AND(Data!GR17&lt;&gt;"",Data!GR17&lt;&gt;0),Data!GR17,"")</f>
        <v/>
      </c>
      <c r="P60" s="1775"/>
      <c r="Q60" s="1775"/>
      <c r="R60" s="1775"/>
      <c r="S60" s="1775"/>
      <c r="T60" s="1776" t="str">
        <f>IF(Data!L27=0,"",Data!L27)</f>
        <v/>
      </c>
      <c r="U60" s="1776"/>
      <c r="V60" s="1776"/>
      <c r="W60" s="1776"/>
      <c r="X60" s="1776" t="str">
        <f>IF(Data!M27&lt;&gt;"",Data!M27,IF(IFERROR(C60-T60,C60)=0,"",IFERROR(C60-T60,C60)))</f>
        <v/>
      </c>
      <c r="Y60" s="1776"/>
      <c r="Z60" s="1776"/>
      <c r="AA60" s="1777"/>
    </row>
    <row r="61" spans="1:34" ht="15.75" customHeight="1" x14ac:dyDescent="0.25">
      <c r="A61" s="1773" t="str">
        <f>IF(TRIM(H61)="","",IF(Data!CX76&gt;0,IF(Data!CX76&lt;&gt;"", Data!CX76, " ")," "))</f>
        <v/>
      </c>
      <c r="B61" s="1774"/>
      <c r="C61" s="1775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75"/>
      <c r="E61" s="1775" t="str">
        <f>IF(Data!GK18&gt;0,IF(Data!GK18&lt;&gt;"",Data!GK18," ")," ")</f>
        <v xml:space="preserve"> </v>
      </c>
      <c r="F61" s="1775"/>
      <c r="G61" s="1775"/>
      <c r="H61" s="1775" t="str">
        <f>IF(Data!GG18&gt;0,IF(Data!GG18&lt;&gt;"",IF(Data!GG18&lt;&gt;"Add the cutter in list",Data!GG18," ")," "),"")</f>
        <v xml:space="preserve"> </v>
      </c>
      <c r="I61" s="1775"/>
      <c r="J61" s="1775"/>
      <c r="K61" s="1559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59"/>
      <c r="M61" s="1559"/>
      <c r="N61" s="1559"/>
      <c r="O61" s="1775" t="str">
        <f>IF(AND(Data!GR18&lt;&gt;"",Data!GR18&lt;&gt;0),Data!GR18,"")</f>
        <v/>
      </c>
      <c r="P61" s="1775"/>
      <c r="Q61" s="1775"/>
      <c r="R61" s="1775"/>
      <c r="S61" s="1775"/>
      <c r="T61" s="1776" t="str">
        <f>IF(Data!L28=0,"",Data!L28)</f>
        <v/>
      </c>
      <c r="U61" s="1776"/>
      <c r="V61" s="1776"/>
      <c r="W61" s="1776"/>
      <c r="X61" s="1776" t="str">
        <f>IF(Data!M28&lt;&gt;"",Data!M28,IF(IFERROR(C61-T61,C61)=0,"",IFERROR(C61-T61,C61)))</f>
        <v/>
      </c>
      <c r="Y61" s="1776"/>
      <c r="Z61" s="1776"/>
      <c r="AA61" s="1777"/>
    </row>
    <row r="62" spans="1:34" ht="15.95" customHeight="1" thickBot="1" x14ac:dyDescent="0.3">
      <c r="A62" s="1826" t="s">
        <v>21</v>
      </c>
      <c r="B62" s="1823"/>
      <c r="C62" s="1823">
        <f>SUM(C45:D54)</f>
        <v>0</v>
      </c>
      <c r="D62" s="1823"/>
      <c r="E62" s="1823"/>
      <c r="F62" s="1823"/>
      <c r="G62" s="1823"/>
      <c r="H62" s="1823"/>
      <c r="I62" s="1823"/>
      <c r="J62" s="1823"/>
      <c r="K62" s="1823"/>
      <c r="L62" s="1823"/>
      <c r="M62" s="1823"/>
      <c r="N62" s="1823"/>
      <c r="O62" s="1823"/>
      <c r="P62" s="1823"/>
      <c r="Q62" s="1823"/>
      <c r="R62" s="1823"/>
      <c r="S62" s="1823"/>
      <c r="T62" s="1824">
        <f>SUM(T45:W54)</f>
        <v>0</v>
      </c>
      <c r="U62" s="1824"/>
      <c r="V62" s="1824"/>
      <c r="W62" s="1824"/>
      <c r="X62" s="1824">
        <f>SUM(X45:AA54)</f>
        <v>0</v>
      </c>
      <c r="Y62" s="1824"/>
      <c r="Z62" s="1824"/>
      <c r="AA62" s="1825"/>
    </row>
    <row r="63" spans="1:34" ht="5.0999999999999996" customHeight="1" thickBot="1" x14ac:dyDescent="0.3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00000000000001" customHeight="1" thickBot="1" x14ac:dyDescent="0.3">
      <c r="A64" s="1629" t="s">
        <v>847</v>
      </c>
      <c r="B64" s="1629"/>
      <c r="C64" s="1629"/>
      <c r="D64" s="464" t="str">
        <f>IF(Data!G32=1,"",IF(Data!B5&lt;&gt;"",IF(OR(D68="√",D66="√"),"","√"),""))</f>
        <v>√</v>
      </c>
      <c r="F64" s="1629" t="s">
        <v>733</v>
      </c>
      <c r="G64" s="1629"/>
      <c r="H64" s="1629"/>
      <c r="I64" s="1629"/>
      <c r="J64" s="1812" t="str">
        <f>IF(Data!B19&lt;&gt;"",Data!B19,"")</f>
        <v>Murthada Turaifi</v>
      </c>
      <c r="K64" s="1812"/>
      <c r="L64" s="1812"/>
      <c r="M64" s="1812"/>
      <c r="N64" s="1812"/>
      <c r="O64" s="466"/>
      <c r="P64" s="1629" t="s">
        <v>1053</v>
      </c>
      <c r="Q64" s="1629"/>
      <c r="R64" s="1629"/>
      <c r="S64" s="1629"/>
      <c r="T64" s="1629"/>
      <c r="U64" s="1629"/>
      <c r="V64" s="1629"/>
      <c r="W64" s="1812" t="str">
        <f>IF(Data!B17&lt;&gt;"",Data!B17,"")</f>
        <v>Ramzi Kassab</v>
      </c>
      <c r="X64" s="1812"/>
      <c r="Y64" s="1812"/>
      <c r="Z64" s="1812"/>
      <c r="AA64" s="1812"/>
    </row>
    <row r="65" spans="1:27" ht="5.0999999999999996" customHeight="1" thickBot="1" x14ac:dyDescent="0.3">
      <c r="A65" s="461"/>
      <c r="B65" s="461"/>
      <c r="C65" s="461"/>
      <c r="D65" s="461"/>
      <c r="F65" s="1629"/>
      <c r="G65" s="1629"/>
      <c r="H65" s="1629"/>
      <c r="I65" s="1629"/>
      <c r="J65" s="1827"/>
      <c r="K65" s="1827"/>
      <c r="L65" s="1827"/>
      <c r="M65" s="1827"/>
      <c r="N65" s="1827"/>
      <c r="O65" s="466"/>
      <c r="P65" s="1629"/>
      <c r="Q65" s="1629"/>
      <c r="R65" s="1629"/>
      <c r="S65" s="1629"/>
      <c r="T65" s="1629"/>
      <c r="U65" s="1629"/>
      <c r="V65" s="1629"/>
      <c r="W65" s="1827"/>
      <c r="X65" s="1827"/>
      <c r="Y65" s="1827"/>
      <c r="Z65" s="1827"/>
      <c r="AA65" s="1827"/>
    </row>
    <row r="66" spans="1:27" ht="20.100000000000001" customHeight="1" thickBot="1" x14ac:dyDescent="0.3">
      <c r="A66" s="1629" t="s">
        <v>848</v>
      </c>
      <c r="B66" s="1629"/>
      <c r="C66" s="1629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0999999999999996" customHeight="1" thickBot="1" x14ac:dyDescent="0.3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00000000000001" customHeight="1" thickBot="1" x14ac:dyDescent="0.3">
      <c r="A68" s="1629" t="s">
        <v>849</v>
      </c>
      <c r="B68" s="1629"/>
      <c r="C68" s="1629"/>
      <c r="D68" s="464" t="str">
        <f>IF(OR(Data!L2=1,Data!L3=1),"√","")</f>
        <v/>
      </c>
      <c r="G68" s="468"/>
      <c r="H68" s="1629" t="s">
        <v>36</v>
      </c>
      <c r="I68" s="1629"/>
      <c r="J68" s="1828">
        <f>IF(Data!B20&lt;&gt;"",Data!B20,"")</f>
        <v>46036</v>
      </c>
      <c r="K68" s="1828"/>
      <c r="L68" s="1828"/>
      <c r="M68" s="1828"/>
      <c r="N68" s="1828"/>
      <c r="O68" s="462"/>
      <c r="P68" s="462"/>
      <c r="R68" s="468"/>
      <c r="S68" s="1629" t="s">
        <v>1045</v>
      </c>
      <c r="T68" s="1629"/>
      <c r="U68" s="1629"/>
      <c r="V68" s="1629"/>
      <c r="W68" s="1829"/>
      <c r="X68" s="1829"/>
      <c r="Y68" s="1829"/>
      <c r="Z68" s="1829"/>
      <c r="AA68" s="1829"/>
    </row>
    <row r="69" spans="1:27" ht="5.0999999999999996" customHeight="1" x14ac:dyDescent="0.2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0999999999999996" customHeight="1" x14ac:dyDescent="0.25"/>
  </sheetData>
  <sheetProtection formatCells="0" formatColumns="0" formatRows="0" insertColumns="0" insertRows="0" insertHyperlinks="0" deleteColumns="0" deleteRows="0" sort="0" autoFilter="0" pivotTables="0"/>
  <mergeCells count="223"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80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40625" defaultRowHeight="15" x14ac:dyDescent="0.25"/>
  <cols>
    <col min="1" max="31" width="4" customWidth="1"/>
    <col min="32" max="35" width="3.7109375" customWidth="1"/>
    <col min="128" max="128" width="9.140625" customWidth="1"/>
  </cols>
  <sheetData>
    <row r="1" spans="1:35" ht="16.5" customHeight="1" x14ac:dyDescent="0.25">
      <c r="A1" s="1794"/>
      <c r="B1" s="1795"/>
      <c r="C1" s="1875" t="s">
        <v>22</v>
      </c>
      <c r="D1" s="1785"/>
      <c r="E1" s="1785"/>
      <c r="F1" s="1785"/>
      <c r="G1" s="1785"/>
      <c r="H1" s="1785"/>
      <c r="I1" s="1785"/>
      <c r="J1" s="1785"/>
      <c r="K1" s="1785"/>
      <c r="L1" s="1785"/>
      <c r="M1" s="1785"/>
      <c r="N1" s="1785"/>
      <c r="O1" s="1785"/>
      <c r="P1" s="1785"/>
      <c r="Q1" s="1785"/>
      <c r="R1" s="1785"/>
      <c r="S1" s="1786"/>
      <c r="T1" s="1872" t="s">
        <v>1040</v>
      </c>
      <c r="U1" s="1873"/>
      <c r="V1" s="1873"/>
      <c r="W1" s="1873"/>
      <c r="X1" s="1873"/>
      <c r="Y1" s="1873"/>
      <c r="Z1" s="1873"/>
      <c r="AA1" s="1873"/>
      <c r="AB1" s="1872" t="s">
        <v>1054</v>
      </c>
      <c r="AC1" s="1873"/>
      <c r="AD1" s="1873"/>
      <c r="AE1" s="1873"/>
      <c r="AF1" s="1873"/>
      <c r="AG1" s="1873"/>
      <c r="AH1" s="1873"/>
      <c r="AI1" s="1874"/>
    </row>
    <row r="2" spans="1:35" ht="16.5" customHeight="1" thickBot="1" x14ac:dyDescent="0.3">
      <c r="A2" s="1647"/>
      <c r="B2" s="1648"/>
      <c r="C2" s="1876"/>
      <c r="D2" s="1877"/>
      <c r="E2" s="1877"/>
      <c r="F2" s="1877"/>
      <c r="G2" s="1877"/>
      <c r="H2" s="1877"/>
      <c r="I2" s="1877"/>
      <c r="J2" s="1877"/>
      <c r="K2" s="1877"/>
      <c r="L2" s="1877"/>
      <c r="M2" s="1877"/>
      <c r="N2" s="1877"/>
      <c r="O2" s="1877"/>
      <c r="P2" s="1877"/>
      <c r="Q2" s="1877"/>
      <c r="R2" s="1877"/>
      <c r="S2" s="1878"/>
      <c r="T2" s="1866" t="s">
        <v>1041</v>
      </c>
      <c r="U2" s="1867"/>
      <c r="V2" s="1867"/>
      <c r="W2" s="1867"/>
      <c r="X2" s="1867"/>
      <c r="Y2" s="1867"/>
      <c r="Z2" s="1867"/>
      <c r="AA2" s="1867"/>
      <c r="AB2" s="1866" t="s">
        <v>1064</v>
      </c>
      <c r="AC2" s="1867"/>
      <c r="AD2" s="1867"/>
      <c r="AE2" s="1867"/>
      <c r="AF2" s="1867"/>
      <c r="AG2" s="1867"/>
      <c r="AH2" s="1867"/>
      <c r="AI2" s="1868"/>
    </row>
    <row r="3" spans="1:35" ht="12" customHeight="1" x14ac:dyDescent="0.25">
      <c r="A3" s="1602" t="s">
        <v>1122</v>
      </c>
      <c r="B3" s="1602"/>
      <c r="C3" s="1602"/>
      <c r="D3" s="1602"/>
      <c r="E3" s="1602"/>
      <c r="F3" s="1602"/>
      <c r="G3" s="1602"/>
      <c r="H3" s="1602"/>
      <c r="I3" s="1602"/>
      <c r="J3" s="1602"/>
      <c r="K3" s="1602"/>
      <c r="L3" s="1602"/>
      <c r="M3" s="1602"/>
      <c r="N3" s="1602"/>
      <c r="O3" s="1602"/>
      <c r="P3" s="1602"/>
      <c r="Q3" s="1602"/>
      <c r="R3" s="1602"/>
      <c r="S3" s="1602"/>
      <c r="T3" s="1602"/>
      <c r="U3" s="1602"/>
      <c r="V3" s="1602"/>
      <c r="W3" s="1602"/>
      <c r="X3" s="1602"/>
      <c r="Y3" s="1602"/>
      <c r="Z3" s="1602"/>
      <c r="AA3" s="1602"/>
      <c r="AB3" s="1602"/>
      <c r="AC3" s="1602"/>
      <c r="AD3" s="1602"/>
      <c r="AE3" s="1602"/>
      <c r="AF3" s="1602"/>
      <c r="AG3" s="1602"/>
      <c r="AH3" s="1602"/>
      <c r="AI3" s="1602"/>
    </row>
    <row r="4" spans="1:35" ht="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43" t="s">
        <v>1033</v>
      </c>
      <c r="AB4" s="1643"/>
      <c r="AC4" s="1643"/>
      <c r="AD4" s="1643"/>
      <c r="AE4" s="240"/>
      <c r="AF4" s="240"/>
      <c r="AG4" s="240"/>
      <c r="AH4" s="450"/>
      <c r="AI4" s="450"/>
    </row>
    <row r="5" spans="1:35" ht="15" customHeight="1" thickBot="1" x14ac:dyDescent="0.3">
      <c r="A5" s="240"/>
      <c r="B5" s="1644" t="s">
        <v>27</v>
      </c>
      <c r="C5" s="1644"/>
      <c r="D5" s="1644"/>
      <c r="E5" s="1645"/>
      <c r="F5" s="1557">
        <f>IF(Data!B1&lt;&gt;"", Data!B1, " ")</f>
        <v>20261004</v>
      </c>
      <c r="G5" s="1627"/>
      <c r="H5" s="1627"/>
      <c r="I5" s="1627"/>
      <c r="J5" s="1558"/>
      <c r="K5" s="1628" t="s">
        <v>28</v>
      </c>
      <c r="L5" s="1629"/>
      <c r="M5" s="1630"/>
      <c r="N5" s="1557" t="str">
        <f>IF(Data!B2&lt;&gt;"", Data!B2, " ")</f>
        <v>14304769R1</v>
      </c>
      <c r="O5" s="1627"/>
      <c r="P5" s="1627"/>
      <c r="Q5" s="1627"/>
      <c r="R5" s="1558"/>
      <c r="S5" s="1628" t="s">
        <v>1065</v>
      </c>
      <c r="T5" s="1629"/>
      <c r="U5" s="1630"/>
      <c r="V5" s="1557" t="str">
        <f>IF(Data!B5&lt;&gt;"",Data!B5," ")</f>
        <v>1251085M</v>
      </c>
      <c r="W5" s="1627"/>
      <c r="X5" s="1627"/>
      <c r="Y5" s="1627"/>
      <c r="Z5" s="1558"/>
      <c r="AA5" s="1643"/>
      <c r="AB5" s="1643"/>
      <c r="AC5" s="1643"/>
      <c r="AD5" s="1643"/>
      <c r="AE5" s="1654">
        <f>IF(Data!B6&lt;&gt;"",Data!B6," ")</f>
        <v>46035</v>
      </c>
      <c r="AF5" s="1655"/>
      <c r="AG5" s="1655"/>
      <c r="AH5" s="1655"/>
      <c r="AI5" s="1656"/>
    </row>
    <row r="6" spans="1:35" ht="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43"/>
      <c r="AB6" s="1643"/>
      <c r="AC6" s="1643"/>
      <c r="AD6" s="1643"/>
      <c r="AE6" s="449"/>
      <c r="AF6" s="449"/>
      <c r="AG6" s="450"/>
      <c r="AH6" s="450"/>
      <c r="AI6" s="450"/>
    </row>
    <row r="7" spans="1:35" ht="15" customHeight="1" thickBot="1" x14ac:dyDescent="0.3">
      <c r="D7" s="1629" t="s">
        <v>29</v>
      </c>
      <c r="E7" s="1630"/>
      <c r="F7" s="1557" t="str">
        <f>IF(LEN(Data!B3)&gt;3,IF(AND(Data!B43&lt;&gt;"",Data!B43&lt;&gt;"0 0/1"""),Data!B43,""),IF(Data!B3&lt;&gt;"",Data!B3&amp;"""",""))</f>
        <v>6 1/8"</v>
      </c>
      <c r="G7" s="1627"/>
      <c r="H7" s="1627"/>
      <c r="I7" s="1627"/>
      <c r="J7" s="1558"/>
      <c r="L7" s="1629" t="s">
        <v>31</v>
      </c>
      <c r="M7" s="1630"/>
      <c r="N7" s="1557" t="str">
        <f>IF(Data!B4&lt;&gt;"",Data!B4," ")</f>
        <v>HD54</v>
      </c>
      <c r="O7" s="1627"/>
      <c r="P7" s="1627"/>
      <c r="Q7" s="1627"/>
      <c r="R7" s="1558"/>
      <c r="S7" s="1628" t="s">
        <v>32</v>
      </c>
      <c r="T7" s="1629"/>
      <c r="U7" s="1630"/>
      <c r="V7" s="1557" t="str">
        <f>IF(Data!B7&lt;&gt;"",Data!B7, " ")</f>
        <v>LSTK</v>
      </c>
      <c r="W7" s="1627"/>
      <c r="X7" s="1627"/>
      <c r="Y7" s="1627"/>
      <c r="Z7" s="1558"/>
      <c r="AA7" s="1673" t="s">
        <v>33</v>
      </c>
      <c r="AB7" s="1644"/>
      <c r="AC7" s="1644"/>
      <c r="AD7" s="1645"/>
      <c r="AE7" s="1557">
        <f>IF(Data!B24&lt;&gt;"",Data!B24,IFERROR(VLOOKUP(Data!$B$7,Data!F63:G70,2,FALSE),""))</f>
        <v>960031408</v>
      </c>
      <c r="AF7" s="1627"/>
      <c r="AG7" s="1627"/>
      <c r="AH7" s="1627"/>
      <c r="AI7" s="1558"/>
    </row>
    <row r="8" spans="1:35" ht="4.5" customHeight="1" x14ac:dyDescent="0.2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3">
      <c r="A9" s="1833" t="s">
        <v>1492</v>
      </c>
      <c r="B9" s="1833"/>
      <c r="C9" s="1833"/>
      <c r="D9" s="1833"/>
      <c r="E9" s="1833"/>
      <c r="F9" s="1833"/>
      <c r="G9" s="1833"/>
      <c r="H9" s="1833"/>
      <c r="I9" s="1833"/>
      <c r="J9" s="1833"/>
      <c r="K9" s="1833"/>
      <c r="L9" s="1833"/>
      <c r="M9" s="1833"/>
      <c r="N9" s="1833"/>
      <c r="O9" s="1833"/>
      <c r="P9" s="1833"/>
      <c r="Q9" s="1833"/>
      <c r="R9" s="1833"/>
      <c r="S9" s="1833"/>
      <c r="T9" s="1833"/>
      <c r="U9" s="1833"/>
      <c r="V9" s="1833"/>
      <c r="W9" s="1833"/>
      <c r="X9" s="1833"/>
      <c r="Y9" s="1833"/>
      <c r="Z9" s="1833"/>
      <c r="AA9" s="1833"/>
      <c r="AB9" s="1833"/>
      <c r="AC9" s="1833"/>
      <c r="AD9" s="1833"/>
      <c r="AE9" s="1833"/>
      <c r="AF9" s="1833"/>
      <c r="AG9" s="1833"/>
      <c r="AH9" s="1833"/>
      <c r="AI9" s="1833"/>
    </row>
    <row r="10" spans="1:35" ht="11.25" customHeight="1" thickBot="1" x14ac:dyDescent="0.3">
      <c r="A10" s="1816"/>
      <c r="B10" s="1817"/>
      <c r="C10" s="1856" t="s">
        <v>17</v>
      </c>
      <c r="D10" s="1857"/>
      <c r="E10" s="1857"/>
      <c r="F10" s="1857"/>
      <c r="G10" s="1857"/>
      <c r="H10" s="1857"/>
      <c r="I10" s="1857"/>
      <c r="J10" s="1857"/>
      <c r="K10" s="1857"/>
      <c r="L10" s="1857"/>
      <c r="M10" s="1857"/>
      <c r="N10" s="1857"/>
      <c r="O10" s="1857"/>
      <c r="P10" s="1857"/>
      <c r="Q10" s="1857"/>
      <c r="R10" s="1857"/>
      <c r="S10" s="1857"/>
      <c r="T10" s="1857"/>
      <c r="U10" s="1857"/>
      <c r="V10" s="1857"/>
      <c r="W10" s="1857"/>
      <c r="X10" s="1857"/>
      <c r="Y10" s="1857"/>
      <c r="Z10" s="1857"/>
      <c r="AA10" s="1857"/>
      <c r="AB10" s="1857"/>
      <c r="AC10" s="1857"/>
      <c r="AD10" s="1857"/>
      <c r="AE10" s="1857"/>
      <c r="AF10" s="1857"/>
      <c r="AG10" s="1857"/>
      <c r="AH10" s="1857"/>
      <c r="AI10" s="1858"/>
    </row>
    <row r="11" spans="1:35" ht="13.5" customHeight="1" thickBot="1" x14ac:dyDescent="0.3">
      <c r="A11" s="1818"/>
      <c r="B11" s="1819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0a</v>
      </c>
      <c r="L11" s="547" t="str">
        <f>IF(Data!CA42&lt;&gt;"",Data!CA42,"")</f>
        <v>0a</v>
      </c>
      <c r="M11" s="547" t="str">
        <f>IF(Data!CB42&lt;&gt;"",Data!CB42,"")</f>
        <v>0a</v>
      </c>
      <c r="N11" s="547" t="str">
        <f>IF(Data!CC42&lt;&gt;"",Data!CC42,"")</f>
        <v>0a</v>
      </c>
      <c r="O11" s="547" t="str">
        <f>IF(Data!CD42&lt;&gt;"",Data!CD42,"")</f>
        <v>0a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" customHeight="1" x14ac:dyDescent="0.25">
      <c r="A12" s="1869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O1</v>
      </c>
      <c r="D12" s="262" t="str">
        <f>IF(OR(Data!$L$2=1,Data!$L$3=1),IF(OR(Data!BS46=0,Data!BS46=""),"","O"&amp;Data!BS46),IF('ARDT Cutter Entry'!$C$111&lt;&gt;"",'ARDT Cutter Entry'!D111,'ARDT Cutter Entry'!D43))</f>
        <v>O1</v>
      </c>
      <c r="E12" s="262" t="str">
        <f>IF(OR(Data!$L$2=1,Data!$L$3=1),IF(OR(Data!BT46=0,Data!BT46=""),"","O"&amp;Data!BT46),IF('ARDT Cutter Entry'!$C$111&lt;&gt;"",'ARDT Cutter Entry'!E111,'ARDT Cutter Entry'!E43))</f>
        <v>O1</v>
      </c>
      <c r="F12" s="262" t="str">
        <f>IF(OR(Data!$L$2=1,Data!$L$3=1),IF(OR(Data!BU46=0,Data!BU46=""),"","O"&amp;Data!BU46),IF('ARDT Cutter Entry'!$C$111&lt;&gt;"",'ARDT Cutter Entry'!F111,'ARDT Cutter Entry'!F43))</f>
        <v>R3</v>
      </c>
      <c r="G12" s="262" t="str">
        <f>IF(OR(Data!$L$2=1,Data!$L$3=1),IF(OR(Data!BV46=0,Data!BV46=""),"","O"&amp;Data!BV46),IF('ARDT Cutter Entry'!$C$111&lt;&gt;"",'ARDT Cutter Entry'!G111,'ARDT Cutter Entry'!G43))</f>
        <v>S3</v>
      </c>
      <c r="H12" s="262" t="str">
        <f>IF(OR(Data!$L$2=1,Data!$L$3=1),IF(OR(Data!BW46=0,Data!BW46=""),"","O"&amp;Data!BW46),IF('ARDT Cutter Entry'!$C$111&lt;&gt;"",'ARDT Cutter Entry'!H111,'ARDT Cutter Entry'!H43))</f>
        <v>O1</v>
      </c>
      <c r="I12" s="262" t="str">
        <f>IF(OR(Data!$L$2=1,Data!$L$3=1),IF(OR(Data!BX46=0,Data!BX46=""),"","O"&amp;Data!BX46),IF('ARDT Cutter Entry'!$C$111&lt;&gt;"",'ARDT Cutter Entry'!I111,'ARDT Cutter Entry'!I43))</f>
        <v>O2</v>
      </c>
      <c r="J12" s="262" t="str">
        <f>IF(OR(Data!$L$2=1,Data!$L$3=1),IF(OR(Data!BY46=0,Data!BY46=""),"","O"&amp;Data!BY46),IF('ARDT Cutter Entry'!$C$111&lt;&gt;"",'ARDT Cutter Entry'!J111,'ARDT Cutter Entry'!J43))</f>
        <v>O2</v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/>
      </c>
      <c r="M12" s="262" t="str">
        <f>IF(OR(Data!$L$2=1,Data!$L$3=1),IF(OR(Data!CB46=0,Data!CB46=""),"","O"&amp;Data!CB46),IF('ARDT Cutter Entry'!$C$111&lt;&gt;"",'ARDT Cutter Entry'!M111,'ARDT Cutter Entry'!M43))</f>
        <v/>
      </c>
      <c r="N12" s="262" t="str">
        <f>IF(OR(Data!$L$2=1,Data!$L$3=1),IF(OR(Data!CC46=0,Data!CC46=""),"","O"&amp;Data!CC46),IF('ARDT Cutter Entry'!$C$111&lt;&gt;"",'ARDT Cutter Entry'!N111,'ARDT Cutter Entry'!N43))</f>
        <v/>
      </c>
      <c r="O12" s="262" t="str">
        <f>IF(OR(Data!$L$2=1,Data!$L$3=1),IF(OR(Data!CD46=0,Data!CD46=""),"","O"&amp;Data!CD46),IF('ARDT Cutter Entry'!$C$111&lt;&gt;"",'ARDT Cutter Entry'!O111,'ARDT Cutter Entry'!O43))</f>
        <v/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" customHeight="1" x14ac:dyDescent="0.25">
      <c r="A13" s="1870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O1</v>
      </c>
      <c r="D13" s="167" t="str">
        <f>IF(OR(Data!$L$2=1,Data!$L$3=1),IF(OR(Data!BS47=0,Data!BS47=""),"","O"&amp;Data!BS47),IF('ARDT Cutter Entry'!$C$111&lt;&gt;"",'ARDT Cutter Entry'!D112,'ARDT Cutter Entry'!D44))</f>
        <v>O3</v>
      </c>
      <c r="E13" s="167" t="str">
        <f>IF(OR(Data!$L$2=1,Data!$L$3=1),IF(OR(Data!BT47=0,Data!BT47=""),"","O"&amp;Data!BT47),IF('ARDT Cutter Entry'!$C$111&lt;&gt;"",'ARDT Cutter Entry'!E112,'ARDT Cutter Entry'!E44))</f>
        <v>O1</v>
      </c>
      <c r="F13" s="167" t="str">
        <f>IF(OR(Data!$L$2=1,Data!$L$3=1),IF(OR(Data!BU47=0,Data!BU47=""),"","O"&amp;Data!BU47),IF('ARDT Cutter Entry'!$C$111&lt;&gt;"",'ARDT Cutter Entry'!F112,'ARDT Cutter Entry'!F44))</f>
        <v>O2</v>
      </c>
      <c r="G13" s="167" t="str">
        <f>IF(OR(Data!$L$2=1,Data!$L$3=1),IF(OR(Data!BV47=0,Data!BV47=""),"","O"&amp;Data!BV47),IF('ARDT Cutter Entry'!$C$111&lt;&gt;"",'ARDT Cutter Entry'!G112,'ARDT Cutter Entry'!G44))</f>
        <v>O2</v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/>
      </c>
      <c r="M13" s="167" t="str">
        <f>IF(OR(Data!$L$2=1,Data!$L$3=1),IF(OR(Data!CB47=0,Data!CB47=""),"","O"&amp;Data!CB47),IF('ARDT Cutter Entry'!$C$111&lt;&gt;"",'ARDT Cutter Entry'!M112,'ARDT Cutter Entry'!M44))</f>
        <v/>
      </c>
      <c r="N13" s="167" t="str">
        <f>IF(OR(Data!$L$2=1,Data!$L$3=1),IF(OR(Data!CC47=0,Data!CC47=""),"","O"&amp;Data!CC47),IF('ARDT Cutter Entry'!$C$111&lt;&gt;"",'ARDT Cutter Entry'!N112,'ARDT Cutter Entry'!N44))</f>
        <v/>
      </c>
      <c r="O13" s="167" t="str">
        <f>IF(OR(Data!$L$2=1,Data!$L$3=1),IF(OR(Data!CD47=0,Data!CD47=""),"","O"&amp;Data!CD47),IF('ARDT Cutter Entry'!$C$111&lt;&gt;"",'ARDT Cutter Entry'!O112,'ARDT Cutter Entry'!O44))</f>
        <v/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" customHeight="1" x14ac:dyDescent="0.25">
      <c r="A14" s="1870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O1</v>
      </c>
      <c r="D14" s="167" t="str">
        <f>IF(OR(Data!$L$2=1,Data!$L$3=1),IF(OR(Data!BS48=0,Data!BS48=""),"","O"&amp;Data!BS48),IF('ARDT Cutter Entry'!$C$111&lt;&gt;"",'ARDT Cutter Entry'!D113,'ARDT Cutter Entry'!D45))</f>
        <v>O1</v>
      </c>
      <c r="E14" s="167" t="str">
        <f>IF(OR(Data!$L$2=1,Data!$L$3=1),IF(OR(Data!BT48=0,Data!BT48=""),"","O"&amp;Data!BT48),IF('ARDT Cutter Entry'!$C$111&lt;&gt;"",'ARDT Cutter Entry'!E113,'ARDT Cutter Entry'!E45))</f>
        <v>O1</v>
      </c>
      <c r="F14" s="167" t="str">
        <f>IF(OR(Data!$L$2=1,Data!$L$3=1),IF(OR(Data!BU48=0,Data!BU48=""),"","O"&amp;Data!BU48),IF('ARDT Cutter Entry'!$C$111&lt;&gt;"",'ARDT Cutter Entry'!F113,'ARDT Cutter Entry'!F45))</f>
        <v>S3</v>
      </c>
      <c r="G14" s="167" t="str">
        <f>IF(OR(Data!$L$2=1,Data!$L$3=1),IF(OR(Data!BV48=0,Data!BV48=""),"","O"&amp;Data!BV48),IF('ARDT Cutter Entry'!$C$111&lt;&gt;"",'ARDT Cutter Entry'!G113,'ARDT Cutter Entry'!G45))</f>
        <v>O1</v>
      </c>
      <c r="H14" s="167" t="str">
        <f>IF(OR(Data!$L$2=1,Data!$L$3=1),IF(OR(Data!BW48=0,Data!BW48=""),"","O"&amp;Data!BW48),IF('ARDT Cutter Entry'!$C$111&lt;&gt;"",'ARDT Cutter Entry'!H113,'ARDT Cutter Entry'!H45))</f>
        <v>O2</v>
      </c>
      <c r="I14" s="167" t="str">
        <f>IF(OR(Data!$L$2=1,Data!$L$3=1),IF(OR(Data!BX48=0,Data!BX48=""),"","O"&amp;Data!BX48),IF('ARDT Cutter Entry'!$C$111&lt;&gt;"",'ARDT Cutter Entry'!I113,'ARDT Cutter Entry'!I45))</f>
        <v>O2</v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/>
      </c>
      <c r="M14" s="167" t="str">
        <f>IF(OR(Data!$L$2=1,Data!$L$3=1),IF(OR(Data!CB48=0,Data!CB48=""),"","O"&amp;Data!CB48),IF('ARDT Cutter Entry'!$C$111&lt;&gt;"",'ARDT Cutter Entry'!M113,'ARDT Cutter Entry'!M45))</f>
        <v/>
      </c>
      <c r="N14" s="167" t="str">
        <f>IF(OR(Data!$L$2=1,Data!$L$3=1),IF(OR(Data!CC48=0,Data!CC48=""),"","O"&amp;Data!CC48),IF('ARDT Cutter Entry'!$C$111&lt;&gt;"",'ARDT Cutter Entry'!N113,'ARDT Cutter Entry'!N45))</f>
        <v/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" customHeight="1" x14ac:dyDescent="0.25">
      <c r="A15" s="1870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O1</v>
      </c>
      <c r="D15" s="167" t="str">
        <f>IF(OR(Data!$L$2=1,Data!$L$3=1),IF(OR(Data!BS49=0,Data!BS49=""),"","O"&amp;Data!BS49),IF('ARDT Cutter Entry'!$C$111&lt;&gt;"",'ARDT Cutter Entry'!D114,'ARDT Cutter Entry'!D46))</f>
        <v>O1</v>
      </c>
      <c r="E15" s="167" t="str">
        <f>IF(OR(Data!$L$2=1,Data!$L$3=1),IF(OR(Data!BT49=0,Data!BT49=""),"","O"&amp;Data!BT49),IF('ARDT Cutter Entry'!$C$111&lt;&gt;"",'ARDT Cutter Entry'!E114,'ARDT Cutter Entry'!E46))</f>
        <v>O1</v>
      </c>
      <c r="F15" s="167" t="str">
        <f>IF(OR(Data!$L$2=1,Data!$L$3=1),IF(OR(Data!BU49=0,Data!BU49=""),"","O"&amp;Data!BU49),IF('ARDT Cutter Entry'!$C$111&lt;&gt;"",'ARDT Cutter Entry'!F114,'ARDT Cutter Entry'!F46))</f>
        <v>S3</v>
      </c>
      <c r="G15" s="167" t="str">
        <f>IF(OR(Data!$L$2=1,Data!$L$3=1),IF(OR(Data!BV49=0,Data!BV49=""),"","O"&amp;Data!BV49),IF('ARDT Cutter Entry'!$C$111&lt;&gt;"",'ARDT Cutter Entry'!G114,'ARDT Cutter Entry'!G46))</f>
        <v>O1</v>
      </c>
      <c r="H15" s="167" t="str">
        <f>IF(OR(Data!$L$2=1,Data!$L$3=1),IF(OR(Data!BW49=0,Data!BW49=""),"","O"&amp;Data!BW49),IF('ARDT Cutter Entry'!$C$111&lt;&gt;"",'ARDT Cutter Entry'!H114,'ARDT Cutter Entry'!H46))</f>
        <v>O1</v>
      </c>
      <c r="I15" s="167" t="str">
        <f>IF(OR(Data!$L$2=1,Data!$L$3=1),IF(OR(Data!BX49=0,Data!BX49=""),"","O"&amp;Data!BX49),IF('ARDT Cutter Entry'!$C$111&lt;&gt;"",'ARDT Cutter Entry'!I114,'ARDT Cutter Entry'!I46))</f>
        <v>O2</v>
      </c>
      <c r="J15" s="167" t="str">
        <f>IF(OR(Data!$L$2=1,Data!$L$3=1),IF(OR(Data!BY49=0,Data!BY49=""),"","O"&amp;Data!BY49),IF('ARDT Cutter Entry'!$C$111&lt;&gt;"",'ARDT Cutter Entry'!J114,'ARDT Cutter Entry'!J46))</f>
        <v>O2</v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/>
      </c>
      <c r="M15" s="167" t="str">
        <f>IF(OR(Data!$L$2=1,Data!$L$3=1),IF(OR(Data!CB49=0,Data!CB49=""),"","O"&amp;Data!CB49),IF('ARDT Cutter Entry'!$C$111&lt;&gt;"",'ARDT Cutter Entry'!M114,'ARDT Cutter Entry'!M46))</f>
        <v/>
      </c>
      <c r="N15" s="167" t="str">
        <f>IF(OR(Data!$L$2=1,Data!$L$3=1),IF(OR(Data!CC49=0,Data!CC49=""),"","O"&amp;Data!CC49),IF('ARDT Cutter Entry'!$C$111&lt;&gt;"",'ARDT Cutter Entry'!N114,'ARDT Cutter Entry'!N46))</f>
        <v/>
      </c>
      <c r="O15" s="167" t="str">
        <f>IF(OR(Data!$L$2=1,Data!$L$3=1),IF(OR(Data!CD49=0,Data!CD49=""),"","O"&amp;Data!CD49),IF('ARDT Cutter Entry'!$C$111&lt;&gt;"",'ARDT Cutter Entry'!O114,'ARDT Cutter Entry'!O46))</f>
        <v/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" customHeight="1" x14ac:dyDescent="0.25">
      <c r="A16" s="1870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S3</v>
      </c>
      <c r="D16" s="167" t="str">
        <f>IF(OR(Data!$L$2=1,Data!$L$3=1),IF(OR(Data!BS50=0,Data!BS50=""),"","O"&amp;Data!BS50),IF('ARDT Cutter Entry'!$C$111&lt;&gt;"",'ARDT Cutter Entry'!D115,'ARDT Cutter Entry'!D47))</f>
        <v>R3</v>
      </c>
      <c r="E16" s="167" t="str">
        <f>IF(OR(Data!$L$2=1,Data!$L$3=1),IF(OR(Data!BT50=0,Data!BT50=""),"","O"&amp;Data!BT50),IF('ARDT Cutter Entry'!$C$111&lt;&gt;"",'ARDT Cutter Entry'!E115,'ARDT Cutter Entry'!E47))</f>
        <v>O1</v>
      </c>
      <c r="F16" s="167" t="str">
        <f>IF(OR(Data!$L$2=1,Data!$L$3=1),IF(OR(Data!BU50=0,Data!BU50=""),"","O"&amp;Data!BU50),IF('ARDT Cutter Entry'!$C$111&lt;&gt;"",'ARDT Cutter Entry'!F115,'ARDT Cutter Entry'!F47))</f>
        <v>O2</v>
      </c>
      <c r="G16" s="167" t="str">
        <f>IF(OR(Data!$L$2=1,Data!$L$3=1),IF(OR(Data!BV50=0,Data!BV50=""),"","O"&amp;Data!BV50),IF('ARDT Cutter Entry'!$C$111&lt;&gt;"",'ARDT Cutter Entry'!G115,'ARDT Cutter Entry'!G47))</f>
        <v>O2</v>
      </c>
      <c r="H16" s="167" t="str">
        <f>IF(OR(Data!$L$2=1,Data!$L$3=1),IF(OR(Data!BW50=0,Data!BW50=""),"","O"&amp;Data!BW50),IF('ARDT Cutter Entry'!$C$111&lt;&gt;"",'ARDT Cutter Entry'!H115,'ARDT Cutter Entry'!H47))</f>
        <v/>
      </c>
      <c r="I16" s="167" t="str">
        <f>IF(OR(Data!$L$2=1,Data!$L$3=1),IF(OR(Data!BX50=0,Data!BX50=""),"","O"&amp;Data!BX50),IF('ARDT Cutter Entry'!$C$111&lt;&gt;"",'ARDT Cutter Entry'!I115,'ARDT Cutter Entry'!I47))</f>
        <v/>
      </c>
      <c r="J16" s="167" t="str">
        <f>IF(OR(Data!$L$2=1,Data!$L$3=1),IF(OR(Data!BY50=0,Data!BY50=""),"","O"&amp;Data!BY50),IF('ARDT Cutter Entry'!$C$111&lt;&gt;"",'ARDT Cutter Entry'!J115,'ARDT Cutter Entry'!J47))</f>
        <v/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/>
      </c>
      <c r="M16" s="167" t="str">
        <f>IF(OR(Data!$L$2=1,Data!$L$3=1),IF(OR(Data!CB50=0,Data!CB50=""),"","O"&amp;Data!CB50),IF('ARDT Cutter Entry'!$C$111&lt;&gt;"",'ARDT Cutter Entry'!M115,'ARDT Cutter Entry'!M47))</f>
        <v/>
      </c>
      <c r="N16" s="167" t="str">
        <f>IF(OR(Data!$L$2=1,Data!$L$3=1),IF(OR(Data!CC50=0,Data!CC50=""),"","O"&amp;Data!CC50),IF('ARDT Cutter Entry'!$C$111&lt;&gt;"",'ARDT Cutter Entry'!N115,'ARDT Cutter Entry'!N47))</f>
        <v/>
      </c>
      <c r="O16" s="167" t="str">
        <f>IF(OR(Data!$L$2=1,Data!$L$3=1),IF(OR(Data!CD50=0,Data!CD50=""),"","O"&amp;Data!CD50),IF('ARDT Cutter Entry'!$C$111&lt;&gt;"",'ARDT Cutter Entry'!O115,'ARDT Cutter Entry'!O47))</f>
        <v/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" customHeight="1" x14ac:dyDescent="0.25">
      <c r="A17" s="1870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/>
      </c>
      <c r="D17" s="167" t="str">
        <f>IF(OR(Data!$L$2=1,Data!$L$3=1),IF(OR(Data!BS51=0,Data!BS51=""),"","O"&amp;Data!BS51),IF('ARDT Cutter Entry'!$C$111&lt;&gt;"",'ARDT Cutter Entry'!D116,'ARDT Cutter Entry'!D48))</f>
        <v/>
      </c>
      <c r="E17" s="167" t="str">
        <f>IF(OR(Data!$L$2=1,Data!$L$3=1),IF(OR(Data!BT51=0,Data!BT51=""),"","O"&amp;Data!BT51),IF('ARDT Cutter Entry'!$C$111&lt;&gt;"",'ARDT Cutter Entry'!E116,'ARDT Cutter Entry'!E48))</f>
        <v/>
      </c>
      <c r="F17" s="167" t="str">
        <f>IF(OR(Data!$L$2=1,Data!$L$3=1),IF(OR(Data!BU51=0,Data!BU51=""),"","O"&amp;Data!BU51),IF('ARDT Cutter Entry'!$C$111&lt;&gt;"",'ARDT Cutter Entry'!F116,'ARDT Cutter Entry'!F48))</f>
        <v/>
      </c>
      <c r="G17" s="167" t="str">
        <f>IF(OR(Data!$L$2=1,Data!$L$3=1),IF(OR(Data!BV51=0,Data!BV51=""),"","O"&amp;Data!BV51),IF('ARDT Cutter Entry'!$C$111&lt;&gt;"",'ARDT Cutter Entry'!G116,'ARDT Cutter Entry'!G48))</f>
        <v/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/>
      </c>
      <c r="M17" s="167" t="str">
        <f>IF(OR(Data!$L$2=1,Data!$L$3=1),IF(OR(Data!CB51=0,Data!CB51=""),"","O"&amp;Data!CB51),IF('ARDT Cutter Entry'!$C$111&lt;&gt;"",'ARDT Cutter Entry'!M116,'ARDT Cutter Entry'!M48))</f>
        <v/>
      </c>
      <c r="N17" s="167" t="str">
        <f>IF(OR(Data!$L$2=1,Data!$L$3=1),IF(OR(Data!CC51=0,Data!CC51=""),"","O"&amp;Data!CC51),IF('ARDT Cutter Entry'!$C$111&lt;&gt;"",'ARDT Cutter Entry'!N116,'ARDT Cutter Entry'!N48))</f>
        <v/>
      </c>
      <c r="O17" s="167" t="str">
        <f>IF(OR(Data!$L$2=1,Data!$L$3=1),IF(OR(Data!CD51=0,Data!CD51=""),"","O"&amp;Data!CD51),IF('ARDT Cutter Entry'!$C$111&lt;&gt;"",'ARDT Cutter Entry'!O116,'ARDT Cutter Entry'!O48))</f>
        <v/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" customHeight="1" x14ac:dyDescent="0.25">
      <c r="A18" s="1870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" customHeight="1" x14ac:dyDescent="0.25">
      <c r="A19" s="1870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" customHeight="1" x14ac:dyDescent="0.25">
      <c r="A20" s="1870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" customHeight="1" x14ac:dyDescent="0.25">
      <c r="A21" s="1870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" customHeight="1" x14ac:dyDescent="0.25">
      <c r="A22" s="1870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" customHeight="1" thickBot="1" x14ac:dyDescent="0.3">
      <c r="A23" s="1871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0999999999999996" customHeight="1" thickBot="1" x14ac:dyDescent="0.3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3">
      <c r="A25" s="1806" t="s">
        <v>795</v>
      </c>
      <c r="B25" s="1806"/>
      <c r="C25" s="1806"/>
      <c r="D25" s="1806"/>
      <c r="E25" s="1814" t="str">
        <f>IF(Data!B11&lt;&gt;"",Data!B11," ")</f>
        <v>Yakoob Alajawad</v>
      </c>
      <c r="F25" s="1814"/>
      <c r="G25" s="1814"/>
      <c r="H25" s="1814"/>
      <c r="I25" s="1806" t="s">
        <v>796</v>
      </c>
      <c r="J25" s="1806"/>
      <c r="K25" s="1805" t="str">
        <f>IF(Data!B12&lt;&gt;"",Data!B12," ")</f>
        <v>Ramzi Kassab</v>
      </c>
      <c r="L25" s="1805"/>
      <c r="M25" s="1805"/>
      <c r="N25" s="1805"/>
      <c r="O25" s="1815" t="s">
        <v>36</v>
      </c>
      <c r="P25" s="1815"/>
      <c r="Q25" s="1807">
        <f>IF(Data!B13&lt;&gt;"",Data!B13," ")</f>
        <v>46035</v>
      </c>
      <c r="R25" s="1807"/>
      <c r="S25" s="1807"/>
      <c r="T25" s="1807"/>
      <c r="U25" s="451"/>
      <c r="V25" s="1629" t="s">
        <v>847</v>
      </c>
      <c r="W25" s="1629"/>
      <c r="X25" s="1629"/>
      <c r="Y25" s="464" t="str">
        <f>IF(Data!G32=1,"",IF(Data!B5&lt;&gt;"",IF(OR(AG25="√",AC25="√"),"","√"),""))</f>
        <v>√</v>
      </c>
      <c r="Z25" s="1629" t="s">
        <v>848</v>
      </c>
      <c r="AA25" s="1629"/>
      <c r="AB25" s="1630"/>
      <c r="AC25" s="464" t="str">
        <f>IF(OR(Data!L4=1,Data!L5=1), "√", "")</f>
        <v/>
      </c>
      <c r="AD25" s="1629" t="s">
        <v>849</v>
      </c>
      <c r="AE25" s="1629"/>
      <c r="AF25" s="1629"/>
      <c r="AG25" s="464" t="str">
        <f>IF(OR(Data!L2=1,Data!L3=1),"√","")</f>
        <v/>
      </c>
      <c r="AH25" s="450"/>
      <c r="AI25" s="452"/>
    </row>
    <row r="26" spans="1:35" ht="5.0999999999999996" customHeight="1" thickBot="1" x14ac:dyDescent="0.3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25">
      <c r="A27" s="1808" t="s">
        <v>1047</v>
      </c>
      <c r="B27" s="1801"/>
      <c r="C27" s="1801"/>
      <c r="D27" s="1801" t="s">
        <v>1048</v>
      </c>
      <c r="E27" s="1801"/>
      <c r="F27" s="1801" t="s">
        <v>1049</v>
      </c>
      <c r="G27" s="1801"/>
      <c r="H27" s="1801" t="s">
        <v>1050</v>
      </c>
      <c r="I27" s="1801"/>
      <c r="J27" s="1661" t="s">
        <v>1051</v>
      </c>
      <c r="K27" s="1661"/>
      <c r="L27" s="1801" t="s">
        <v>1052</v>
      </c>
      <c r="M27" s="1801"/>
      <c r="N27" s="1801" t="s">
        <v>21</v>
      </c>
      <c r="O27" s="1802"/>
      <c r="R27" s="1808" t="str">
        <f>IF(COUNTIF(N7,"S*"),"P.H.F.-P","P.B.U.-P")</f>
        <v>P.B.U.-P</v>
      </c>
      <c r="S27" s="1801"/>
      <c r="T27" s="1801"/>
      <c r="U27" s="1801" t="str">
        <f>IF(COUNTIF(N7,"S*"),"F.H.F.-V","F.B.U.-V")</f>
        <v>F.B.U.-V</v>
      </c>
      <c r="V27" s="1801"/>
      <c r="W27" s="1801"/>
      <c r="X27" s="1801" t="str">
        <f>IF(COUNTIF(N7,"S*"),"IA.H.F.-I","IA.B.U.-I")</f>
        <v>IA.B.U.-I</v>
      </c>
      <c r="Y27" s="1801"/>
      <c r="Z27" s="1802"/>
    </row>
    <row r="28" spans="1:35" ht="12.75" customHeight="1" thickBot="1" x14ac:dyDescent="0.3">
      <c r="A28" s="1813">
        <f>IF(OR(Data!L2=1,Data!L3=1),0,IF('Eng. Cutter Entry'!C4&lt;&gt;"",'ARDT Cutter Entry'!BI62,'ARDT Cutter Entry'!BI6))</f>
        <v>2</v>
      </c>
      <c r="B28" s="1803"/>
      <c r="C28" s="1803"/>
      <c r="D28" s="1803">
        <f>IF(OR(Data!L2=1,Data!L3=1),0,IF('Eng. Cutter Entry'!C4&lt;&gt;"",'ARDT Cutter Entry'!BI63,'ARDT Cutter Entry'!BI7))</f>
        <v>4</v>
      </c>
      <c r="E28" s="1803"/>
      <c r="F28" s="1803">
        <f>IF(OR(Data!L2=1,Data!L3=1),Data!BO63,IF('Eng. Cutter Entry'!C4&lt;&gt;"",'ARDT Cutter Entry'!BI65,'ARDT Cutter Entry'!BI9))</f>
        <v>27</v>
      </c>
      <c r="G28" s="1803"/>
      <c r="H28" s="1803">
        <f>IF(OR(Data!L2=1,Data!L3=1),0,IF('Eng. Cutter Entry'!C4&lt;&gt;"",'ARDT Cutter Entry'!BI64,'ARDT Cutter Entry'!BI8))</f>
        <v>0</v>
      </c>
      <c r="I28" s="1803"/>
      <c r="J28" s="1803">
        <f>IF(OR(Data!L2=1,Data!L3=1),0,IF('Eng. Cutter Entry'!C4&lt;&gt;"",'ARDT Cutter Entry'!BI58+'ARDT Cutter Entry'!BI59,'ARDT Cutter Entry'!BI2+'ARDT Cutter Entry'!BI3))</f>
        <v>0</v>
      </c>
      <c r="K28" s="1803"/>
      <c r="L28" s="1803">
        <f>IF(OR(Data!L2=1,Data!L3=1),0,IF('Eng. Cutter Entry'!C4&lt;&gt;"",'ARDT Cutter Entry'!BI60+'ARDT Cutter Entry'!BI61,'ARDT Cutter Entry'!BI4+'ARDT Cutter Entry'!BI5))</f>
        <v>0</v>
      </c>
      <c r="M28" s="1803"/>
      <c r="N28" s="1803">
        <f>IF(Data!BO63&lt;&gt;"",Data!BO63," ")</f>
        <v>33</v>
      </c>
      <c r="O28" s="1804"/>
      <c r="R28" s="1813">
        <f>IF(OR(Data!L2=1,Data!L3=1),0,IF('Eng. Cutter Entry'!C4&lt;&gt;"",'ARDT Cutter Entry'!AL62,'ARDT Cutter Entry'!AL2))</f>
        <v>0</v>
      </c>
      <c r="S28" s="1803"/>
      <c r="T28" s="1803"/>
      <c r="U28" s="1803">
        <f>IF(OR(Data!L2=1,Data!L3=1),0,IF('Eng. Cutter Entry'!C4&lt;&gt;"",'ARDT Cutter Entry'!AL64,'ARDT Cutter Entry'!AL4))</f>
        <v>0</v>
      </c>
      <c r="V28" s="1803"/>
      <c r="W28" s="1803"/>
      <c r="X28" s="1803">
        <f>IF(OR(Data!L2=1,Data!L3=1),0,IF('Eng. Cutter Entry'!C4&lt;&gt;"",'ARDT Cutter Entry'!AL63,'ARDT Cutter Entry'!AL3))</f>
        <v>0</v>
      </c>
      <c r="Y28" s="1803"/>
      <c r="Z28" s="1804"/>
    </row>
    <row r="29" spans="1:35" ht="7.5" customHeight="1" x14ac:dyDescent="0.25">
      <c r="A29" s="1854" t="s">
        <v>19</v>
      </c>
      <c r="B29" s="1854"/>
      <c r="C29" s="1854"/>
      <c r="D29" s="1643" t="str">
        <f>IF(Data!L2=1,"The bit is Rerunable, No need for repair. ",IF('ARDT Cutter Entry'!Y57=1,"Accepted as rerun by LSTK engineer",IF('ARDT Cutter Entry'!D21&lt;&gt;"",'ARDT Cutter Entry'!D21," ")))</f>
        <v>Re-evaluated by Engineer. Pin face erosion.</v>
      </c>
      <c r="E29" s="1643"/>
      <c r="F29" s="1643"/>
      <c r="G29" s="1643"/>
      <c r="H29" s="1643"/>
      <c r="I29" s="1643"/>
      <c r="J29" s="1643"/>
      <c r="K29" s="1643"/>
      <c r="L29" s="1643"/>
      <c r="M29" s="1643"/>
      <c r="N29" s="1643"/>
      <c r="O29" s="1643"/>
      <c r="P29" s="1643"/>
      <c r="Q29" s="1643"/>
      <c r="R29" s="1643"/>
      <c r="S29" s="1643"/>
      <c r="T29" s="1643"/>
      <c r="U29" s="1643"/>
      <c r="V29" s="1643"/>
      <c r="W29" s="1643"/>
      <c r="X29" s="1643"/>
      <c r="Y29" s="1643"/>
      <c r="Z29" s="1643"/>
      <c r="AA29" s="1643"/>
      <c r="AB29" s="1643"/>
      <c r="AC29" s="1643"/>
      <c r="AD29" s="1643"/>
      <c r="AE29" s="1643"/>
      <c r="AF29" s="1643"/>
      <c r="AG29" s="1643"/>
      <c r="AH29" s="1643"/>
      <c r="AI29" s="1643"/>
    </row>
    <row r="30" spans="1:35" ht="7.5" customHeight="1" x14ac:dyDescent="0.25">
      <c r="A30" s="1830" t="str">
        <f>IF(Instructions!$L$1&lt;&gt;"",Instructions!$L$1,"")</f>
        <v/>
      </c>
      <c r="B30" s="1830"/>
      <c r="C30" s="1830"/>
      <c r="D30" s="1643"/>
      <c r="E30" s="1643"/>
      <c r="F30" s="1643"/>
      <c r="G30" s="1643"/>
      <c r="H30" s="1643"/>
      <c r="I30" s="1643"/>
      <c r="J30" s="1643"/>
      <c r="K30" s="1643"/>
      <c r="L30" s="1643"/>
      <c r="M30" s="1643"/>
      <c r="N30" s="1643"/>
      <c r="O30" s="1643"/>
      <c r="P30" s="1643"/>
      <c r="Q30" s="1643"/>
      <c r="R30" s="1643"/>
      <c r="S30" s="1643"/>
      <c r="T30" s="1643"/>
      <c r="U30" s="1643"/>
      <c r="V30" s="1643"/>
      <c r="W30" s="1643"/>
      <c r="X30" s="1643"/>
      <c r="Y30" s="1643"/>
      <c r="Z30" s="1643"/>
      <c r="AA30" s="1643"/>
      <c r="AB30" s="1643"/>
      <c r="AC30" s="1643"/>
      <c r="AD30" s="1643"/>
      <c r="AE30" s="1643"/>
      <c r="AF30" s="1643"/>
      <c r="AG30" s="1643"/>
      <c r="AH30" s="1643"/>
      <c r="AI30" s="1643"/>
    </row>
    <row r="31" spans="1:35" ht="7.5" customHeight="1" x14ac:dyDescent="0.25">
      <c r="A31" s="1830"/>
      <c r="B31" s="1830"/>
      <c r="C31" s="1830"/>
      <c r="D31" s="1643"/>
      <c r="E31" s="1643"/>
      <c r="F31" s="1643"/>
      <c r="G31" s="1643"/>
      <c r="H31" s="1643"/>
      <c r="I31" s="1643"/>
      <c r="J31" s="1643"/>
      <c r="K31" s="1643"/>
      <c r="L31" s="1643"/>
      <c r="M31" s="1643"/>
      <c r="N31" s="1643"/>
      <c r="O31" s="1643"/>
      <c r="P31" s="1643"/>
      <c r="Q31" s="1643"/>
      <c r="R31" s="1643"/>
      <c r="S31" s="1643"/>
      <c r="T31" s="1643"/>
      <c r="U31" s="1643"/>
      <c r="V31" s="1643"/>
      <c r="W31" s="1643"/>
      <c r="X31" s="1643"/>
      <c r="Y31" s="1643"/>
      <c r="Z31" s="1643"/>
      <c r="AA31" s="1643"/>
      <c r="AB31" s="1643"/>
      <c r="AC31" s="1643"/>
      <c r="AD31" s="1643"/>
      <c r="AE31" s="1643"/>
      <c r="AF31" s="1643"/>
      <c r="AG31" s="1643"/>
      <c r="AH31" s="1643"/>
      <c r="AI31" s="1643"/>
    </row>
    <row r="32" spans="1:35" ht="4.5" customHeight="1" x14ac:dyDescent="0.2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25">
      <c r="B33" s="1644" t="s">
        <v>729</v>
      </c>
      <c r="C33" s="1644"/>
      <c r="D33" s="1644"/>
      <c r="E33" s="1644"/>
      <c r="F33" s="1644"/>
      <c r="G33" s="1644"/>
      <c r="H33" s="1805" t="str">
        <f>IF(Data!B14&lt;&gt;"",Data!B14," ")</f>
        <v>Murthada Turaifi</v>
      </c>
      <c r="I33" s="1805"/>
      <c r="J33" s="1805"/>
      <c r="K33" s="1805"/>
      <c r="L33" s="1805"/>
      <c r="O33" s="1806" t="s">
        <v>36</v>
      </c>
      <c r="P33" s="1806"/>
      <c r="Q33" s="1807">
        <f>IF(Data!B15&lt;&gt;"",Data!B15," ")</f>
        <v>46036</v>
      </c>
      <c r="R33" s="1807"/>
      <c r="S33" s="1807"/>
      <c r="T33" s="1807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3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3">
      <c r="A35" s="1856" t="s">
        <v>39</v>
      </c>
      <c r="B35" s="1857"/>
      <c r="C35" s="1857"/>
      <c r="D35" s="1857"/>
      <c r="E35" s="1857"/>
      <c r="F35" s="1857"/>
      <c r="G35" s="1857"/>
      <c r="H35" s="1857"/>
      <c r="I35" s="1857"/>
      <c r="J35" s="1857"/>
      <c r="K35" s="1857"/>
      <c r="L35" s="1857"/>
      <c r="M35" s="1857"/>
      <c r="N35" s="1857"/>
      <c r="O35" s="1857"/>
      <c r="P35" s="1857"/>
      <c r="Q35" s="1857"/>
      <c r="R35" s="1857"/>
      <c r="S35" s="1857"/>
      <c r="T35" s="1857"/>
      <c r="U35" s="1857"/>
      <c r="V35" s="1857"/>
      <c r="W35" s="1857"/>
      <c r="X35" s="1857"/>
      <c r="Y35" s="1857"/>
      <c r="Z35" s="1857"/>
      <c r="AA35" s="1857"/>
      <c r="AB35" s="1857"/>
      <c r="AC35" s="1857"/>
      <c r="AD35" s="1857"/>
      <c r="AE35" s="1857"/>
      <c r="AF35" s="1857"/>
      <c r="AG35" s="1857"/>
      <c r="AH35" s="1857"/>
      <c r="AI35" s="1858"/>
    </row>
    <row r="36" spans="1:35" ht="6.75" customHeight="1" x14ac:dyDescent="0.25">
      <c r="A36" s="1834" t="s">
        <v>108</v>
      </c>
      <c r="B36" s="1835"/>
      <c r="C36" s="1659" t="s">
        <v>40</v>
      </c>
      <c r="D36" s="1657"/>
      <c r="E36" s="1838"/>
      <c r="F36" s="1842" t="s">
        <v>41</v>
      </c>
      <c r="G36" s="1843"/>
      <c r="H36" s="1843"/>
      <c r="I36" s="1844"/>
      <c r="J36" s="1842" t="s">
        <v>730</v>
      </c>
      <c r="K36" s="1843"/>
      <c r="L36" s="1843"/>
      <c r="M36" s="1844"/>
      <c r="N36" s="1848" t="s">
        <v>43</v>
      </c>
      <c r="O36" s="1849"/>
      <c r="P36" s="1849"/>
      <c r="Q36" s="1849"/>
      <c r="R36" s="1849"/>
      <c r="S36" s="1849"/>
      <c r="T36" s="1849"/>
      <c r="U36" s="1849"/>
      <c r="V36" s="1849"/>
      <c r="W36" s="1849"/>
      <c r="X36" s="1849"/>
      <c r="Y36" s="1850"/>
      <c r="Z36" s="1861" t="s">
        <v>727</v>
      </c>
      <c r="AA36" s="1854"/>
      <c r="AB36" s="1854"/>
      <c r="AC36" s="1854"/>
      <c r="AD36" s="1862"/>
      <c r="AE36" s="1861" t="s">
        <v>728</v>
      </c>
      <c r="AF36" s="1854"/>
      <c r="AG36" s="1854"/>
      <c r="AH36" s="1854"/>
      <c r="AI36" s="1862"/>
    </row>
    <row r="37" spans="1:35" ht="6.75" customHeight="1" thickBot="1" x14ac:dyDescent="0.3">
      <c r="A37" s="1836"/>
      <c r="B37" s="1837"/>
      <c r="C37" s="1839"/>
      <c r="D37" s="1840"/>
      <c r="E37" s="1841"/>
      <c r="F37" s="1845"/>
      <c r="G37" s="1846"/>
      <c r="H37" s="1846"/>
      <c r="I37" s="1847"/>
      <c r="J37" s="1845"/>
      <c r="K37" s="1846"/>
      <c r="L37" s="1846"/>
      <c r="M37" s="1847"/>
      <c r="N37" s="1851"/>
      <c r="O37" s="1852"/>
      <c r="P37" s="1852"/>
      <c r="Q37" s="1852"/>
      <c r="R37" s="1852"/>
      <c r="S37" s="1852"/>
      <c r="T37" s="1852"/>
      <c r="U37" s="1852"/>
      <c r="V37" s="1852"/>
      <c r="W37" s="1852"/>
      <c r="X37" s="1852"/>
      <c r="Y37" s="1853"/>
      <c r="Z37" s="1863"/>
      <c r="AA37" s="1864"/>
      <c r="AB37" s="1864"/>
      <c r="AC37" s="1864"/>
      <c r="AD37" s="1865"/>
      <c r="AE37" s="1863"/>
      <c r="AF37" s="1864"/>
      <c r="AG37" s="1864"/>
      <c r="AH37" s="1864"/>
      <c r="AI37" s="1865"/>
    </row>
    <row r="38" spans="1:35" ht="11.45" customHeight="1" x14ac:dyDescent="0.25">
      <c r="A38" s="1427">
        <f>IF(TRIM(J38)="","",IF(Data!CX60&gt;0,IF(Data!CX60&lt;&gt;"", Data!CX60, " ")," "))</f>
        <v>1</v>
      </c>
      <c r="B38" s="1420"/>
      <c r="C38" s="1855">
        <f>IF(Quotation!$W$27=550,0,IF('Eng. Cutter Entry'!C4&lt;&gt;"",IF(Data!E12&gt;0,IF(Data!E12&lt;&gt;"", Data!E12,0),0),'ARDT Cutter Entry'!AQ2+'ARDT Cutter Entry'!AQ3+'ARDT Cutter Entry'!AQ4+'ARDT Cutter Entry'!AQ5))</f>
        <v>0</v>
      </c>
      <c r="D38" s="1855"/>
      <c r="E38" s="1855"/>
      <c r="F38" s="1855">
        <f>IF(Data!GK2&gt;0,IF(Data!GK2&lt;&gt;"",Data!GK2," ")," ")</f>
        <v>1313</v>
      </c>
      <c r="G38" s="1855"/>
      <c r="H38" s="1855"/>
      <c r="I38" s="1855"/>
      <c r="J38" s="1855">
        <f>IF(Data!GG2&gt;0,IF(Data!GG2&lt;&gt;"",IF(Data!GG2&lt;&gt;"Add the cutter in list",Data!GG2," ")," "),"")</f>
        <v>1145493</v>
      </c>
      <c r="K38" s="1855"/>
      <c r="L38" s="1855"/>
      <c r="M38" s="1855"/>
      <c r="N38" s="1855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O38" s="1855"/>
      <c r="P38" s="1855"/>
      <c r="Q38" s="1855"/>
      <c r="R38" s="1855"/>
      <c r="S38" s="1855" t="str">
        <f>IF(AND(Data!GR2&lt;&gt;"",Data!GR2&lt;&gt;0),Data!GR2,"")</f>
        <v/>
      </c>
      <c r="T38" s="1855"/>
      <c r="U38" s="1855"/>
      <c r="V38" s="1855"/>
      <c r="W38" s="1855"/>
      <c r="X38" s="1855"/>
      <c r="Y38" s="1855"/>
      <c r="Z38" s="1859" t="str">
        <f>IF(Data!L12=0,"",Data!L12)</f>
        <v/>
      </c>
      <c r="AA38" s="1859"/>
      <c r="AB38" s="1859"/>
      <c r="AC38" s="1859"/>
      <c r="AD38" s="1859"/>
      <c r="AE38" s="1859" t="str">
        <f t="shared" ref="AE38:AE44" si="0">IF(IFERROR(C38-Z38,C38)=0,"",IFERROR(C38-Z38,C38))</f>
        <v/>
      </c>
      <c r="AF38" s="1859"/>
      <c r="AG38" s="1859"/>
      <c r="AH38" s="1859"/>
      <c r="AI38" s="1860"/>
    </row>
    <row r="39" spans="1:35" ht="11.45" customHeight="1" x14ac:dyDescent="0.25">
      <c r="A39" s="1427">
        <f>IF(TRIM(J39)="","",IF(Data!CX61&gt;0,IF(Data!CX61&lt;&gt;"", Data!CX61, " ")," "))</f>
        <v>2</v>
      </c>
      <c r="B39" s="1420"/>
      <c r="C39" s="1775">
        <f>IF(Quotation!$W$27=550,0,IF('Eng. Cutter Entry'!C4&lt;&gt;"",IF(Data!E13&gt;0,IF(Data!E13&lt;&gt;"", Data!E13, 0),0),'ARDT Cutter Entry'!AR2+'ARDT Cutter Entry'!AR3+'ARDT Cutter Entry'!AR4+'ARDT Cutter Entry'!AR5))</f>
        <v>0</v>
      </c>
      <c r="D39" s="1775"/>
      <c r="E39" s="1775"/>
      <c r="F39" s="1775">
        <f>IF(Data!GK3&gt;0,IF(Data!GK3&lt;&gt;"",Data!GK3," ")," ")</f>
        <v>1308</v>
      </c>
      <c r="G39" s="1775"/>
      <c r="H39" s="1775"/>
      <c r="I39" s="1775"/>
      <c r="J39" s="1775">
        <f>IF(Data!GG3&gt;0,IF(Data!GG3&lt;&gt;"",IF(Data!GG3&lt;&gt;"Add the cutter in list",Data!GG3," ")," "),"")</f>
        <v>418525</v>
      </c>
      <c r="K39" s="1775"/>
      <c r="L39" s="1775"/>
      <c r="M39" s="1775"/>
      <c r="N39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O39" s="1775"/>
      <c r="P39" s="1775"/>
      <c r="Q39" s="1775"/>
      <c r="R39" s="1775"/>
      <c r="S39" s="1775" t="str">
        <f>IF(AND(Data!GR3&lt;&gt;"",Data!GR3&lt;&gt;0),Data!GR3,"")</f>
        <v/>
      </c>
      <c r="T39" s="1775"/>
      <c r="U39" s="1775"/>
      <c r="V39" s="1775"/>
      <c r="W39" s="1775"/>
      <c r="X39" s="1775"/>
      <c r="Y39" s="1775"/>
      <c r="Z39" s="1776" t="str">
        <f>IF(Data!L13=0,"",Data!L13)</f>
        <v/>
      </c>
      <c r="AA39" s="1776"/>
      <c r="AB39" s="1776"/>
      <c r="AC39" s="1776"/>
      <c r="AD39" s="1776"/>
      <c r="AE39" s="1776" t="str">
        <f t="shared" si="0"/>
        <v/>
      </c>
      <c r="AF39" s="1776"/>
      <c r="AG39" s="1776"/>
      <c r="AH39" s="1776"/>
      <c r="AI39" s="1777"/>
    </row>
    <row r="40" spans="1:35" ht="11.45" customHeight="1" x14ac:dyDescent="0.25">
      <c r="A40" s="1427">
        <f>IF(TRIM(J40)="","",IF(Data!CX62&gt;0,IF(Data!CX62&lt;&gt;"", Data!CX62, " ")," "))</f>
        <v>3</v>
      </c>
      <c r="B40" s="1420"/>
      <c r="C40" s="1775">
        <f>IF(Quotation!$W$27=550,0,IF('Eng. Cutter Entry'!C4&lt;&gt;"",IF(Data!E14&gt;0,IF(Data!E14&lt;&gt;"", Data!E14, 0),0),'ARDT Cutter Entry'!AS2+'ARDT Cutter Entry'!AS3+'ARDT Cutter Entry'!AS4+'ARDT Cutter Entry'!AS5))</f>
        <v>0</v>
      </c>
      <c r="D40" s="1775"/>
      <c r="E40" s="1775"/>
      <c r="F40" s="1775">
        <f>IF(Data!GK4&gt;0,IF(Data!GK4&lt;&gt;"",Data!GK4," ")," ")</f>
        <v>1313</v>
      </c>
      <c r="G40" s="1775"/>
      <c r="H40" s="1775"/>
      <c r="I40" s="1775"/>
      <c r="J40" s="1775">
        <f>IF(Data!GG4&gt;0,IF(Data!GG4&lt;&gt;"",IF(Data!GG4&lt;&gt;"Add the cutter in list",Data!GG4," ")," "),"")</f>
        <v>1209332</v>
      </c>
      <c r="K40" s="1775"/>
      <c r="L40" s="1775"/>
      <c r="M40" s="1775"/>
      <c r="N40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O40" s="1775"/>
      <c r="P40" s="1775"/>
      <c r="Q40" s="1775"/>
      <c r="R40" s="1775"/>
      <c r="S40" s="1775" t="str">
        <f>IF(AND(Data!GR4&lt;&gt;"",Data!GR4&lt;&gt;0),Data!GR4,"")</f>
        <v/>
      </c>
      <c r="T40" s="1775"/>
      <c r="U40" s="1775"/>
      <c r="V40" s="1775"/>
      <c r="W40" s="1775"/>
      <c r="X40" s="1775"/>
      <c r="Y40" s="1775"/>
      <c r="Z40" s="1776" t="str">
        <f>IF(Data!L14=0,"",Data!L14)</f>
        <v/>
      </c>
      <c r="AA40" s="1776"/>
      <c r="AB40" s="1776"/>
      <c r="AC40" s="1776"/>
      <c r="AD40" s="1776"/>
      <c r="AE40" s="1776" t="str">
        <f t="shared" si="0"/>
        <v/>
      </c>
      <c r="AF40" s="1776"/>
      <c r="AG40" s="1776"/>
      <c r="AH40" s="1776"/>
      <c r="AI40" s="1777"/>
    </row>
    <row r="41" spans="1:35" ht="11.45" customHeight="1" x14ac:dyDescent="0.25">
      <c r="A41" s="1427">
        <f>IF(TRIM(J41)="","",IF(Data!CX63&gt;0,IF(Data!CX63&lt;&gt;"", Data!CX63, " ")," "))</f>
        <v>4</v>
      </c>
      <c r="B41" s="1420"/>
      <c r="C41" s="1775">
        <f>IF(Quotation!$W$27=550,0,IF('Eng. Cutter Entry'!C4&lt;&gt;"",IF(Data!E15&gt;0,IF(Data!E15&lt;&gt;"", Data!E15, 0),0),'ARDT Cutter Entry'!AT2+'ARDT Cutter Entry'!AT3+'ARDT Cutter Entry'!AT4+'ARDT Cutter Entry'!AT5))</f>
        <v>0</v>
      </c>
      <c r="D41" s="1775"/>
      <c r="E41" s="1775"/>
      <c r="F41" s="1775">
        <f>IF(Data!GK5&gt;0,IF(Data!GK5&lt;&gt;"",Data!GK5," ")," ")</f>
        <v>1313</v>
      </c>
      <c r="G41" s="1775"/>
      <c r="H41" s="1775"/>
      <c r="I41" s="1775"/>
      <c r="J41" s="1775">
        <f>IF(Data!GG5&gt;0,IF(Data!GG5&lt;&gt;"",IF(Data!GG5&lt;&gt;"Add the cutter in list",Data!GG5," ")," "),"")</f>
        <v>1146346</v>
      </c>
      <c r="K41" s="1775"/>
      <c r="L41" s="1775"/>
      <c r="M41" s="1775"/>
      <c r="N41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O41" s="1775"/>
      <c r="P41" s="1775"/>
      <c r="Q41" s="1775"/>
      <c r="R41" s="1775"/>
      <c r="S41" s="1775" t="str">
        <f>IF(AND(Data!GR5&lt;&gt;"",Data!GR5&lt;&gt;0),Data!GR5,"")</f>
        <v/>
      </c>
      <c r="T41" s="1775"/>
      <c r="U41" s="1775"/>
      <c r="V41" s="1775"/>
      <c r="W41" s="1775"/>
      <c r="X41" s="1775"/>
      <c r="Y41" s="1775"/>
      <c r="Z41" s="1776" t="str">
        <f>IF(Data!L15=0,"",Data!L15)</f>
        <v/>
      </c>
      <c r="AA41" s="1776"/>
      <c r="AB41" s="1776"/>
      <c r="AC41" s="1776"/>
      <c r="AD41" s="1776"/>
      <c r="AE41" s="1776" t="str">
        <f t="shared" si="0"/>
        <v/>
      </c>
      <c r="AF41" s="1776"/>
      <c r="AG41" s="1776"/>
      <c r="AH41" s="1776"/>
      <c r="AI41" s="1777"/>
    </row>
    <row r="42" spans="1:35" ht="11.45" customHeight="1" x14ac:dyDescent="0.25">
      <c r="A42" s="1427">
        <f>IF(TRIM(J42)="","",IF(Data!CX64&gt;0,IF(Data!CX64&lt;&gt;"", Data!CX64, " ")," "))</f>
        <v>5</v>
      </c>
      <c r="B42" s="1420"/>
      <c r="C42" s="1775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75"/>
      <c r="E42" s="1775"/>
      <c r="F42" s="1775">
        <f>IF(Data!GK6&gt;0,IF(Data!GK6&lt;&gt;"",Data!GK6," ")," ")</f>
        <v>1313</v>
      </c>
      <c r="G42" s="1775"/>
      <c r="H42" s="1775"/>
      <c r="I42" s="1775"/>
      <c r="J42" s="1775">
        <f>IF(Data!GG6&gt;0,IF(Data!GG6&lt;&gt;"",IF(Data!GG6&lt;&gt;"Add the cutter in list",Data!GG6," ")," "),"")</f>
        <v>2001155</v>
      </c>
      <c r="K42" s="1775"/>
      <c r="L42" s="1775"/>
      <c r="M42" s="1775"/>
      <c r="N42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O42" s="1775"/>
      <c r="P42" s="1775"/>
      <c r="Q42" s="1775"/>
      <c r="R42" s="1775"/>
      <c r="S42" s="1775" t="str">
        <f>IF(AND(Data!GR6&lt;&gt;"",Data!GR6&lt;&gt;0),Data!GR6,"")</f>
        <v/>
      </c>
      <c r="T42" s="1775"/>
      <c r="U42" s="1775"/>
      <c r="V42" s="1775"/>
      <c r="W42" s="1775"/>
      <c r="X42" s="1775"/>
      <c r="Y42" s="1775"/>
      <c r="Z42" s="1776" t="str">
        <f>IF(Data!L16=0,"",Data!L16)</f>
        <v/>
      </c>
      <c r="AA42" s="1776"/>
      <c r="AB42" s="1776"/>
      <c r="AC42" s="1776"/>
      <c r="AD42" s="1776"/>
      <c r="AE42" s="1776" t="str">
        <f t="shared" si="0"/>
        <v/>
      </c>
      <c r="AF42" s="1776"/>
      <c r="AG42" s="1776"/>
      <c r="AH42" s="1776"/>
      <c r="AI42" s="1777"/>
    </row>
    <row r="43" spans="1:35" ht="11.45" customHeight="1" x14ac:dyDescent="0.25">
      <c r="A43" s="1427" t="str">
        <f>IF(TRIM(J43)="","",IF(Data!CX65&gt;0,IF(Data!CX65&lt;&gt;"", Data!CX65, " ")," "))</f>
        <v/>
      </c>
      <c r="B43" s="1420"/>
      <c r="C43" s="1775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75"/>
      <c r="E43" s="1775"/>
      <c r="F43" s="1775" t="str">
        <f>IF(Data!GK7&gt;0,IF(Data!GK7&lt;&gt;"",Data!GK7," ")," ")</f>
        <v xml:space="preserve"> </v>
      </c>
      <c r="G43" s="1775"/>
      <c r="H43" s="1775"/>
      <c r="I43" s="1775"/>
      <c r="J43" s="1775" t="str">
        <f>IF(Data!GG7&gt;0,IF(Data!GG7&lt;&gt;"",IF(Data!GG7&lt;&gt;"Add the cutter in list",Data!GG7," ")," "),"")</f>
        <v xml:space="preserve"> </v>
      </c>
      <c r="K43" s="1775"/>
      <c r="L43" s="1775"/>
      <c r="M43" s="1775"/>
      <c r="N43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75"/>
      <c r="P43" s="1775"/>
      <c r="Q43" s="1775"/>
      <c r="R43" s="1775"/>
      <c r="S43" s="1775" t="str">
        <f>IF(AND(Data!GR7&lt;&gt;"",Data!GR7&lt;&gt;0),Data!GR7,"")</f>
        <v/>
      </c>
      <c r="T43" s="1775"/>
      <c r="U43" s="1775"/>
      <c r="V43" s="1775"/>
      <c r="W43" s="1775"/>
      <c r="X43" s="1775"/>
      <c r="Y43" s="1775"/>
      <c r="Z43" s="1776" t="str">
        <f>IF(Data!L17=0,"",Data!L17)</f>
        <v/>
      </c>
      <c r="AA43" s="1776"/>
      <c r="AB43" s="1776"/>
      <c r="AC43" s="1776"/>
      <c r="AD43" s="1776"/>
      <c r="AE43" s="1776" t="str">
        <f t="shared" si="0"/>
        <v/>
      </c>
      <c r="AF43" s="1776"/>
      <c r="AG43" s="1776"/>
      <c r="AH43" s="1776"/>
      <c r="AI43" s="1777"/>
    </row>
    <row r="44" spans="1:35" ht="11.45" customHeight="1" x14ac:dyDescent="0.25">
      <c r="A44" s="1427" t="str">
        <f>IF(TRIM(J44)="","",IF(Data!CX66&gt;0,IF(Data!CX66&lt;&gt;"", Data!CX66, " ")," "))</f>
        <v/>
      </c>
      <c r="B44" s="1420"/>
      <c r="C44" s="1775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75"/>
      <c r="E44" s="1775"/>
      <c r="F44" s="1775" t="str">
        <f>IF(Data!GK8&gt;0,IF(Data!GK8&lt;&gt;"",Data!GK8," ")," ")</f>
        <v xml:space="preserve"> </v>
      </c>
      <c r="G44" s="1775"/>
      <c r="H44" s="1775"/>
      <c r="I44" s="1775"/>
      <c r="J44" s="1775" t="str">
        <f>IF(Data!GG8&gt;0,IF(Data!GG8&lt;&gt;"",IF(Data!GG8&lt;&gt;"Add the cutter in list",Data!GG8," ")," "),"")</f>
        <v xml:space="preserve"> </v>
      </c>
      <c r="K44" s="1775"/>
      <c r="L44" s="1775"/>
      <c r="M44" s="1775"/>
      <c r="N44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75"/>
      <c r="P44" s="1775"/>
      <c r="Q44" s="1775"/>
      <c r="R44" s="1775"/>
      <c r="S44" s="1775" t="str">
        <f>IF(AND(Data!GR8&lt;&gt;"",Data!GR8&lt;&gt;0),Data!GR8,"")</f>
        <v/>
      </c>
      <c r="T44" s="1775"/>
      <c r="U44" s="1775"/>
      <c r="V44" s="1775"/>
      <c r="W44" s="1775"/>
      <c r="X44" s="1775"/>
      <c r="Y44" s="1775"/>
      <c r="Z44" s="1776" t="str">
        <f>IF(Data!L18=0,"",Data!L18)</f>
        <v/>
      </c>
      <c r="AA44" s="1776"/>
      <c r="AB44" s="1776"/>
      <c r="AC44" s="1776"/>
      <c r="AD44" s="1776"/>
      <c r="AE44" s="1776" t="str">
        <f t="shared" si="0"/>
        <v/>
      </c>
      <c r="AF44" s="1776"/>
      <c r="AG44" s="1776"/>
      <c r="AH44" s="1776"/>
      <c r="AI44" s="1777"/>
    </row>
    <row r="45" spans="1:35" ht="11.45" customHeight="1" x14ac:dyDescent="0.25">
      <c r="A45" s="1427" t="str">
        <f>IF(TRIM(J45)="","",IF(Data!CX67&gt;0,IF(Data!CX67&lt;&gt;"", Data!CX67, " ")," "))</f>
        <v/>
      </c>
      <c r="B45" s="1420"/>
      <c r="C45" s="1775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75"/>
      <c r="E45" s="1775"/>
      <c r="F45" s="1775" t="str">
        <f>IF(Data!GK9&gt;0,IF(Data!GK9&lt;&gt;"",Data!GK9," ")," ")</f>
        <v xml:space="preserve"> </v>
      </c>
      <c r="G45" s="1775"/>
      <c r="H45" s="1775"/>
      <c r="I45" s="1775"/>
      <c r="J45" s="1775" t="str">
        <f>IF(Data!GG9&gt;0,IF(Data!GG9&lt;&gt;"",IF(Data!GG9&lt;&gt;"Add the cutter in list",Data!GG9," ")," "),"")</f>
        <v xml:space="preserve"> </v>
      </c>
      <c r="K45" s="1775"/>
      <c r="L45" s="1775"/>
      <c r="M45" s="1775"/>
      <c r="N45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75"/>
      <c r="P45" s="1775"/>
      <c r="Q45" s="1775"/>
      <c r="R45" s="1775"/>
      <c r="S45" s="1775" t="str">
        <f>IF(AND(Data!GR9&lt;&gt;"",Data!GR9&lt;&gt;0),Data!GR9,"")</f>
        <v/>
      </c>
      <c r="T45" s="1775"/>
      <c r="U45" s="1775"/>
      <c r="V45" s="1775"/>
      <c r="W45" s="1775"/>
      <c r="X45" s="1775"/>
      <c r="Y45" s="1775"/>
      <c r="Z45" s="1776" t="str">
        <f>IF(Data!L19=0,"",Data!L19)</f>
        <v/>
      </c>
      <c r="AA45" s="1776"/>
      <c r="AB45" s="1776"/>
      <c r="AC45" s="1776"/>
      <c r="AD45" s="1776"/>
      <c r="AE45" s="1776" t="str">
        <f>IF(IFERROR(C45-Z45,C45)=0,"",IFERROR(C45-Z45,C45))</f>
        <v/>
      </c>
      <c r="AF45" s="1776"/>
      <c r="AG45" s="1776"/>
      <c r="AH45" s="1776"/>
      <c r="AI45" s="1777"/>
    </row>
    <row r="46" spans="1:35" ht="11.45" customHeight="1" x14ac:dyDescent="0.25">
      <c r="A46" s="1427" t="str">
        <f>IF(TRIM(J46)="","",IF(Data!CX68&gt;0,IF(Data!CX68&lt;&gt;"", Data!CX68, " ")," "))</f>
        <v/>
      </c>
      <c r="B46" s="1420"/>
      <c r="C46" s="1775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75"/>
      <c r="E46" s="1775"/>
      <c r="F46" s="1775" t="str">
        <f>IF(Data!GK10&gt;0,IF(Data!GK10&lt;&gt;"",Data!GK10," ")," ")</f>
        <v xml:space="preserve"> </v>
      </c>
      <c r="G46" s="1775"/>
      <c r="H46" s="1775"/>
      <c r="I46" s="1775"/>
      <c r="J46" s="1775" t="str">
        <f>IF(Data!GG10&gt;0,IF(Data!GG10&lt;&gt;"",IF(Data!GG10&lt;&gt;"Add the cutter in list",Data!GG10," ")," "),"")</f>
        <v xml:space="preserve"> </v>
      </c>
      <c r="K46" s="1775"/>
      <c r="L46" s="1775"/>
      <c r="M46" s="1775"/>
      <c r="N46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75"/>
      <c r="P46" s="1775"/>
      <c r="Q46" s="1775"/>
      <c r="R46" s="1775"/>
      <c r="S46" s="1775" t="str">
        <f>IF(AND(Data!GR10&lt;&gt;"",Data!GR10&lt;&gt;0),Data!GR10,"")</f>
        <v/>
      </c>
      <c r="T46" s="1775"/>
      <c r="U46" s="1775"/>
      <c r="V46" s="1775"/>
      <c r="W46" s="1775"/>
      <c r="X46" s="1775"/>
      <c r="Y46" s="1775"/>
      <c r="Z46" s="1776" t="str">
        <f>IF(Data!L20=0,"",Data!L20)</f>
        <v/>
      </c>
      <c r="AA46" s="1776"/>
      <c r="AB46" s="1776"/>
      <c r="AC46" s="1776"/>
      <c r="AD46" s="1776"/>
      <c r="AE46" s="1776" t="str">
        <f>IF(IFERROR(C46-Z46,C46)=0,"",IFERROR(C46-Z46,C46))</f>
        <v/>
      </c>
      <c r="AF46" s="1776"/>
      <c r="AG46" s="1776"/>
      <c r="AH46" s="1776"/>
      <c r="AI46" s="1777"/>
    </row>
    <row r="47" spans="1:35" ht="11.45" customHeight="1" x14ac:dyDescent="0.25">
      <c r="A47" s="1427" t="str">
        <f>IF(TRIM(J47)="","",IF(Data!CX69&gt;0,IF(Data!CX69&lt;&gt;"", Data!CX69, " ")," "))</f>
        <v/>
      </c>
      <c r="B47" s="1420"/>
      <c r="C47" s="1775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75"/>
      <c r="E47" s="1775"/>
      <c r="F47" s="1775" t="str">
        <f>IF(Data!GK11&gt;0,IF(Data!GK11&lt;&gt;"",Data!GK11," ")," ")</f>
        <v xml:space="preserve"> </v>
      </c>
      <c r="G47" s="1775"/>
      <c r="H47" s="1775"/>
      <c r="I47" s="1775"/>
      <c r="J47" s="1775" t="str">
        <f>IF(Data!GG11&gt;0,IF(Data!GG11&lt;&gt;"",IF(Data!GG11&lt;&gt;"Add the cutter in list",Data!GG11," ")," "),"")</f>
        <v xml:space="preserve"> </v>
      </c>
      <c r="K47" s="1775"/>
      <c r="L47" s="1775"/>
      <c r="M47" s="1775"/>
      <c r="N47" s="177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75"/>
      <c r="P47" s="1775"/>
      <c r="Q47" s="1775"/>
      <c r="R47" s="1775"/>
      <c r="S47" s="1775" t="str">
        <f>IF(AND(Data!GR11&lt;&gt;"",Data!GR11&lt;&gt;0),Data!GR11,"")</f>
        <v/>
      </c>
      <c r="T47" s="1775"/>
      <c r="U47" s="1775"/>
      <c r="V47" s="1775"/>
      <c r="W47" s="1775"/>
      <c r="X47" s="1775"/>
      <c r="Y47" s="1775"/>
      <c r="Z47" s="1776" t="str">
        <f>IF(Data!L21=0,"",Data!L21)</f>
        <v/>
      </c>
      <c r="AA47" s="1776"/>
      <c r="AB47" s="1776"/>
      <c r="AC47" s="1776"/>
      <c r="AD47" s="1776"/>
      <c r="AE47" s="1776" t="str">
        <f>IF(IFERROR(C47-Z47,C47)=0,"",IFERROR(C47-Z47,C47))</f>
        <v/>
      </c>
      <c r="AF47" s="1776"/>
      <c r="AG47" s="1776"/>
      <c r="AH47" s="1776"/>
      <c r="AI47" s="1777"/>
    </row>
    <row r="48" spans="1:35" ht="11.45" customHeight="1" thickBot="1" x14ac:dyDescent="0.3">
      <c r="A48" s="1826" t="s">
        <v>21</v>
      </c>
      <c r="B48" s="1823"/>
      <c r="C48" s="1823">
        <f>SUM(C38:E47)</f>
        <v>0</v>
      </c>
      <c r="D48" s="1823"/>
      <c r="E48" s="1823"/>
      <c r="F48" s="1823"/>
      <c r="G48" s="1823"/>
      <c r="H48" s="1823"/>
      <c r="I48" s="1823"/>
      <c r="J48" s="1823"/>
      <c r="K48" s="1823"/>
      <c r="L48" s="1823"/>
      <c r="M48" s="1823"/>
      <c r="N48" s="1823"/>
      <c r="O48" s="1823"/>
      <c r="P48" s="1823"/>
      <c r="Q48" s="1823"/>
      <c r="R48" s="1823"/>
      <c r="S48" s="1823"/>
      <c r="T48" s="1823"/>
      <c r="U48" s="1823"/>
      <c r="V48" s="1823"/>
      <c r="W48" s="1823"/>
      <c r="X48" s="1823"/>
      <c r="Y48" s="1823"/>
      <c r="Z48" s="1824">
        <f>SUM(Z38:AD47)</f>
        <v>0</v>
      </c>
      <c r="AA48" s="1824"/>
      <c r="AB48" s="1824"/>
      <c r="AC48" s="1824"/>
      <c r="AD48" s="1824"/>
      <c r="AE48" s="1824">
        <f>SUM(AE38:AI47)</f>
        <v>0</v>
      </c>
      <c r="AF48" s="1824"/>
      <c r="AG48" s="1824"/>
      <c r="AH48" s="1824"/>
      <c r="AI48" s="1825"/>
    </row>
    <row r="49" spans="1:35" ht="3.75" customHeight="1" x14ac:dyDescent="0.2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25">
      <c r="A50" s="1629" t="s">
        <v>733</v>
      </c>
      <c r="B50" s="1629"/>
      <c r="C50" s="1629"/>
      <c r="D50" s="1629"/>
      <c r="E50" s="1812"/>
      <c r="F50" s="1812"/>
      <c r="G50" s="1812"/>
      <c r="H50" s="1812"/>
      <c r="I50" s="1832" t="s">
        <v>1079</v>
      </c>
      <c r="J50" s="1832"/>
      <c r="K50" s="1160"/>
      <c r="L50" s="1160"/>
      <c r="M50" s="1160"/>
      <c r="N50" s="1160"/>
      <c r="O50" s="1160"/>
      <c r="P50" s="1160"/>
      <c r="Q50" s="1644" t="s">
        <v>1053</v>
      </c>
      <c r="R50" s="1644"/>
      <c r="S50" s="1644"/>
      <c r="T50" s="1644"/>
      <c r="U50" s="1644"/>
      <c r="V50" s="1644"/>
      <c r="W50" s="1831"/>
      <c r="X50" s="1831"/>
      <c r="Y50" s="1831"/>
      <c r="Z50" s="1831"/>
      <c r="AA50" s="1644" t="s">
        <v>1045</v>
      </c>
      <c r="AB50" s="1644"/>
      <c r="AC50" s="1644"/>
      <c r="AD50" s="1644"/>
      <c r="AE50" s="1831"/>
      <c r="AF50" s="1831"/>
      <c r="AG50" s="1831"/>
      <c r="AH50" s="1831"/>
      <c r="AI50" s="1831"/>
    </row>
    <row r="51" spans="1:35" ht="5.0999999999999996" customHeight="1" x14ac:dyDescent="0.25">
      <c r="A51" s="1629"/>
      <c r="B51" s="1629"/>
      <c r="C51" s="1629"/>
      <c r="D51" s="1629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00000000000001" customHeight="1" x14ac:dyDescent="0.2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0999999999999996" customHeight="1" x14ac:dyDescent="0.2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00000000000001" customHeight="1" x14ac:dyDescent="0.25">
      <c r="G54" s="468"/>
      <c r="H54" s="462"/>
      <c r="I54" s="462"/>
      <c r="K54" s="468"/>
      <c r="U54" s="1629"/>
      <c r="V54" s="1629"/>
      <c r="W54" s="1629"/>
      <c r="X54" s="1629"/>
    </row>
    <row r="55" spans="1:35" ht="5.0999999999999996" customHeight="1" x14ac:dyDescent="0.2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0999999999999996" customHeight="1" x14ac:dyDescent="0.25"/>
  </sheetData>
  <sheetProtection formatCells="0" formatColumns="0" formatRows="0" insertColumns="0" insertRows="0" insertHyperlinks="0" deleteColumns="0" deleteRows="0" sort="0" autoFilter="0" pivotTables="0"/>
  <mergeCells count="165"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40625" defaultRowHeight="15" x14ac:dyDescent="0.25"/>
  <cols>
    <col min="1" max="35" width="3.28515625" customWidth="1"/>
    <col min="36" max="36" width="10.28515625" customWidth="1"/>
    <col min="37" max="37" width="3" customWidth="1"/>
    <col min="38" max="38" width="9.85546875" customWidth="1"/>
    <col min="39" max="39" width="9.140625" customWidth="1"/>
    <col min="40" max="40" width="15.7109375" customWidth="1"/>
  </cols>
  <sheetData>
    <row r="1" spans="1:37" ht="21.95" customHeight="1" x14ac:dyDescent="0.25">
      <c r="A1" s="450"/>
      <c r="B1" s="450"/>
      <c r="C1" s="450"/>
      <c r="D1" s="450"/>
      <c r="E1" s="1915" t="s">
        <v>22</v>
      </c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450"/>
      <c r="AC1" s="450"/>
      <c r="AD1" s="450"/>
      <c r="AE1" s="450"/>
      <c r="AF1" s="450"/>
      <c r="AG1" s="450"/>
      <c r="AH1" s="450"/>
      <c r="AI1" s="450"/>
    </row>
    <row r="2" spans="1:37" ht="5.0999999999999996" customHeight="1" thickBot="1" x14ac:dyDescent="0.3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27"/>
      <c r="AA2" s="1927"/>
    </row>
    <row r="3" spans="1:37" ht="18" customHeight="1" thickBot="1" x14ac:dyDescent="0.3">
      <c r="A3" s="450"/>
      <c r="B3" s="450"/>
      <c r="C3" s="450"/>
      <c r="D3" s="450"/>
      <c r="E3" s="1928" t="s">
        <v>70</v>
      </c>
      <c r="F3" s="1929"/>
      <c r="G3" s="1929"/>
      <c r="H3" s="1929"/>
      <c r="I3" s="1929"/>
      <c r="J3" s="1929"/>
      <c r="K3" s="1929"/>
      <c r="L3" s="1929"/>
      <c r="M3" s="1929"/>
      <c r="N3" s="1929"/>
      <c r="O3" s="1929"/>
      <c r="P3" s="1929"/>
      <c r="Q3" s="1930"/>
      <c r="R3" s="1908" t="s">
        <v>33</v>
      </c>
      <c r="S3" s="1908"/>
      <c r="T3" s="1908"/>
      <c r="U3" s="1908"/>
      <c r="V3" s="1908"/>
      <c r="W3" s="1922">
        <f>IF(Data!B24&lt;&gt;"",Data!B24,IFERROR(VLOOKUP(Data!$B$7,Data!F63:G70,2,FALSE),""))</f>
        <v>960031408</v>
      </c>
      <c r="X3" s="1923"/>
      <c r="Y3" s="1923"/>
      <c r="Z3" s="1923"/>
      <c r="AA3" s="1924"/>
    </row>
    <row r="4" spans="1:37" ht="5.099999999999999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3">
      <c r="E5" s="1629" t="s">
        <v>735</v>
      </c>
      <c r="F5" s="1629"/>
      <c r="G5" s="1629"/>
      <c r="H5" s="1629"/>
      <c r="I5" s="1629"/>
      <c r="J5" s="1629"/>
      <c r="K5" s="1557">
        <f>IF(Data!B1&lt;&gt;"", Data!B1, " ")</f>
        <v>20261004</v>
      </c>
      <c r="L5" s="1627"/>
      <c r="M5" s="1627"/>
      <c r="N5" s="1627"/>
      <c r="O5" s="1627"/>
      <c r="P5" s="1627"/>
      <c r="Q5" s="1558"/>
      <c r="R5" s="1644" t="s">
        <v>832</v>
      </c>
      <c r="S5" s="1644"/>
      <c r="T5" s="1644"/>
      <c r="U5" s="1644"/>
      <c r="V5" s="1644"/>
      <c r="W5" s="1919">
        <f>IF(Data!B6&lt;&gt;"",Data!B6," ")</f>
        <v>46035</v>
      </c>
      <c r="X5" s="1920"/>
      <c r="Y5" s="1920"/>
      <c r="Z5" s="1920"/>
      <c r="AA5" s="1921"/>
    </row>
    <row r="6" spans="1:37" ht="5.099999999999999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3">
      <c r="A7" s="450"/>
      <c r="B7" s="1629" t="s">
        <v>28</v>
      </c>
      <c r="C7" s="1629"/>
      <c r="D7" s="1629"/>
      <c r="E7" s="1557" t="str">
        <f>IF(Data!B2&lt;&gt;"",IFERROR(LEFT(Data!B2,FIND("R",Data!B2)),Data!B2),"")</f>
        <v>14304769R</v>
      </c>
      <c r="F7" s="1627"/>
      <c r="G7" s="1627"/>
      <c r="H7" s="1627"/>
      <c r="I7" s="1627"/>
      <c r="J7" s="1558"/>
      <c r="K7" s="1629" t="str">
        <f>IF('Eval-LSTK'!D66="√","Material No: ","Size: ")</f>
        <v xml:space="preserve">Size: </v>
      </c>
      <c r="L7" s="1629"/>
      <c r="M7" s="1630"/>
      <c r="N7" s="1557" t="str">
        <f>IF('Eval-LSTK'!D66="√",IF(Data!B5&lt;&gt;"",Data!B5," "),IF(Data!B3&lt;&gt;"",Data!B3&amp;""""," "))</f>
        <v>6.125"</v>
      </c>
      <c r="O7" s="1627"/>
      <c r="P7" s="1627"/>
      <c r="Q7" s="1558"/>
      <c r="R7" s="1629" t="str">
        <f>IF('Eval-LSTK'!D66="√","Size &amp; Type:","Type: ")</f>
        <v xml:space="preserve">Type: </v>
      </c>
      <c r="S7" s="1629"/>
      <c r="T7" s="1629"/>
      <c r="U7" s="1629"/>
      <c r="V7" s="1630"/>
      <c r="W7" s="1922" t="str">
        <f>IF('Eval-LSTK'!D66="√",IF(AND(Data!B43&lt;&gt;"",Data!B43&lt;&gt;"0 0/1"""),Data!B43,"")&amp;" "&amp;IF(Data!B4&lt;&gt;"",Data!B4," "),IF(Data!B4&lt;&gt;"",Data!B4," "))</f>
        <v>HD54</v>
      </c>
      <c r="X7" s="1923"/>
      <c r="Y7" s="1923"/>
      <c r="Z7" s="1923"/>
      <c r="AA7" s="1924"/>
      <c r="AC7" s="1914"/>
      <c r="AD7" s="1914"/>
      <c r="AE7" s="1914"/>
      <c r="AF7" s="1914"/>
      <c r="AG7" s="1914"/>
    </row>
    <row r="8" spans="1:37" ht="5.0999999999999996" customHeight="1" thickBot="1" x14ac:dyDescent="0.3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3">
      <c r="A9" s="1916" t="str">
        <f>IF(Data!L5=1,"Scrap Quotation",IF('Eval-LSTK'!D64="√","Repair Quotation",IF(OR('Eval-LSTK'!D68="√",Data!L4=1),"Inspection Charge Quotation","Quotation")))</f>
        <v>Repair Quotation</v>
      </c>
      <c r="B9" s="1917"/>
      <c r="C9" s="1917"/>
      <c r="D9" s="1917"/>
      <c r="E9" s="1917"/>
      <c r="F9" s="1917"/>
      <c r="G9" s="1917"/>
      <c r="H9" s="1917"/>
      <c r="I9" s="1917"/>
      <c r="J9" s="1917"/>
      <c r="K9" s="1917"/>
      <c r="L9" s="1917"/>
      <c r="M9" s="1917"/>
      <c r="N9" s="1917"/>
      <c r="O9" s="1917"/>
      <c r="P9" s="1917"/>
      <c r="Q9" s="1917"/>
      <c r="R9" s="1917"/>
      <c r="S9" s="1917"/>
      <c r="T9" s="1917"/>
      <c r="U9" s="1917"/>
      <c r="V9" s="1917"/>
      <c r="W9" s="1917"/>
      <c r="X9" s="1917"/>
      <c r="Y9" s="1917"/>
      <c r="Z9" s="1917"/>
      <c r="AA9" s="1918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0999999999999996" customHeight="1" x14ac:dyDescent="0.2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25">
      <c r="A11" s="1925"/>
      <c r="B11" s="1926"/>
      <c r="C11" s="1776" t="s">
        <v>17</v>
      </c>
      <c r="D11" s="1776"/>
      <c r="E11" s="1776"/>
      <c r="F11" s="1776"/>
      <c r="G11" s="1776"/>
      <c r="H11" s="1776"/>
      <c r="I11" s="1776"/>
      <c r="J11" s="1776"/>
      <c r="K11" s="1776"/>
      <c r="L11" s="1776"/>
      <c r="M11" s="1776"/>
      <c r="N11" s="1776"/>
      <c r="O11" s="1776"/>
      <c r="P11" s="1776"/>
      <c r="Q11" s="1776"/>
      <c r="R11" s="1776"/>
      <c r="S11" s="1776"/>
      <c r="T11" s="1776"/>
      <c r="U11" s="1776"/>
      <c r="V11" s="1776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25">
      <c r="A12" s="1925"/>
      <c r="B12" s="1926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0a</v>
      </c>
      <c r="L12" s="437" t="str">
        <f>IF(Data!CA42&lt;&gt;"",Data!CA42,"")</f>
        <v>0a</v>
      </c>
      <c r="M12" s="437" t="str">
        <f>IF(Data!CB42&lt;&gt;"",Data!CB42,"")</f>
        <v>0a</v>
      </c>
      <c r="N12" s="437" t="str">
        <f>IF(Data!CC42&lt;&gt;"",Data!CC42,"")</f>
        <v>0a</v>
      </c>
      <c r="O12" s="437" t="str">
        <f>IF(Data!CD42&lt;&gt;"",Data!CD42,"")</f>
        <v>0a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25">
      <c r="A13" s="1821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O1</v>
      </c>
      <c r="D13" s="167" t="str">
        <f>IF(OR(Data!$L$2=1,Data!$L$3=1),IF(OR(Data!BS46=0,Data!BS46=""),"","O"&amp;Data!BS46),IF('ARDT Cutter Entry'!$C$111&lt;&gt;"",'ARDT Cutter Entry'!D111,'ARDT Cutter Entry'!D43))</f>
        <v>O1</v>
      </c>
      <c r="E13" s="167" t="str">
        <f>IF(OR(Data!$L$2=1,Data!$L$3=1),IF(OR(Data!BT46=0,Data!BT46=""),"","O"&amp;Data!BT46),IF('ARDT Cutter Entry'!$C$111&lt;&gt;"",'ARDT Cutter Entry'!E111,'ARDT Cutter Entry'!E43))</f>
        <v>O1</v>
      </c>
      <c r="F13" s="167" t="str">
        <f>IF(OR(Data!$L$2=1,Data!$L$3=1),IF(OR(Data!BU46=0,Data!BU46=""),"","O"&amp;Data!BU46),IF('ARDT Cutter Entry'!$C$111&lt;&gt;"",'ARDT Cutter Entry'!F111,'ARDT Cutter Entry'!F43))</f>
        <v>R3</v>
      </c>
      <c r="G13" s="167" t="str">
        <f>IF(OR(Data!$L$2=1,Data!$L$3=1),IF(OR(Data!BV46=0,Data!BV46=""),"","O"&amp;Data!BV46),IF('ARDT Cutter Entry'!$C$111&lt;&gt;"",'ARDT Cutter Entry'!G111,'ARDT Cutter Entry'!G43))</f>
        <v>S3</v>
      </c>
      <c r="H13" s="167" t="str">
        <f>IF(OR(Data!$L$2=1,Data!$L$3=1),IF(OR(Data!BW46=0,Data!BW46=""),"","O"&amp;Data!BW46),IF('ARDT Cutter Entry'!$C$111&lt;&gt;"",'ARDT Cutter Entry'!H111,'ARDT Cutter Entry'!H43))</f>
        <v>O1</v>
      </c>
      <c r="I13" s="167" t="str">
        <f>IF(OR(Data!$L$2=1,Data!$L$3=1),IF(OR(Data!BX46=0,Data!BX46=""),"","O"&amp;Data!BX46),IF('ARDT Cutter Entry'!$C$111&lt;&gt;"",'ARDT Cutter Entry'!I111,'ARDT Cutter Entry'!I43))</f>
        <v>O2</v>
      </c>
      <c r="J13" s="167" t="str">
        <f>IF(OR(Data!$L$2=1,Data!$L$3=1),IF(OR(Data!BY46=0,Data!BY46=""),"","O"&amp;Data!BY46),IF('ARDT Cutter Entry'!$C$111&lt;&gt;"",'ARDT Cutter Entry'!J111,'ARDT Cutter Entry'!J43))</f>
        <v>O2</v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/>
      </c>
      <c r="M13" s="167" t="str">
        <f>IF(OR(Data!$L$2=1,Data!$L$3=1),IF(OR(Data!CB46=0,Data!CB46=""),"","O"&amp;Data!CB46),IF('ARDT Cutter Entry'!$C$111&lt;&gt;"",'ARDT Cutter Entry'!M111,'ARDT Cutter Entry'!M43))</f>
        <v/>
      </c>
      <c r="N13" s="167" t="str">
        <f>IF(OR(Data!$L$2=1,Data!$L$3=1),IF(OR(Data!CC46=0,Data!CC46=""),"","O"&amp;Data!CC46),IF('ARDT Cutter Entry'!$C$111&lt;&gt;"",'ARDT Cutter Entry'!N111,'ARDT Cutter Entry'!N43))</f>
        <v/>
      </c>
      <c r="O13" s="167" t="str">
        <f>IF(OR(Data!$L$2=1,Data!$L$3=1),IF(OR(Data!CD46=0,Data!CD46=""),"","O"&amp;Data!CD46),IF('ARDT Cutter Entry'!$C$111&lt;&gt;"",'ARDT Cutter Entry'!O111,'ARDT Cutter Entry'!O43))</f>
        <v/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25">
      <c r="A14" s="1821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O1</v>
      </c>
      <c r="D14" s="167" t="str">
        <f>IF(OR(Data!$L$2=1,Data!$L$3=1),IF(OR(Data!BS47=0,Data!BS47=""),"","O"&amp;Data!BS47),IF('ARDT Cutter Entry'!$C$111&lt;&gt;"",'ARDT Cutter Entry'!D112,'ARDT Cutter Entry'!D44))</f>
        <v>O3</v>
      </c>
      <c r="E14" s="167" t="str">
        <f>IF(OR(Data!$L$2=1,Data!$L$3=1),IF(OR(Data!BT47=0,Data!BT47=""),"","O"&amp;Data!BT47),IF('ARDT Cutter Entry'!$C$111&lt;&gt;"",'ARDT Cutter Entry'!E112,'ARDT Cutter Entry'!E44))</f>
        <v>O1</v>
      </c>
      <c r="F14" s="167" t="str">
        <f>IF(OR(Data!$L$2=1,Data!$L$3=1),IF(OR(Data!BU47=0,Data!BU47=""),"","O"&amp;Data!BU47),IF('ARDT Cutter Entry'!$C$111&lt;&gt;"",'ARDT Cutter Entry'!F112,'ARDT Cutter Entry'!F44))</f>
        <v>O2</v>
      </c>
      <c r="G14" s="167" t="str">
        <f>IF(OR(Data!$L$2=1,Data!$L$3=1),IF(OR(Data!BV47=0,Data!BV47=""),"","O"&amp;Data!BV47),IF('ARDT Cutter Entry'!$C$111&lt;&gt;"",'ARDT Cutter Entry'!G112,'ARDT Cutter Entry'!G44))</f>
        <v>O2</v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/>
      </c>
      <c r="M14" s="167" t="str">
        <f>IF(OR(Data!$L$2=1,Data!$L$3=1),IF(OR(Data!CB47=0,Data!CB47=""),"","O"&amp;Data!CB47),IF('ARDT Cutter Entry'!$C$111&lt;&gt;"",'ARDT Cutter Entry'!M112,'ARDT Cutter Entry'!M44))</f>
        <v/>
      </c>
      <c r="N14" s="167" t="str">
        <f>IF(OR(Data!$L$2=1,Data!$L$3=1),IF(OR(Data!CC47=0,Data!CC47=""),"","O"&amp;Data!CC47),IF('ARDT Cutter Entry'!$C$111&lt;&gt;"",'ARDT Cutter Entry'!N112,'ARDT Cutter Entry'!N44))</f>
        <v/>
      </c>
      <c r="O14" s="167" t="str">
        <f>IF(OR(Data!$L$2=1,Data!$L$3=1),IF(OR(Data!CD47=0,Data!CD47=""),"","O"&amp;Data!CD47),IF('ARDT Cutter Entry'!$C$111&lt;&gt;"",'ARDT Cutter Entry'!O112,'ARDT Cutter Entry'!O44))</f>
        <v/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25">
      <c r="A15" s="1821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O1</v>
      </c>
      <c r="D15" s="167" t="str">
        <f>IF(OR(Data!$L$2=1,Data!$L$3=1),IF(OR(Data!BS48=0,Data!BS48=""),"","O"&amp;Data!BS48),IF('ARDT Cutter Entry'!$C$111&lt;&gt;"",'ARDT Cutter Entry'!D113,'ARDT Cutter Entry'!D45))</f>
        <v>O1</v>
      </c>
      <c r="E15" s="167" t="str">
        <f>IF(OR(Data!$L$2=1,Data!$L$3=1),IF(OR(Data!BT48=0,Data!BT48=""),"","O"&amp;Data!BT48),IF('ARDT Cutter Entry'!$C$111&lt;&gt;"",'ARDT Cutter Entry'!E113,'ARDT Cutter Entry'!E45))</f>
        <v>O1</v>
      </c>
      <c r="F15" s="167" t="str">
        <f>IF(OR(Data!$L$2=1,Data!$L$3=1),IF(OR(Data!BU48=0,Data!BU48=""),"","O"&amp;Data!BU48),IF('ARDT Cutter Entry'!$C$111&lt;&gt;"",'ARDT Cutter Entry'!F113,'ARDT Cutter Entry'!F45))</f>
        <v>S3</v>
      </c>
      <c r="G15" s="167" t="str">
        <f>IF(OR(Data!$L$2=1,Data!$L$3=1),IF(OR(Data!BV48=0,Data!BV48=""),"","O"&amp;Data!BV48),IF('ARDT Cutter Entry'!$C$111&lt;&gt;"",'ARDT Cutter Entry'!G113,'ARDT Cutter Entry'!G45))</f>
        <v>O1</v>
      </c>
      <c r="H15" s="167" t="str">
        <f>IF(OR(Data!$L$2=1,Data!$L$3=1),IF(OR(Data!BW48=0,Data!BW48=""),"","O"&amp;Data!BW48),IF('ARDT Cutter Entry'!$C$111&lt;&gt;"",'ARDT Cutter Entry'!H113,'ARDT Cutter Entry'!H45))</f>
        <v>O2</v>
      </c>
      <c r="I15" s="167" t="str">
        <f>IF(OR(Data!$L$2=1,Data!$L$3=1),IF(OR(Data!BX48=0,Data!BX48=""),"","O"&amp;Data!BX48),IF('ARDT Cutter Entry'!$C$111&lt;&gt;"",'ARDT Cutter Entry'!I113,'ARDT Cutter Entry'!I45))</f>
        <v>O2</v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/>
      </c>
      <c r="M15" s="167" t="str">
        <f>IF(OR(Data!$L$2=1,Data!$L$3=1),IF(OR(Data!CB48=0,Data!CB48=""),"","O"&amp;Data!CB48),IF('ARDT Cutter Entry'!$C$111&lt;&gt;"",'ARDT Cutter Entry'!M113,'ARDT Cutter Entry'!M45))</f>
        <v/>
      </c>
      <c r="N15" s="167" t="str">
        <f>IF(OR(Data!$L$2=1,Data!$L$3=1),IF(OR(Data!CC48=0,Data!CC48=""),"","O"&amp;Data!CC48),IF('ARDT Cutter Entry'!$C$111&lt;&gt;"",'ARDT Cutter Entry'!N113,'ARDT Cutter Entry'!N45))</f>
        <v/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25">
      <c r="A16" s="1821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O1</v>
      </c>
      <c r="D16" s="167" t="str">
        <f>IF(OR(Data!$L$2=1,Data!$L$3=1),IF(OR(Data!BS49=0,Data!BS49=""),"","O"&amp;Data!BS49),IF('ARDT Cutter Entry'!$C$111&lt;&gt;"",'ARDT Cutter Entry'!D114,'ARDT Cutter Entry'!D46))</f>
        <v>O1</v>
      </c>
      <c r="E16" s="167" t="str">
        <f>IF(OR(Data!$L$2=1,Data!$L$3=1),IF(OR(Data!BT49=0,Data!BT49=""),"","O"&amp;Data!BT49),IF('ARDT Cutter Entry'!$C$111&lt;&gt;"",'ARDT Cutter Entry'!E114,'ARDT Cutter Entry'!E46))</f>
        <v>O1</v>
      </c>
      <c r="F16" s="167" t="str">
        <f>IF(OR(Data!$L$2=1,Data!$L$3=1),IF(OR(Data!BU49=0,Data!BU49=""),"","O"&amp;Data!BU49),IF('ARDT Cutter Entry'!$C$111&lt;&gt;"",'ARDT Cutter Entry'!F114,'ARDT Cutter Entry'!F46))</f>
        <v>S3</v>
      </c>
      <c r="G16" s="167" t="str">
        <f>IF(OR(Data!$L$2=1,Data!$L$3=1),IF(OR(Data!BV49=0,Data!BV49=""),"","O"&amp;Data!BV49),IF('ARDT Cutter Entry'!$C$111&lt;&gt;"",'ARDT Cutter Entry'!G114,'ARDT Cutter Entry'!G46))</f>
        <v>O1</v>
      </c>
      <c r="H16" s="167" t="str">
        <f>IF(OR(Data!$L$2=1,Data!$L$3=1),IF(OR(Data!BW49=0,Data!BW49=""),"","O"&amp;Data!BW49),IF('ARDT Cutter Entry'!$C$111&lt;&gt;"",'ARDT Cutter Entry'!H114,'ARDT Cutter Entry'!H46))</f>
        <v>O1</v>
      </c>
      <c r="I16" s="167" t="str">
        <f>IF(OR(Data!$L$2=1,Data!$L$3=1),IF(OR(Data!BX49=0,Data!BX49=""),"","O"&amp;Data!BX49),IF('ARDT Cutter Entry'!$C$111&lt;&gt;"",'ARDT Cutter Entry'!I114,'ARDT Cutter Entry'!I46))</f>
        <v>O2</v>
      </c>
      <c r="J16" s="167" t="str">
        <f>IF(OR(Data!$L$2=1,Data!$L$3=1),IF(OR(Data!BY49=0,Data!BY49=""),"","O"&amp;Data!BY49),IF('ARDT Cutter Entry'!$C$111&lt;&gt;"",'ARDT Cutter Entry'!J114,'ARDT Cutter Entry'!J46))</f>
        <v>O2</v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/>
      </c>
      <c r="M16" s="167" t="str">
        <f>IF(OR(Data!$L$2=1,Data!$L$3=1),IF(OR(Data!CB49=0,Data!CB49=""),"","O"&amp;Data!CB49),IF('ARDT Cutter Entry'!$C$111&lt;&gt;"",'ARDT Cutter Entry'!M114,'ARDT Cutter Entry'!M46))</f>
        <v/>
      </c>
      <c r="N16" s="167" t="str">
        <f>IF(OR(Data!$L$2=1,Data!$L$3=1),IF(OR(Data!CC49=0,Data!CC49=""),"","O"&amp;Data!CC49),IF('ARDT Cutter Entry'!$C$111&lt;&gt;"",'ARDT Cutter Entry'!N114,'ARDT Cutter Entry'!N46))</f>
        <v/>
      </c>
      <c r="O16" s="167" t="str">
        <f>IF(OR(Data!$L$2=1,Data!$L$3=1),IF(OR(Data!CD49=0,Data!CD49=""),"","O"&amp;Data!CD49),IF('ARDT Cutter Entry'!$C$111&lt;&gt;"",'ARDT Cutter Entry'!O114,'ARDT Cutter Entry'!O46))</f>
        <v/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25">
      <c r="A17" s="1821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S3</v>
      </c>
      <c r="D17" s="167" t="str">
        <f>IF(OR(Data!$L$2=1,Data!$L$3=1),IF(OR(Data!BS50=0,Data!BS50=""),"","O"&amp;Data!BS50),IF('ARDT Cutter Entry'!$C$111&lt;&gt;"",'ARDT Cutter Entry'!D115,'ARDT Cutter Entry'!D47))</f>
        <v>R3</v>
      </c>
      <c r="E17" s="167" t="str">
        <f>IF(OR(Data!$L$2=1,Data!$L$3=1),IF(OR(Data!BT50=0,Data!BT50=""),"","O"&amp;Data!BT50),IF('ARDT Cutter Entry'!$C$111&lt;&gt;"",'ARDT Cutter Entry'!E115,'ARDT Cutter Entry'!E47))</f>
        <v>O1</v>
      </c>
      <c r="F17" s="167" t="str">
        <f>IF(OR(Data!$L$2=1,Data!$L$3=1),IF(OR(Data!BU50=0,Data!BU50=""),"","O"&amp;Data!BU50),IF('ARDT Cutter Entry'!$C$111&lt;&gt;"",'ARDT Cutter Entry'!F115,'ARDT Cutter Entry'!F47))</f>
        <v>O2</v>
      </c>
      <c r="G17" s="167" t="str">
        <f>IF(OR(Data!$L$2=1,Data!$L$3=1),IF(OR(Data!BV50=0,Data!BV50=""),"","O"&amp;Data!BV50),IF('ARDT Cutter Entry'!$C$111&lt;&gt;"",'ARDT Cutter Entry'!G115,'ARDT Cutter Entry'!G47))</f>
        <v>O2</v>
      </c>
      <c r="H17" s="167" t="str">
        <f>IF(OR(Data!$L$2=1,Data!$L$3=1),IF(OR(Data!BW50=0,Data!BW50=""),"","O"&amp;Data!BW50),IF('ARDT Cutter Entry'!$C$111&lt;&gt;"",'ARDT Cutter Entry'!H115,'ARDT Cutter Entry'!H47))</f>
        <v/>
      </c>
      <c r="I17" s="167" t="str">
        <f>IF(OR(Data!$L$2=1,Data!$L$3=1),IF(OR(Data!BX50=0,Data!BX50=""),"","O"&amp;Data!BX50),IF('ARDT Cutter Entry'!$C$111&lt;&gt;"",'ARDT Cutter Entry'!I115,'ARDT Cutter Entry'!I47))</f>
        <v/>
      </c>
      <c r="J17" s="167" t="str">
        <f>IF(OR(Data!$L$2=1,Data!$L$3=1),IF(OR(Data!BY50=0,Data!BY50=""),"","O"&amp;Data!BY50),IF('ARDT Cutter Entry'!$C$111&lt;&gt;"",'ARDT Cutter Entry'!J115,'ARDT Cutter Entry'!J47))</f>
        <v/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/>
      </c>
      <c r="M17" s="167" t="str">
        <f>IF(OR(Data!$L$2=1,Data!$L$3=1),IF(OR(Data!CB50=0,Data!CB50=""),"","O"&amp;Data!CB50),IF('ARDT Cutter Entry'!$C$111&lt;&gt;"",'ARDT Cutter Entry'!M115,'ARDT Cutter Entry'!M47))</f>
        <v/>
      </c>
      <c r="N17" s="167" t="str">
        <f>IF(OR(Data!$L$2=1,Data!$L$3=1),IF(OR(Data!CC50=0,Data!CC50=""),"","O"&amp;Data!CC50),IF('ARDT Cutter Entry'!$C$111&lt;&gt;"",'ARDT Cutter Entry'!N115,'ARDT Cutter Entry'!N47))</f>
        <v/>
      </c>
      <c r="O17" s="167" t="str">
        <f>IF(OR(Data!$L$2=1,Data!$L$3=1),IF(OR(Data!CD50=0,Data!CD50=""),"","O"&amp;Data!CD50),IF('ARDT Cutter Entry'!$C$111&lt;&gt;"",'ARDT Cutter Entry'!O115,'ARDT Cutter Entry'!O47))</f>
        <v/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25">
      <c r="A18" s="1821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/>
      </c>
      <c r="D18" s="167" t="str">
        <f>IF(OR(Data!$L$2=1,Data!$L$3=1),IF(OR(Data!BS51=0,Data!BS51=""),"","O"&amp;Data!BS51),IF('ARDT Cutter Entry'!$C$111&lt;&gt;"",'ARDT Cutter Entry'!D116,'ARDT Cutter Entry'!D48))</f>
        <v/>
      </c>
      <c r="E18" s="167" t="str">
        <f>IF(OR(Data!$L$2=1,Data!$L$3=1),IF(OR(Data!BT51=0,Data!BT51=""),"","O"&amp;Data!BT51),IF('ARDT Cutter Entry'!$C$111&lt;&gt;"",'ARDT Cutter Entry'!E116,'ARDT Cutter Entry'!E48))</f>
        <v/>
      </c>
      <c r="F18" s="167" t="str">
        <f>IF(OR(Data!$L$2=1,Data!$L$3=1),IF(OR(Data!BU51=0,Data!BU51=""),"","O"&amp;Data!BU51),IF('ARDT Cutter Entry'!$C$111&lt;&gt;"",'ARDT Cutter Entry'!F116,'ARDT Cutter Entry'!F48))</f>
        <v/>
      </c>
      <c r="G18" s="167" t="str">
        <f>IF(OR(Data!$L$2=1,Data!$L$3=1),IF(OR(Data!BV51=0,Data!BV51=""),"","O"&amp;Data!BV51),IF('ARDT Cutter Entry'!$C$111&lt;&gt;"",'ARDT Cutter Entry'!G116,'ARDT Cutter Entry'!G48))</f>
        <v/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/>
      </c>
      <c r="M18" s="167" t="str">
        <f>IF(OR(Data!$L$2=1,Data!$L$3=1),IF(OR(Data!CB51=0,Data!CB51=""),"","O"&amp;Data!CB51),IF('ARDT Cutter Entry'!$C$111&lt;&gt;"",'ARDT Cutter Entry'!M116,'ARDT Cutter Entry'!M48))</f>
        <v/>
      </c>
      <c r="N18" s="167" t="str">
        <f>IF(OR(Data!$L$2=1,Data!$L$3=1),IF(OR(Data!CC51=0,Data!CC51=""),"","O"&amp;Data!CC51),IF('ARDT Cutter Entry'!$C$111&lt;&gt;"",'ARDT Cutter Entry'!N116,'ARDT Cutter Entry'!N48))</f>
        <v/>
      </c>
      <c r="O18" s="167" t="str">
        <f>IF(OR(Data!$L$2=1,Data!$L$3=1),IF(OR(Data!CD51=0,Data!CD51=""),"","O"&amp;Data!CD51),IF('ARDT Cutter Entry'!$C$111&lt;&gt;"",'ARDT Cutter Entry'!O116,'ARDT Cutter Entry'!O48))</f>
        <v/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25">
      <c r="A19" s="1821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25">
      <c r="A20" s="1821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25">
      <c r="A21" s="1821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0999999999999996" customHeight="1" x14ac:dyDescent="0.2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25">
      <c r="A23" s="1932" t="s">
        <v>19</v>
      </c>
      <c r="B23" s="1776"/>
      <c r="C23" s="1776"/>
      <c r="D23" s="1810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Re-evaluated by Engineer. Pin face erosion.</v>
      </c>
      <c r="E23" s="1810"/>
      <c r="F23" s="1810"/>
      <c r="G23" s="1810"/>
      <c r="H23" s="1810"/>
      <c r="I23" s="1810"/>
      <c r="J23" s="1810"/>
      <c r="K23" s="1810"/>
      <c r="L23" s="1810"/>
      <c r="M23" s="1810"/>
      <c r="N23" s="1810"/>
      <c r="O23" s="1810"/>
      <c r="P23" s="1810"/>
      <c r="Q23" s="1810"/>
      <c r="R23" s="1810"/>
      <c r="S23" s="1810"/>
      <c r="T23" s="1810"/>
      <c r="U23" s="1810"/>
      <c r="V23" s="1810"/>
      <c r="W23" s="1810"/>
      <c r="X23" s="1810"/>
      <c r="Y23" s="1810"/>
      <c r="Z23" s="1810"/>
      <c r="AA23" s="1912"/>
    </row>
    <row r="24" spans="1:38" ht="12.75" customHeight="1" x14ac:dyDescent="0.25">
      <c r="A24" s="1932"/>
      <c r="B24" s="1776"/>
      <c r="C24" s="1776"/>
      <c r="D24" s="1810"/>
      <c r="E24" s="1810"/>
      <c r="F24" s="1810"/>
      <c r="G24" s="1810"/>
      <c r="H24" s="1810"/>
      <c r="I24" s="1810"/>
      <c r="J24" s="1810"/>
      <c r="K24" s="1810"/>
      <c r="L24" s="1810"/>
      <c r="M24" s="1810"/>
      <c r="N24" s="1810"/>
      <c r="O24" s="1810"/>
      <c r="P24" s="1810"/>
      <c r="Q24" s="1810"/>
      <c r="R24" s="1810"/>
      <c r="S24" s="1810"/>
      <c r="T24" s="1810"/>
      <c r="U24" s="1810"/>
      <c r="V24" s="1810"/>
      <c r="W24" s="1810"/>
      <c r="X24" s="1810"/>
      <c r="Y24" s="1810"/>
      <c r="Z24" s="1810"/>
      <c r="AA24" s="1912"/>
    </row>
    <row r="25" spans="1:38" ht="12.75" customHeight="1" thickBot="1" x14ac:dyDescent="0.3">
      <c r="A25" s="1933"/>
      <c r="B25" s="1824"/>
      <c r="C25" s="1824"/>
      <c r="D25" s="1913"/>
      <c r="E25" s="1913"/>
      <c r="F25" s="1913"/>
      <c r="G25" s="1913"/>
      <c r="H25" s="1913"/>
      <c r="I25" s="1913"/>
      <c r="J25" s="1913"/>
      <c r="K25" s="1913"/>
      <c r="L25" s="1913"/>
      <c r="M25" s="1913"/>
      <c r="N25" s="1913"/>
      <c r="O25" s="1913"/>
      <c r="P25" s="1913"/>
      <c r="Q25" s="1913"/>
      <c r="R25" s="1913"/>
      <c r="S25" s="1913"/>
      <c r="T25" s="1913"/>
      <c r="U25" s="1913"/>
      <c r="V25" s="1913"/>
      <c r="W25" s="1913"/>
      <c r="X25" s="1913"/>
      <c r="Y25" s="1913"/>
      <c r="Z25" s="1913"/>
      <c r="AA25" s="1837"/>
    </row>
    <row r="26" spans="1:38" ht="18" customHeight="1" x14ac:dyDescent="0.25">
      <c r="A26" s="1859" t="s">
        <v>2</v>
      </c>
      <c r="B26" s="1859"/>
      <c r="C26" s="1859" t="s">
        <v>3</v>
      </c>
      <c r="D26" s="1859"/>
      <c r="E26" s="1859"/>
      <c r="F26" s="1859"/>
      <c r="G26" s="1859"/>
      <c r="H26" s="1859"/>
      <c r="I26" s="1859"/>
      <c r="J26" s="1859"/>
      <c r="K26" s="1859"/>
      <c r="L26" s="1859"/>
      <c r="M26" s="1859"/>
      <c r="N26" s="1859"/>
      <c r="O26" s="1859"/>
      <c r="P26" s="1859"/>
      <c r="Q26" s="1859"/>
      <c r="R26" s="1859"/>
      <c r="S26" s="1859" t="s">
        <v>4</v>
      </c>
      <c r="T26" s="1859"/>
      <c r="U26" s="1859" t="s">
        <v>71</v>
      </c>
      <c r="V26" s="1859"/>
      <c r="W26" s="1859" t="s">
        <v>16</v>
      </c>
      <c r="X26" s="1859"/>
      <c r="Y26" s="1859" t="s">
        <v>21</v>
      </c>
      <c r="Z26" s="1859"/>
      <c r="AA26" s="1859"/>
    </row>
    <row r="27" spans="1:38" ht="16.5" customHeight="1" x14ac:dyDescent="0.25">
      <c r="A27" s="1776">
        <v>1</v>
      </c>
      <c r="B27" s="1776"/>
      <c r="C27" s="1910" t="str">
        <f>IF(Data!L5=1,"Scrapping charge","Inspection Charges")</f>
        <v>Inspection Charges</v>
      </c>
      <c r="D27" s="1910"/>
      <c r="E27" s="1910"/>
      <c r="F27" s="1910"/>
      <c r="G27" s="1910"/>
      <c r="H27" s="1910"/>
      <c r="I27" s="1910"/>
      <c r="J27" s="1910"/>
      <c r="K27" s="1910"/>
      <c r="L27" s="1910"/>
      <c r="M27" s="1910"/>
      <c r="N27" s="1910"/>
      <c r="O27" s="1910"/>
      <c r="P27" s="1910"/>
      <c r="Q27" s="1910"/>
      <c r="R27" s="1910"/>
      <c r="S27" s="1911">
        <f>IF(AND(Data!B5&lt;&gt;"",OR(Data!L2=1,Data!L3=1,Data!L4=1,Data!L5=1)),1,0)</f>
        <v>0</v>
      </c>
      <c r="T27" s="1911"/>
      <c r="U27" s="1911" t="str">
        <f>IF(AND(TRIM(S27)&lt;&gt;"",S27&lt;&gt;0),"EA","")</f>
        <v/>
      </c>
      <c r="V27" s="1911"/>
      <c r="W27" s="1909">
        <f>IF(S27&gt;0,IF(Data!L5=1,500,550),0)</f>
        <v>0</v>
      </c>
      <c r="X27" s="1909"/>
      <c r="Y27" s="1909">
        <f>IF(S27&gt;0,S27*W27,0)</f>
        <v>0</v>
      </c>
      <c r="Z27" s="1909"/>
      <c r="AA27" s="1909"/>
    </row>
    <row r="28" spans="1:38" ht="15.75" customHeight="1" x14ac:dyDescent="0.2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25">
      <c r="A29" s="1776">
        <v>2</v>
      </c>
      <c r="B29" s="1776"/>
      <c r="C29" s="1910" t="s">
        <v>824</v>
      </c>
      <c r="D29" s="1910"/>
      <c r="E29" s="1910"/>
      <c r="F29" s="1910"/>
      <c r="G29" s="1910"/>
      <c r="H29" s="1910"/>
      <c r="I29" s="1910"/>
      <c r="J29" s="1910"/>
      <c r="K29" s="1910"/>
      <c r="L29" s="1910"/>
      <c r="M29" s="1910"/>
      <c r="N29" s="1910"/>
      <c r="O29" s="1910"/>
      <c r="P29" s="1910"/>
      <c r="Q29" s="1910"/>
      <c r="R29" s="1910"/>
      <c r="S29" s="1911">
        <f>IF(W29&gt;1,1,"")</f>
        <v>1</v>
      </c>
      <c r="T29" s="1911"/>
      <c r="U29" s="1911" t="str">
        <f>IF(AND(TRIM(S29)&lt;&gt;"",S29&lt;&gt;0),"EA","")</f>
        <v>EA</v>
      </c>
      <c r="V29" s="1911"/>
      <c r="W29" s="1909">
        <f>IF(W27=550,0,IF(AND(Data!B5&lt;&gt;"",Data!C53&lt;&gt;"",OR('Eng. Cutter Entry'!C4&lt;&gt;"",'ARDT Cutter Entry'!C4&lt;&gt;"")),Data!C53,0))</f>
        <v>4121</v>
      </c>
      <c r="X29" s="1909"/>
      <c r="Y29" s="1909">
        <f>IF(S29=1,S29*W29,0)</f>
        <v>4121</v>
      </c>
      <c r="Z29" s="1909"/>
      <c r="AA29" s="1909"/>
      <c r="AL29" t="str">
        <f>""</f>
        <v/>
      </c>
    </row>
    <row r="30" spans="1:38" ht="15" customHeight="1" x14ac:dyDescent="0.25">
      <c r="A30" s="1890">
        <f>IF(OR(Data!L3=1,Data!L4=1),"",3)</f>
        <v>3</v>
      </c>
      <c r="B30" s="1891"/>
      <c r="C30" s="1892" t="str">
        <f>IF(Data!G33&lt;&gt;"","Cerebro Installation","")</f>
        <v/>
      </c>
      <c r="D30" s="1893"/>
      <c r="E30" s="1893"/>
      <c r="F30" s="1893"/>
      <c r="G30" s="1893"/>
      <c r="H30" s="1893"/>
      <c r="I30" s="1893"/>
      <c r="J30" s="1894"/>
      <c r="K30" s="1894"/>
      <c r="L30" s="1894"/>
      <c r="M30" s="1894"/>
      <c r="N30" s="1894"/>
      <c r="O30" s="1894"/>
      <c r="P30" s="1894"/>
      <c r="Q30" s="1894"/>
      <c r="R30" s="1895"/>
      <c r="S30" s="1896">
        <f>IF(W27=550,0,IF(Data!$B$5&lt;&gt;"",IF(Data!G33=1,1,0),0))</f>
        <v>0</v>
      </c>
      <c r="T30" s="1897"/>
      <c r="U30" s="1896" t="str">
        <f>IF(AND(TRIM(S30)&lt;&gt;"",S30&lt;&gt;0),"EA","")</f>
        <v/>
      </c>
      <c r="V30" s="1897"/>
      <c r="W30" s="1898">
        <f>IF(S30&gt;0,836,0)</f>
        <v>0</v>
      </c>
      <c r="X30" s="1899"/>
      <c r="Y30" s="1898">
        <f>IF(S30=1,W30,0)</f>
        <v>0</v>
      </c>
      <c r="Z30" s="1900"/>
      <c r="AA30" s="1899"/>
    </row>
    <row r="31" spans="1:38" ht="14.25" customHeight="1" x14ac:dyDescent="0.25">
      <c r="A31" s="1890">
        <f>IF(OR(Data!L4=1,Data!L5=1),"",3)</f>
        <v>3</v>
      </c>
      <c r="B31" s="1902"/>
      <c r="C31" s="1892" t="str">
        <f>IF(OR(Data!L4=1,Data!L5=1),"","Cutter Rotation Charge")</f>
        <v>Cutter Rotation Charge</v>
      </c>
      <c r="D31" s="1893"/>
      <c r="E31" s="1893"/>
      <c r="F31" s="1893"/>
      <c r="G31" s="1893"/>
      <c r="H31" s="1893"/>
      <c r="I31" s="1893"/>
      <c r="J31" s="1894"/>
      <c r="K31" s="1894"/>
      <c r="L31" s="1894"/>
      <c r="M31" s="1894"/>
      <c r="N31" s="1894"/>
      <c r="O31" s="1894"/>
      <c r="P31" s="1894"/>
      <c r="Q31" s="1894"/>
      <c r="R31" s="1895"/>
      <c r="S31" s="1896">
        <f>IF(W27&gt;=500,0,IF(Data!$B$5&lt;&gt;"",IF('Eng. Cutter Entry'!C4&lt;&gt;"",'ARDT Cutter Entry'!BI62,'ARDT Cutter Entry'!BI6),0))</f>
        <v>2</v>
      </c>
      <c r="T31" s="1897"/>
      <c r="U31" s="1896" t="str">
        <f>IF(AND(TRIM(S31)&lt;&gt;"",S31&lt;&gt;0),"EA","")</f>
        <v>EA</v>
      </c>
      <c r="V31" s="1897"/>
      <c r="W31" s="1898">
        <f>IF(S31&gt;0,25,0)</f>
        <v>25</v>
      </c>
      <c r="X31" s="1899"/>
      <c r="Y31" s="1898">
        <f>IF(OR(Data!L4=1,Data!L5=1),Y27,IF(S31&gt;0,S31*W31,0))</f>
        <v>50</v>
      </c>
      <c r="Z31" s="1900"/>
      <c r="AA31" s="1899"/>
    </row>
    <row r="32" spans="1:38" ht="15" customHeight="1" x14ac:dyDescent="0.2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25">
      <c r="A33" s="1890">
        <v>4</v>
      </c>
      <c r="B33" s="1902"/>
      <c r="C33" s="1892" t="s">
        <v>1227</v>
      </c>
      <c r="D33" s="1893"/>
      <c r="E33" s="1893"/>
      <c r="F33" s="1893"/>
      <c r="G33" s="1893"/>
      <c r="H33" s="1893"/>
      <c r="I33" s="1893"/>
      <c r="J33" s="1893"/>
      <c r="K33" s="1893"/>
      <c r="L33" s="1893"/>
      <c r="M33" s="1893"/>
      <c r="N33" s="1893"/>
      <c r="O33" s="1893"/>
      <c r="P33" s="1893"/>
      <c r="Q33" s="1893"/>
      <c r="R33" s="1904"/>
      <c r="S33" s="1896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897"/>
      <c r="U33" s="1896" t="str">
        <f>IF(AND(TRIM(S33)&lt;&gt;"",S33&lt;&gt;0),"EA","")</f>
        <v/>
      </c>
      <c r="V33" s="1897"/>
      <c r="W33" s="1898" t="str">
        <f>IF(S33&gt;0,100,"")</f>
        <v/>
      </c>
      <c r="X33" s="1899"/>
      <c r="Y33" s="1898">
        <f>IF(S33&gt;0,S33*W33,0)</f>
        <v>0</v>
      </c>
      <c r="Z33" s="1900"/>
      <c r="AA33" s="1899"/>
    </row>
    <row r="34" spans="1:40" ht="0.75" hidden="1" customHeight="1" x14ac:dyDescent="0.2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25">
      <c r="A35" s="1902" t="s">
        <v>825</v>
      </c>
      <c r="B35" s="1902"/>
      <c r="C35" s="1902"/>
      <c r="D35" s="1902"/>
      <c r="E35" s="1903" t="str">
        <f>IF(Data!B16&lt;&gt;"",Data!B16,"")</f>
        <v>LSTK</v>
      </c>
      <c r="F35" s="1903"/>
      <c r="G35" s="1903"/>
      <c r="H35" s="1903"/>
      <c r="I35" s="1903"/>
      <c r="J35" s="1902" t="s">
        <v>833</v>
      </c>
      <c r="K35" s="1902"/>
      <c r="L35" s="1902"/>
      <c r="M35" s="1902"/>
      <c r="N35" s="1902"/>
      <c r="O35" s="1902"/>
      <c r="P35" s="1902"/>
      <c r="Q35" s="1902"/>
      <c r="R35" s="1903" t="str">
        <f>IF(Data!B17&lt;&gt;"",Data!B17,"")</f>
        <v>Ramzi Kassab</v>
      </c>
      <c r="S35" s="1903"/>
      <c r="T35" s="1903"/>
      <c r="U35" s="1903"/>
      <c r="V35" s="1903"/>
      <c r="W35" s="116"/>
      <c r="X35" s="116"/>
      <c r="Y35" s="116"/>
      <c r="Z35" s="116"/>
      <c r="AA35" s="116"/>
    </row>
    <row r="36" spans="1:40" ht="0.75" hidden="1" customHeight="1" x14ac:dyDescent="0.2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25">
      <c r="A37" s="1890">
        <v>5</v>
      </c>
      <c r="B37" s="1902"/>
      <c r="C37" s="1892" t="str">
        <f>IF(COUNTIF(Data!B4,"S*"),"Hardfacing Charge (1inx1inx1/8in)","Matrix Build up charge (1inx1inx1/8in)")</f>
        <v>Matrix Build up charge (1inx1inx1/8in)</v>
      </c>
      <c r="D37" s="1893"/>
      <c r="E37" s="1893"/>
      <c r="F37" s="1893"/>
      <c r="G37" s="1893"/>
      <c r="H37" s="1893"/>
      <c r="I37" s="1893"/>
      <c r="J37" s="1893"/>
      <c r="K37" s="1893"/>
      <c r="L37" s="1893"/>
      <c r="M37" s="1893"/>
      <c r="N37" s="1893"/>
      <c r="O37" s="1893"/>
      <c r="P37" s="1893"/>
      <c r="Q37" s="1893"/>
      <c r="R37" s="1904"/>
      <c r="S37" s="1896">
        <f>IF(W27=550,0,IF(Data!$B$5&lt;&gt;"",IF('Eng. Cutter Entry'!C4&lt;&gt;"",Data!L8,Data!L7),0))</f>
        <v>0</v>
      </c>
      <c r="T37" s="1897"/>
      <c r="U37" s="1896" t="s">
        <v>779</v>
      </c>
      <c r="V37" s="1897"/>
      <c r="W37" s="1898" t="str">
        <f>IF(AND(S37&gt;0,COUNTIF(Data!B4,"S*")),IF(S37&gt;0,100," "),IF(S37&gt;0,135," "))</f>
        <v xml:space="preserve"> </v>
      </c>
      <c r="X37" s="1899"/>
      <c r="Y37" s="1898">
        <f>IF(S37&gt;0,S37*W37,0)</f>
        <v>0</v>
      </c>
      <c r="Z37" s="1900"/>
      <c r="AA37" s="1899"/>
    </row>
    <row r="38" spans="1:40" ht="3.75" hidden="1" customHeight="1" x14ac:dyDescent="0.2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25">
      <c r="A39" s="1902" t="s">
        <v>826</v>
      </c>
      <c r="B39" s="1902"/>
      <c r="C39" s="1902"/>
      <c r="D39" s="1902"/>
      <c r="E39" s="1903" t="str">
        <f>IF(Data!B11&lt;&gt;"",Data!B11,"")</f>
        <v>Yakoob Alajawad</v>
      </c>
      <c r="F39" s="1903"/>
      <c r="G39" s="1903"/>
      <c r="H39" s="1903"/>
      <c r="I39" s="1903"/>
      <c r="J39" s="1902" t="s">
        <v>827</v>
      </c>
      <c r="K39" s="1902"/>
      <c r="L39" s="1902"/>
      <c r="M39" s="1902"/>
      <c r="N39" s="1902"/>
      <c r="O39" s="1901">
        <f>IF(Data!B13&lt;&gt;"",Data!B13,"")</f>
        <v>46035</v>
      </c>
      <c r="P39" s="1901"/>
      <c r="Q39" s="1901"/>
      <c r="R39" s="1901"/>
      <c r="S39" s="1901"/>
      <c r="T39" s="1902" t="s">
        <v>828</v>
      </c>
      <c r="U39" s="1902"/>
      <c r="V39" s="1902"/>
      <c r="W39" s="1901" t="str">
        <f>IF(Data!B18&lt;&gt;"",Data!B18,"")</f>
        <v/>
      </c>
      <c r="X39" s="1901"/>
      <c r="Y39" s="1901"/>
      <c r="Z39" s="1901"/>
      <c r="AA39" s="1901"/>
    </row>
    <row r="40" spans="1:40" ht="0.75" hidden="1" customHeight="1" x14ac:dyDescent="0.2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25">
      <c r="A41" s="1890">
        <v>6</v>
      </c>
      <c r="B41" s="1902"/>
      <c r="C41" s="1892" t="str">
        <f>IF(Data!E31&lt;&gt;"",CONCATENATE("Upper Section Replacement Size ",TEXT(Data!E31,"0 0/0")&amp;"""",", MAT NO:" &amp;" "&amp;Data!F31),"Upper Section Replacement")</f>
        <v>Upper Section Replacement</v>
      </c>
      <c r="D41" s="1893"/>
      <c r="E41" s="1893"/>
      <c r="F41" s="1893"/>
      <c r="G41" s="1893"/>
      <c r="H41" s="1893"/>
      <c r="I41" s="1893"/>
      <c r="J41" s="1893"/>
      <c r="K41" s="1893"/>
      <c r="L41" s="1893"/>
      <c r="M41" s="1893"/>
      <c r="N41" s="1893"/>
      <c r="O41" s="1893"/>
      <c r="P41" s="1893"/>
      <c r="Q41" s="1893"/>
      <c r="R41" s="1904"/>
      <c r="S41" s="1896">
        <f>IF(W27=550,0,IF(Data!$B$5&lt;&gt;"",IF(Data!E31&lt;&gt;"",1,0),0))</f>
        <v>0</v>
      </c>
      <c r="T41" s="1897"/>
      <c r="U41" s="1896" t="str">
        <f>IF(AND(TRIM(S41)&lt;&gt;"",S41&lt;&gt;0),"EA","")</f>
        <v/>
      </c>
      <c r="V41" s="1897"/>
      <c r="W41" s="1898">
        <f>IF(W27=550,0,IF(S41&gt;0,IF(Data!G31&lt;&gt;"",Data!G31,""),0))</f>
        <v>0</v>
      </c>
      <c r="X41" s="1899"/>
      <c r="Y41" s="1898">
        <f>IF(S41=1,W41,0)</f>
        <v>0</v>
      </c>
      <c r="Z41" s="1900"/>
      <c r="AA41" s="1899"/>
    </row>
    <row r="42" spans="1:40" ht="3.75" hidden="1" customHeight="1" x14ac:dyDescent="0.2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25">
      <c r="A43" s="1902" t="s">
        <v>829</v>
      </c>
      <c r="B43" s="1902"/>
      <c r="C43" s="1902"/>
      <c r="D43" s="1902"/>
      <c r="E43" s="1903" t="str">
        <f>IF(Data!B19&lt;&gt;"",Data!B19,"")</f>
        <v>Murthada Turaifi</v>
      </c>
      <c r="F43" s="1903"/>
      <c r="G43" s="1903"/>
      <c r="H43" s="1903"/>
      <c r="I43" s="1903"/>
      <c r="J43" s="1902" t="s">
        <v>830</v>
      </c>
      <c r="K43" s="1902"/>
      <c r="L43" s="1902"/>
      <c r="M43" s="1902"/>
      <c r="N43" s="1901">
        <f>IF(Data!B20&lt;&gt;"",Data!B20,"")</f>
        <v>46036</v>
      </c>
      <c r="O43" s="1901"/>
      <c r="P43" s="1901"/>
      <c r="Q43" s="1901"/>
      <c r="R43" s="1901"/>
      <c r="S43" s="116"/>
      <c r="T43" s="1902" t="s">
        <v>831</v>
      </c>
      <c r="U43" s="1902"/>
      <c r="V43" s="1902"/>
      <c r="W43" s="1902"/>
      <c r="X43" s="1903" t="str">
        <f>IF(Data!B21&lt;&gt;"",Data!B21,"")</f>
        <v/>
      </c>
      <c r="Y43" s="1903"/>
      <c r="Z43" s="1903"/>
      <c r="AA43" s="1903"/>
    </row>
    <row r="44" spans="1:40" ht="3.75" hidden="1" customHeight="1" x14ac:dyDescent="0.2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5.95" customHeight="1" x14ac:dyDescent="0.25">
      <c r="A45" s="1890">
        <v>7</v>
      </c>
      <c r="B45" s="1902"/>
      <c r="C45" s="1890" t="s">
        <v>819</v>
      </c>
      <c r="D45" s="1902"/>
      <c r="E45" s="1902"/>
      <c r="F45" s="1902"/>
      <c r="G45" s="1902"/>
      <c r="H45" s="1902"/>
      <c r="I45" s="1902"/>
      <c r="J45" s="1902"/>
      <c r="K45" s="1902"/>
      <c r="L45" s="1902"/>
      <c r="M45" s="1902"/>
      <c r="N45" s="1902"/>
      <c r="O45" s="1902"/>
      <c r="P45" s="1902"/>
      <c r="Q45" s="1902"/>
      <c r="R45" s="1891"/>
      <c r="S45" s="1896"/>
      <c r="T45" s="1897"/>
      <c r="U45" s="1896"/>
      <c r="V45" s="1897"/>
      <c r="W45" s="1898"/>
      <c r="X45" s="1899"/>
      <c r="Y45" s="1898"/>
      <c r="Z45" s="1900"/>
      <c r="AA45" s="1899"/>
      <c r="AF45" s="1931" t="s">
        <v>871</v>
      </c>
      <c r="AG45" s="1931"/>
      <c r="AH45" s="1931"/>
      <c r="AI45" s="1931"/>
      <c r="AJ45" s="1931"/>
      <c r="AK45" s="1931"/>
      <c r="AL45" s="1931"/>
    </row>
    <row r="46" spans="1:40" ht="15.95" customHeight="1" x14ac:dyDescent="0.25">
      <c r="A46" s="1776"/>
      <c r="B46" s="1776"/>
      <c r="C46" s="1936" t="s">
        <v>108</v>
      </c>
      <c r="D46" s="1463" t="s">
        <v>4</v>
      </c>
      <c r="E46" s="1463"/>
      <c r="F46" s="1811" t="s">
        <v>1055</v>
      </c>
      <c r="G46" s="1811"/>
      <c r="H46" s="1811" t="s">
        <v>730</v>
      </c>
      <c r="I46" s="1811"/>
      <c r="J46" s="1811"/>
      <c r="K46" s="1658" t="s">
        <v>43</v>
      </c>
      <c r="L46" s="1658"/>
      <c r="M46" s="1658"/>
      <c r="N46" s="1658"/>
      <c r="O46" s="1658"/>
      <c r="P46" s="1658"/>
      <c r="Q46" s="1463" t="s">
        <v>727</v>
      </c>
      <c r="R46" s="1463"/>
      <c r="S46" s="1463" t="s">
        <v>728</v>
      </c>
      <c r="T46" s="1463"/>
      <c r="U46" s="1463" t="s">
        <v>71</v>
      </c>
      <c r="V46" s="1463"/>
      <c r="W46" s="1463" t="s">
        <v>16</v>
      </c>
      <c r="X46" s="1463"/>
      <c r="Y46" s="1463" t="s">
        <v>21</v>
      </c>
      <c r="Z46" s="1463"/>
      <c r="AA46" s="1463"/>
      <c r="AF46" s="1886" t="s">
        <v>4</v>
      </c>
      <c r="AG46" s="1887"/>
      <c r="AH46" s="1886" t="s">
        <v>728</v>
      </c>
      <c r="AI46" s="1887"/>
      <c r="AJ46" s="1886" t="s">
        <v>16</v>
      </c>
      <c r="AK46" s="1887"/>
      <c r="AL46" s="1905" t="s">
        <v>21</v>
      </c>
      <c r="AN46" s="1905" t="s">
        <v>1268</v>
      </c>
    </row>
    <row r="47" spans="1:40" ht="15.95" customHeight="1" x14ac:dyDescent="0.25">
      <c r="A47" s="1776"/>
      <c r="B47" s="1776"/>
      <c r="C47" s="1936"/>
      <c r="D47" s="1463"/>
      <c r="E47" s="1463"/>
      <c r="F47" s="1811"/>
      <c r="G47" s="1811"/>
      <c r="H47" s="1811"/>
      <c r="I47" s="1811"/>
      <c r="J47" s="1811"/>
      <c r="K47" s="1658"/>
      <c r="L47" s="1658"/>
      <c r="M47" s="1658"/>
      <c r="N47" s="1658"/>
      <c r="O47" s="1658"/>
      <c r="P47" s="1658"/>
      <c r="Q47" s="1463"/>
      <c r="R47" s="1463"/>
      <c r="S47" s="1463"/>
      <c r="T47" s="1463"/>
      <c r="U47" s="1463"/>
      <c r="V47" s="1463"/>
      <c r="W47" s="1463"/>
      <c r="X47" s="1463"/>
      <c r="Y47" s="1463"/>
      <c r="Z47" s="1463"/>
      <c r="AA47" s="1463"/>
      <c r="AF47" s="1888"/>
      <c r="AG47" s="1889"/>
      <c r="AH47" s="1888"/>
      <c r="AI47" s="1889"/>
      <c r="AJ47" s="1888"/>
      <c r="AK47" s="1889"/>
      <c r="AL47" s="1906"/>
      <c r="AN47" s="1906"/>
    </row>
    <row r="48" spans="1:40" ht="15.95" customHeight="1" x14ac:dyDescent="0.25">
      <c r="A48" s="1776"/>
      <c r="B48" s="1776"/>
      <c r="C48" s="168">
        <f>IF(TRIM(H48)="","",IF(Data!CX60&gt;0,IF(Data!CX60&lt;&gt;"", Data!CX60, " ")," "))</f>
        <v>1</v>
      </c>
      <c r="D48" s="1775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0</v>
      </c>
      <c r="E48" s="1775"/>
      <c r="F48" s="1879" t="str">
        <f>IF(COUNTIF(IF(Data!F12&gt;0,IF(Data!F12&lt;&gt;"", Data!F12, " ")," "),"10.5"),IF(Data!F12&gt;0,IF(Data!F12&lt;&gt;"", Data!F12, " ")," "),LEFT(IF(Data!F12&gt;0,IF(Data!F12&lt;&gt;"", Data!F12, " ")," "),2))</f>
        <v>13</v>
      </c>
      <c r="G48" s="1880"/>
      <c r="H48" s="1907">
        <f>IF(Data!G12&gt;0,IF(Data!G12&lt;&gt;"", Data!G12, " ")," ")</f>
        <v>1145493</v>
      </c>
      <c r="I48" s="1907"/>
      <c r="J48" s="1907"/>
      <c r="K48" s="1885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885"/>
      <c r="M48" s="1885"/>
      <c r="N48" s="1885"/>
      <c r="O48" s="1885"/>
      <c r="P48" s="1885"/>
      <c r="Q48" s="1776">
        <f>IF($W$27=550,0,IF(Data!L12&gt;0,IF(Data!L12&lt;&gt;"",Data!L12,0),0))</f>
        <v>0</v>
      </c>
      <c r="R48" s="1776"/>
      <c r="S48" s="1775" t="str">
        <f>IF($W$27=550,0,IF('Eng. Cutter Entry'!C4&lt;&gt;"",IF(Data!K12&gt;0,IF(Data!K12&lt;&gt;"",Data!K12," ")," "),D48-Q48))</f>
        <v xml:space="preserve"> </v>
      </c>
      <c r="T48" s="1775"/>
      <c r="U48" s="1775" t="str">
        <f t="shared" ref="U48:U57" si="0">IF(AND(TRIM(S48)&lt;&gt;"",S48&lt;&gt;0),"EA","")</f>
        <v/>
      </c>
      <c r="V48" s="1775"/>
      <c r="W48" s="1775">
        <f>IF(AND(TRIM(S48)&lt;&gt;"",S48&lt;&gt;0),Data!GQ2,0)</f>
        <v>0</v>
      </c>
      <c r="X48" s="1775"/>
      <c r="Y48" s="1884">
        <f t="shared" ref="Y48:Y57" si="1">IF(TRIM(S48)&lt;&gt;"",S48*W48,0)</f>
        <v>0</v>
      </c>
      <c r="Z48" s="1884"/>
      <c r="AA48" s="1884"/>
      <c r="AF48" s="1879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0</v>
      </c>
      <c r="AG48" s="1880"/>
      <c r="AH48" s="1890">
        <f>IF($W$27=550,0,IF('Eng. Cutter Entry'!$C$4&lt;&gt;"",AF48-Q48,0))</f>
        <v>0</v>
      </c>
      <c r="AI48" s="1891"/>
      <c r="AJ48" s="1890">
        <f>IF(Data!GQ2&lt;&gt;"",Data!GQ2,0)</f>
        <v>360</v>
      </c>
      <c r="AK48" s="1891"/>
      <c r="AL48" s="36">
        <f>IF(AH48&lt;0,0,AJ48*AH48)</f>
        <v>0</v>
      </c>
      <c r="AN48" s="37">
        <f>Q48*W48</f>
        <v>0</v>
      </c>
    </row>
    <row r="49" spans="1:40" ht="15.95" customHeight="1" x14ac:dyDescent="0.25">
      <c r="A49" s="1776"/>
      <c r="B49" s="1776"/>
      <c r="C49" s="168">
        <f>IF(TRIM(H49)="","",IF(Data!CX61&gt;0,IF(Data!CX61&lt;&gt;"", Data!CX61, " ")," "))</f>
        <v>2</v>
      </c>
      <c r="D49" s="1879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0</v>
      </c>
      <c r="E49" s="1880"/>
      <c r="F49" s="1879" t="str">
        <f>IF(COUNTIF(IF(Data!F13&gt;0,IF(Data!F13&lt;&gt;"", Data!F13, " ")," "),"10.5"),IF(Data!F13&gt;0,IF(Data!F13&lt;&gt;"", Data!F13, " ")," "),LEFT(IF(Data!F13&gt;0,IF(Data!F13&lt;&gt;"", Data!F13, " ")," "),2))</f>
        <v>13</v>
      </c>
      <c r="G49" s="1880"/>
      <c r="H49" s="1881">
        <f>IF(Data!G13&gt;0,IF(Data!G13&lt;&gt;"", Data!G13, " ")," ")</f>
        <v>418525</v>
      </c>
      <c r="I49" s="1882"/>
      <c r="J49" s="1883"/>
      <c r="K49" s="1885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885"/>
      <c r="M49" s="1885"/>
      <c r="N49" s="1885"/>
      <c r="O49" s="1885"/>
      <c r="P49" s="1885"/>
      <c r="Q49" s="1776">
        <f>IF($W$27=550,0,IF(Data!L13&gt;0,IF(Data!L13&lt;&gt;"",Data!L13,0),0))</f>
        <v>0</v>
      </c>
      <c r="R49" s="1776"/>
      <c r="S49" s="1775" t="str">
        <f>IF($W$27=550,0,IF('Eng. Cutter Entry'!C4&lt;&gt;"",IF(Data!K13&gt;0,IF(Data!K13&lt;&gt;"",Data!K13," ")," "),D49-Q49))</f>
        <v xml:space="preserve"> </v>
      </c>
      <c r="T49" s="1775"/>
      <c r="U49" s="1775" t="str">
        <f t="shared" si="0"/>
        <v/>
      </c>
      <c r="V49" s="1775"/>
      <c r="W49" s="1775">
        <f>IF(AND(TRIM(S49)&lt;&gt;"",S49&lt;&gt;0),Data!GQ3,0)</f>
        <v>0</v>
      </c>
      <c r="X49" s="1775"/>
      <c r="Y49" s="1884">
        <f t="shared" si="1"/>
        <v>0</v>
      </c>
      <c r="Z49" s="1884"/>
      <c r="AA49" s="1884"/>
      <c r="AF49" s="1879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0</v>
      </c>
      <c r="AG49" s="1880"/>
      <c r="AH49" s="1890">
        <f>IF($W$27=550,0,IF('Eng. Cutter Entry'!$C$4&lt;&gt;"",AF49-Q49,0))</f>
        <v>0</v>
      </c>
      <c r="AI49" s="1891"/>
      <c r="AJ49" s="1890">
        <f>IF(Data!GQ3&lt;&gt;"",Data!GQ3,0)</f>
        <v>100</v>
      </c>
      <c r="AK49" s="1891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5.95" customHeight="1" x14ac:dyDescent="0.25">
      <c r="A50" s="1776"/>
      <c r="B50" s="1776"/>
      <c r="C50" s="168">
        <f>IF(TRIM(H50)="","",IF(Data!CX62&gt;0,IF(Data!CX62&lt;&gt;"", Data!CX62, " ")," "))</f>
        <v>3</v>
      </c>
      <c r="D50" s="1879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0</v>
      </c>
      <c r="E50" s="1880"/>
      <c r="F50" s="1879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880"/>
      <c r="H50" s="1881">
        <f>IF(Data!G14&gt;0,IF(Data!G14&lt;&gt;"", Data!G14, " ")," ")</f>
        <v>1209332</v>
      </c>
      <c r="I50" s="1882"/>
      <c r="J50" s="1883"/>
      <c r="K50" s="1885" t="str">
        <f>IF(AND(COUNTIF(H50,"418525"),D50&lt;&gt;0),"Drop In Cutter",IF(Data!H14&gt;0,IF(Data!H14&lt;&gt;"",""," ")," ")&amp;"  "&amp;IF(COUNTIF(Data!J14,"B*"),"Base",IF(COUNTIF(Data!J14,"P*"),"Pre.",IF(COUNTIF(Data!J14,"S*"),"S.Pre.",""))))</f>
        <v xml:space="preserve">  </v>
      </c>
      <c r="L50" s="1885"/>
      <c r="M50" s="1885"/>
      <c r="N50" s="1885"/>
      <c r="O50" s="1885"/>
      <c r="P50" s="1885"/>
      <c r="Q50" s="1776">
        <f>IF($W$27=550,0,IF(Data!L14&gt;0,IF(Data!L14&lt;&gt;"",Data!L14,0),0))</f>
        <v>0</v>
      </c>
      <c r="R50" s="1776"/>
      <c r="S50" s="1775" t="str">
        <f>IF($W$27=550,0,IF('Eng. Cutter Entry'!C4&lt;&gt;"",IF(Data!K14&gt;0,IF(Data!K14&lt;&gt;"",Data!K14," ")," "),D50-Q50))</f>
        <v xml:space="preserve"> </v>
      </c>
      <c r="T50" s="1775"/>
      <c r="U50" s="1775" t="str">
        <f t="shared" si="0"/>
        <v/>
      </c>
      <c r="V50" s="1775"/>
      <c r="W50" s="1775">
        <f>IF(AND(TRIM(S50)&lt;&gt;"",S50&lt;&gt;0),Data!GQ4,0)</f>
        <v>0</v>
      </c>
      <c r="X50" s="1775"/>
      <c r="Y50" s="1884">
        <f t="shared" si="1"/>
        <v>0</v>
      </c>
      <c r="Z50" s="1884"/>
      <c r="AA50" s="1884"/>
      <c r="AF50" s="1879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0</v>
      </c>
      <c r="AG50" s="1880"/>
      <c r="AH50" s="1890">
        <f>IF($W$27=550,0,IF('Eng. Cutter Entry'!$C$4&lt;&gt;"",AF50-Q50,0))</f>
        <v>0</v>
      </c>
      <c r="AI50" s="1891"/>
      <c r="AJ50" s="1890">
        <f>IF(Data!GQ4&lt;&gt;"",Data!GQ4,0)</f>
        <v>360</v>
      </c>
      <c r="AK50" s="1891"/>
      <c r="AL50" s="36">
        <f t="shared" si="2"/>
        <v>0</v>
      </c>
      <c r="AN50" s="37">
        <f t="shared" si="3"/>
        <v>0</v>
      </c>
    </row>
    <row r="51" spans="1:40" ht="15.95" customHeight="1" x14ac:dyDescent="0.25">
      <c r="A51" s="1776"/>
      <c r="B51" s="1776"/>
      <c r="C51" s="168">
        <f>IF(TRIM(H51)="","",IF(Data!CX63&gt;0,IF(Data!CX63&lt;&gt;"", Data!CX63, " ")," "))</f>
        <v>4</v>
      </c>
      <c r="D51" s="1879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0</v>
      </c>
      <c r="E51" s="1880"/>
      <c r="F51" s="1879" t="str">
        <f>IF(COUNTIF(IF(Data!F15&gt;0,IF(Data!F15&lt;&gt;"", Data!F15, " ")," "),"10.5"),IF(Data!F15&gt;0,IF(Data!F15&lt;&gt;"", Data!F15, " ")," "),LEFT(IF(Data!F15&gt;0,IF(Data!F15&lt;&gt;"", Data!F15, " ")," "),2))</f>
        <v>13</v>
      </c>
      <c r="G51" s="1880"/>
      <c r="H51" s="1881">
        <f>IF(Data!G15&gt;0,IF(Data!G15&lt;&gt;"", Data!G15, " ")," ")</f>
        <v>1146346</v>
      </c>
      <c r="I51" s="1882"/>
      <c r="J51" s="1883"/>
      <c r="K51" s="1885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</v>
      </c>
      <c r="L51" s="1885"/>
      <c r="M51" s="1885"/>
      <c r="N51" s="1885"/>
      <c r="O51" s="1885"/>
      <c r="P51" s="1885"/>
      <c r="Q51" s="1776">
        <f>IF($W$27=550,0,IF(Data!L15&gt;0,IF(Data!L15&lt;&gt;"",Data!L15,0),0))</f>
        <v>0</v>
      </c>
      <c r="R51" s="1776"/>
      <c r="S51" s="1775" t="str">
        <f>IF($W$27=550,0,IF('Eng. Cutter Entry'!C4&lt;&gt;"",IF(Data!K15&gt;0,IF(Data!K15&lt;&gt;"",Data!K15," ")," "),D51-Q51))</f>
        <v xml:space="preserve"> </v>
      </c>
      <c r="T51" s="1775"/>
      <c r="U51" s="1775" t="str">
        <f t="shared" si="0"/>
        <v/>
      </c>
      <c r="V51" s="1775"/>
      <c r="W51" s="1775">
        <f>IF(AND(TRIM(S51)&lt;&gt;"",S51&lt;&gt;0),Data!GQ5,0)</f>
        <v>0</v>
      </c>
      <c r="X51" s="1775"/>
      <c r="Y51" s="1884">
        <f t="shared" si="1"/>
        <v>0</v>
      </c>
      <c r="Z51" s="1884"/>
      <c r="AA51" s="1884"/>
      <c r="AF51" s="1879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0</v>
      </c>
      <c r="AG51" s="1880"/>
      <c r="AH51" s="1890">
        <f>IF($W$27=550,0,IF('Eng. Cutter Entry'!$C$4&lt;&gt;"",AF51-Q51,0))</f>
        <v>0</v>
      </c>
      <c r="AI51" s="1891"/>
      <c r="AJ51" s="1890">
        <f>IF(Data!GQ5&lt;&gt;"",Data!GQ5,0)</f>
        <v>360</v>
      </c>
      <c r="AK51" s="1891"/>
      <c r="AL51" s="36">
        <f t="shared" si="2"/>
        <v>0</v>
      </c>
      <c r="AN51" s="37">
        <f t="shared" si="3"/>
        <v>0</v>
      </c>
    </row>
    <row r="52" spans="1:40" ht="15.95" customHeight="1" x14ac:dyDescent="0.25">
      <c r="A52" s="1776"/>
      <c r="B52" s="1776"/>
      <c r="C52" s="168">
        <f>IF(TRIM(H52)="","",IF(Data!CX64&gt;0,IF(Data!CX64&lt;&gt;"", Data!CX64, " ")," "))</f>
        <v>5</v>
      </c>
      <c r="D52" s="1879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880"/>
      <c r="F52" s="1879" t="str">
        <f>IF(COUNTIF(IF(Data!F16&gt;0,IF(Data!F16&lt;&gt;"", Data!F16, " ")," "),"10.5"),IF(Data!F16&gt;0,IF(Data!F16&lt;&gt;"", Data!F16, " ")," "),LEFT(IF(Data!F16&gt;0,IF(Data!F16&lt;&gt;"", Data!F16, " ")," "),2))</f>
        <v>13</v>
      </c>
      <c r="G52" s="1880"/>
      <c r="H52" s="1881">
        <f>IF(Data!G16&gt;0,IF(Data!G16&lt;&gt;"", Data!G16, " ")," ")</f>
        <v>2001155</v>
      </c>
      <c r="I52" s="1882"/>
      <c r="J52" s="1883"/>
      <c r="K52" s="1885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</v>
      </c>
      <c r="L52" s="1885"/>
      <c r="M52" s="1885"/>
      <c r="N52" s="1885"/>
      <c r="O52" s="1885"/>
      <c r="P52" s="1885"/>
      <c r="Q52" s="1776">
        <f>IF($W$27=550,0,IF(Data!L16&gt;0,IF(Data!L16&lt;&gt;"",Data!L16,0),0))</f>
        <v>0</v>
      </c>
      <c r="R52" s="1776"/>
      <c r="S52" s="1775" t="str">
        <f>IF($W$27=550,0,IF('Eng. Cutter Entry'!C4&lt;&gt;"",IF(Data!K16&gt;0,IF(Data!K16&lt;&gt;"",Data!K16," ")," "),D52-Q52))</f>
        <v xml:space="preserve"> </v>
      </c>
      <c r="T52" s="1775"/>
      <c r="U52" s="1775" t="str">
        <f t="shared" si="0"/>
        <v/>
      </c>
      <c r="V52" s="1775"/>
      <c r="W52" s="1775">
        <f>IF(AND(TRIM(S52)&lt;&gt;"",S52&lt;&gt;0),Data!GQ6,0)</f>
        <v>0</v>
      </c>
      <c r="X52" s="1775"/>
      <c r="Y52" s="1884">
        <f t="shared" si="1"/>
        <v>0</v>
      </c>
      <c r="Z52" s="1884"/>
      <c r="AA52" s="1884"/>
      <c r="AF52" s="1879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880"/>
      <c r="AH52" s="1776">
        <f>IF($W$27=550,0,IF('Eng. Cutter Entry'!$C$4&lt;&gt;"",AF52-Q52,0))</f>
        <v>0</v>
      </c>
      <c r="AI52" s="1776"/>
      <c r="AJ52" s="1776">
        <f>IF(Data!GQ6&lt;&gt;"",Data!GQ6,0)</f>
        <v>360</v>
      </c>
      <c r="AK52" s="1776"/>
      <c r="AL52" s="36">
        <f t="shared" si="2"/>
        <v>0</v>
      </c>
      <c r="AN52" s="37">
        <f t="shared" si="3"/>
        <v>0</v>
      </c>
    </row>
    <row r="53" spans="1:40" ht="15.95" customHeight="1" x14ac:dyDescent="0.25">
      <c r="A53" s="1776"/>
      <c r="B53" s="1776"/>
      <c r="C53" s="168" t="str">
        <f>IF(TRIM(H53)="","",IF(Data!CX65&gt;0,IF(Data!CX65&lt;&gt;"", Data!CX65, " ")," "))</f>
        <v/>
      </c>
      <c r="D53" s="1879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880"/>
      <c r="F53" s="1879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880"/>
      <c r="H53" s="1881" t="str">
        <f>IF(Data!G17&gt;0,IF(Data!G17&lt;&gt;"", Data!G17, " ")," ")</f>
        <v xml:space="preserve"> </v>
      </c>
      <c r="I53" s="1882"/>
      <c r="J53" s="1883"/>
      <c r="K53" s="1885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885"/>
      <c r="M53" s="1885"/>
      <c r="N53" s="1885"/>
      <c r="O53" s="1885"/>
      <c r="P53" s="1885"/>
      <c r="Q53" s="1776">
        <f>IF($W$27=550,0,IF(Data!L17&gt;0,IF(Data!L17&lt;&gt;"",Data!L17,0),0))</f>
        <v>0</v>
      </c>
      <c r="R53" s="1776"/>
      <c r="S53" s="1775" t="str">
        <f>IF($W$27=550,0,IF('Eng. Cutter Entry'!C5&lt;&gt;"",IF(Data!K17&gt;0,IF(Data!K17&lt;&gt;"",Data!K17," ")," "),D53-Q53))</f>
        <v xml:space="preserve"> </v>
      </c>
      <c r="T53" s="1775"/>
      <c r="U53" s="1775" t="str">
        <f t="shared" si="0"/>
        <v/>
      </c>
      <c r="V53" s="1775"/>
      <c r="W53" s="1775">
        <f>IF(AND(TRIM(S53)&lt;&gt;"",S53&lt;&gt;0),Data!GQ7,0)</f>
        <v>0</v>
      </c>
      <c r="X53" s="1775"/>
      <c r="Y53" s="1884">
        <f t="shared" si="1"/>
        <v>0</v>
      </c>
      <c r="Z53" s="1884"/>
      <c r="AA53" s="1884"/>
      <c r="AF53" s="1879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880"/>
      <c r="AH53" s="1776">
        <f>IF($W$27=550,0,IF('Eng. Cutter Entry'!$C$4&lt;&gt;"",AF53-Q53,0))</f>
        <v>0</v>
      </c>
      <c r="AI53" s="1776"/>
      <c r="AJ53" s="1776">
        <f>IF(Data!GQ7&lt;&gt;"",Data!GQ7,0)</f>
        <v>0</v>
      </c>
      <c r="AK53" s="1776"/>
      <c r="AL53" s="36">
        <f t="shared" si="2"/>
        <v>0</v>
      </c>
      <c r="AN53" s="37">
        <f t="shared" si="3"/>
        <v>0</v>
      </c>
    </row>
    <row r="54" spans="1:40" ht="15.95" customHeight="1" x14ac:dyDescent="0.25">
      <c r="A54" s="1776"/>
      <c r="B54" s="1776"/>
      <c r="C54" s="168" t="str">
        <f>IF(TRIM(H54)="","",IF(Data!CX66&gt;0,IF(Data!CX66&lt;&gt;"", Data!CX66, " ")," "))</f>
        <v/>
      </c>
      <c r="D54" s="1879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880"/>
      <c r="F54" s="1879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880"/>
      <c r="H54" s="1881" t="str">
        <f>IF(Data!G18&gt;0,IF(Data!G18&lt;&gt;"", Data!G18, " ")," ")</f>
        <v xml:space="preserve"> </v>
      </c>
      <c r="I54" s="1882"/>
      <c r="J54" s="1883"/>
      <c r="K54" s="1885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885"/>
      <c r="M54" s="1885"/>
      <c r="N54" s="1885"/>
      <c r="O54" s="1885"/>
      <c r="P54" s="1885"/>
      <c r="Q54" s="1776">
        <f>IF($W$27=550,0,IF(Data!L17&gt;0,IF(Data!L17&lt;&gt;"",Data!L17,0),0))</f>
        <v>0</v>
      </c>
      <c r="R54" s="1776"/>
      <c r="S54" s="1775" t="str">
        <f>IF($W$27=550,0,IF('Eng. Cutter Entry'!C6&lt;&gt;"",IF(Data!K18&gt;0,IF(Data!K18&lt;&gt;"",Data!K18," ")," "),D54-Q54))</f>
        <v xml:space="preserve"> </v>
      </c>
      <c r="T54" s="1775"/>
      <c r="U54" s="1775" t="str">
        <f t="shared" si="0"/>
        <v/>
      </c>
      <c r="V54" s="1775"/>
      <c r="W54" s="1775">
        <f>IF(AND(TRIM(S54)&lt;&gt;"",S54&lt;&gt;0),Data!GQ8,0)</f>
        <v>0</v>
      </c>
      <c r="X54" s="1775"/>
      <c r="Y54" s="1884">
        <f>IF(TRIM(S54)&lt;&gt;"",S54*W54,0)</f>
        <v>0</v>
      </c>
      <c r="Z54" s="1884"/>
      <c r="AA54" s="1884"/>
      <c r="AF54" s="1879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880"/>
      <c r="AH54" s="1776">
        <f>IF($W$27=550,0,IF('Eng. Cutter Entry'!$C$4&lt;&gt;"",AF54-Q54,0))</f>
        <v>0</v>
      </c>
      <c r="AI54" s="1776"/>
      <c r="AJ54" s="1776">
        <f>IF(Data!GQ8&lt;&gt;"",Data!GQ8,0)</f>
        <v>0</v>
      </c>
      <c r="AK54" s="1776"/>
      <c r="AL54" s="36">
        <f>IF(AH54&lt;0,0,AJ54*AH54)</f>
        <v>0</v>
      </c>
      <c r="AN54" s="37">
        <f t="shared" si="3"/>
        <v>0</v>
      </c>
    </row>
    <row r="55" spans="1:40" ht="15.95" customHeight="1" x14ac:dyDescent="0.25">
      <c r="A55" s="1776"/>
      <c r="B55" s="1776"/>
      <c r="C55" s="168" t="str">
        <f>IF(TRIM(H55)="","",IF(Data!CX67&gt;0,IF(Data!CX67&lt;&gt;"", Data!CX67, " ")," "))</f>
        <v/>
      </c>
      <c r="D55" s="1879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880"/>
      <c r="F55" s="1879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880"/>
      <c r="H55" s="1881" t="str">
        <f>IF(Data!G19&gt;0,IF(Data!G19&lt;&gt;"", Data!G19, " ")," ")</f>
        <v xml:space="preserve"> </v>
      </c>
      <c r="I55" s="1882"/>
      <c r="J55" s="1883"/>
      <c r="K55" s="1885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885"/>
      <c r="M55" s="1885"/>
      <c r="N55" s="1885"/>
      <c r="O55" s="1885"/>
      <c r="P55" s="1885"/>
      <c r="Q55" s="1776">
        <f>IF($W$27=550,0,IF(Data!L17&gt;0,IF(Data!L17&lt;&gt;"",Data!L17,0),0))</f>
        <v>0</v>
      </c>
      <c r="R55" s="1776"/>
      <c r="S55" s="1775" t="str">
        <f>IF($W$27=550,0,IF('Eng. Cutter Entry'!C7&lt;&gt;"",IF(Data!K19&gt;0,IF(Data!K19&lt;&gt;"",Data!K19," ")," "),D55-Q55))</f>
        <v xml:space="preserve"> </v>
      </c>
      <c r="T55" s="1775"/>
      <c r="U55" s="1775" t="str">
        <f t="shared" si="0"/>
        <v/>
      </c>
      <c r="V55" s="1775"/>
      <c r="W55" s="1775">
        <f>IF(AND(TRIM(S55)&lt;&gt;"",S55&lt;&gt;0),Data!GQ9,0)</f>
        <v>0</v>
      </c>
      <c r="X55" s="1775"/>
      <c r="Y55" s="1884">
        <f>IF(TRIM(S55)&lt;&gt;"",S55*W55,0)</f>
        <v>0</v>
      </c>
      <c r="Z55" s="1884"/>
      <c r="AA55" s="1884"/>
      <c r="AF55" s="1879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880"/>
      <c r="AH55" s="1776">
        <f>IF($W$27=550,0,IF('Eng. Cutter Entry'!$C$4&lt;&gt;"",AF55-Q55,0))</f>
        <v>0</v>
      </c>
      <c r="AI55" s="1776"/>
      <c r="AJ55" s="1776">
        <f>IF(Data!GQ9&lt;&gt;"",Data!GQ9,0)</f>
        <v>0</v>
      </c>
      <c r="AK55" s="1776"/>
      <c r="AL55" s="36">
        <f>IF(AH55&lt;0,0,AJ55*AH55)</f>
        <v>0</v>
      </c>
      <c r="AN55" s="37">
        <f t="shared" si="3"/>
        <v>0</v>
      </c>
    </row>
    <row r="56" spans="1:40" ht="15.95" customHeight="1" x14ac:dyDescent="0.25">
      <c r="A56" s="1776"/>
      <c r="B56" s="1776"/>
      <c r="C56" s="168" t="str">
        <f>IF(TRIM(H56)="","",IF(Data!CX68&gt;0,IF(Data!CX68&lt;&gt;"", Data!CX68, " ")," "))</f>
        <v/>
      </c>
      <c r="D56" s="1879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880"/>
      <c r="F56" s="1879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880"/>
      <c r="H56" s="1881" t="str">
        <f>IF(Data!G20&gt;0,IF(Data!G20&lt;&gt;"", Data!G20, " ")," ")</f>
        <v xml:space="preserve"> </v>
      </c>
      <c r="I56" s="1882"/>
      <c r="J56" s="1883"/>
      <c r="K56" s="1885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885"/>
      <c r="M56" s="1885"/>
      <c r="N56" s="1885"/>
      <c r="O56" s="1885"/>
      <c r="P56" s="1885"/>
      <c r="Q56" s="1776">
        <f>IF($W$27=550,0,IF(Data!L17&gt;0,IF(Data!L17&lt;&gt;"",Data!L17,0),0))</f>
        <v>0</v>
      </c>
      <c r="R56" s="1776"/>
      <c r="S56" s="1775" t="str">
        <f>IF($W$27=550,0,IF('Eng. Cutter Entry'!C8&lt;&gt;"",IF(Data!K20&gt;0,IF(Data!K20&lt;&gt;"",Data!K20," ")," "),D56-Q56))</f>
        <v xml:space="preserve"> </v>
      </c>
      <c r="T56" s="1775"/>
      <c r="U56" s="1775" t="str">
        <f t="shared" si="0"/>
        <v/>
      </c>
      <c r="V56" s="1775"/>
      <c r="W56" s="1775">
        <f>IF(AND(TRIM(S56)&lt;&gt;"",S56&lt;&gt;0),Data!GQ10,0)</f>
        <v>0</v>
      </c>
      <c r="X56" s="1775"/>
      <c r="Y56" s="1884">
        <f>IF(TRIM(S56)&lt;&gt;"",S56*W56,0)</f>
        <v>0</v>
      </c>
      <c r="Z56" s="1884"/>
      <c r="AA56" s="1884"/>
      <c r="AF56" s="1879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880"/>
      <c r="AH56" s="1776">
        <f>IF($W$27=550,0,IF('Eng. Cutter Entry'!$C$4&lt;&gt;"",AF56-Q56,0))</f>
        <v>0</v>
      </c>
      <c r="AI56" s="1776"/>
      <c r="AJ56" s="1776">
        <f>IF(Data!GQ10&lt;&gt;"",Data!GQ10,0)</f>
        <v>0</v>
      </c>
      <c r="AK56" s="1776"/>
      <c r="AL56" s="36">
        <f>IF(AH56&lt;0,0,AJ56*AH56)</f>
        <v>0</v>
      </c>
      <c r="AN56" s="37">
        <f t="shared" si="3"/>
        <v>0</v>
      </c>
    </row>
    <row r="57" spans="1:40" ht="15.95" customHeight="1" x14ac:dyDescent="0.25">
      <c r="A57" s="1776"/>
      <c r="B57" s="1776"/>
      <c r="C57" s="168" t="str">
        <f>IF(TRIM(H57)="","",IF(Data!CX69&gt;0,IF(Data!CX69&lt;&gt;"", Data!CX69, " ")," "))</f>
        <v/>
      </c>
      <c r="D57" s="1879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880"/>
      <c r="F57" s="1879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880"/>
      <c r="H57" s="1881" t="str">
        <f>IF(Data!G21&gt;0,IF(Data!G21&lt;&gt;"", Data!G21, " ")," ")</f>
        <v xml:space="preserve"> </v>
      </c>
      <c r="I57" s="1882"/>
      <c r="J57" s="1883"/>
      <c r="K57" s="1885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885"/>
      <c r="M57" s="1885"/>
      <c r="N57" s="1885"/>
      <c r="O57" s="1885"/>
      <c r="P57" s="1885"/>
      <c r="Q57" s="1776">
        <f>IF($W$27=550,0,IF(Data!L18&gt;0,IF(Data!L18&lt;&gt;"",Data!L18,0),0))</f>
        <v>0</v>
      </c>
      <c r="R57" s="1776"/>
      <c r="S57" s="1775">
        <f>IF($W$27=550,0,IF('Eng. Cutter Entry'!C9&lt;&gt;"",IF(Data!K21&gt;0,IF(Data!K21&lt;&gt;"",Data!K21," ")," "),D57-Q57))</f>
        <v>0</v>
      </c>
      <c r="T57" s="1775"/>
      <c r="U57" s="1775" t="str">
        <f t="shared" si="0"/>
        <v/>
      </c>
      <c r="V57" s="1775"/>
      <c r="W57" s="1775">
        <f>IF(AND(TRIM(S57)&lt;&gt;"",S57&lt;&gt;0),Data!GQ11,0)</f>
        <v>0</v>
      </c>
      <c r="X57" s="1775"/>
      <c r="Y57" s="1884">
        <f t="shared" si="1"/>
        <v>0</v>
      </c>
      <c r="Z57" s="1884"/>
      <c r="AA57" s="1884"/>
      <c r="AF57" s="1879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880"/>
      <c r="AH57" s="1776">
        <f>IF($W$27=550,0,IF('Eng. Cutter Entry'!$C$4&lt;&gt;"",AF57-Q57,0))</f>
        <v>0</v>
      </c>
      <c r="AI57" s="1776"/>
      <c r="AJ57" s="1776">
        <f>IF(Data!GQ11&lt;&gt;"",Data!GQ11,0)</f>
        <v>0</v>
      </c>
      <c r="AK57" s="1776"/>
      <c r="AL57" s="36">
        <f t="shared" si="2"/>
        <v>0</v>
      </c>
      <c r="AN57" s="37">
        <f t="shared" si="3"/>
        <v>0</v>
      </c>
    </row>
    <row r="58" spans="1:40" ht="15.95" customHeight="1" x14ac:dyDescent="0.25">
      <c r="A58" s="1776"/>
      <c r="B58" s="1776"/>
      <c r="C58" s="1776" t="s">
        <v>834</v>
      </c>
      <c r="D58" s="1776"/>
      <c r="E58" s="1776"/>
      <c r="F58" s="1776"/>
      <c r="G58" s="1776"/>
      <c r="H58" s="1776"/>
      <c r="I58" s="1776"/>
      <c r="J58" s="1776"/>
      <c r="K58" s="1776"/>
      <c r="L58" s="1776"/>
      <c r="M58" s="1776"/>
      <c r="N58" s="1776"/>
      <c r="O58" s="1776"/>
      <c r="P58" s="1776"/>
      <c r="Q58" s="1776"/>
      <c r="R58" s="1776"/>
      <c r="S58" s="1776"/>
      <c r="T58" s="1776"/>
      <c r="U58" s="1776"/>
      <c r="V58" s="1776"/>
      <c r="W58" s="1776"/>
      <c r="X58" s="1776"/>
      <c r="Y58" s="1937">
        <f>IF(Data!L4=1,550,IF(Data!L5=1,500,SUM(Y27+Y29+Y30+Y31+Y33+Y37+Y41+Y48+Y49+Y50+Y51+Y52+Y53+Y54+Y55+Y56+Y57)))</f>
        <v>4171</v>
      </c>
      <c r="Z58" s="1937"/>
      <c r="AA58" s="1937"/>
      <c r="AL58" s="474">
        <f>IF(Data!L4=1,550,IF(Data!L5=1,500,IF(Data!B5&lt;&gt;"",SUM(Y27+Y29+Y31+Y33+Y37+Y41+AL48+AL50+AL49+AL51+AL52+AL53+AL54+AL55+AL56+AL57),0)))</f>
        <v>4171</v>
      </c>
      <c r="AN58" s="37">
        <f>SUM(AN48:AN57)</f>
        <v>0</v>
      </c>
    </row>
    <row r="59" spans="1:40" ht="4.5" customHeight="1" x14ac:dyDescent="0.2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25">
      <c r="A60" s="1643" t="s">
        <v>835</v>
      </c>
      <c r="B60" s="1643"/>
      <c r="C60" s="1643"/>
      <c r="D60" s="1643"/>
      <c r="E60" s="1934" t="str">
        <f>IF(Data!B17&lt;&gt;"",Data!B17,"")</f>
        <v>Ramzi Kassab</v>
      </c>
      <c r="F60" s="1934"/>
      <c r="G60" s="1934"/>
      <c r="H60" s="1934"/>
      <c r="I60" s="1934"/>
      <c r="J60" s="1643" t="s">
        <v>836</v>
      </c>
      <c r="K60" s="1643"/>
      <c r="L60" s="1643"/>
      <c r="M60" s="1643"/>
      <c r="N60" s="1934" t="str">
        <f>IF(Data!B14&lt;&gt;"",Data!B14,"")</f>
        <v>Murthada Turaifi</v>
      </c>
      <c r="O60" s="1934"/>
      <c r="P60" s="1934"/>
      <c r="Q60" s="1934"/>
      <c r="R60" s="1934"/>
      <c r="S60" s="1643" t="s">
        <v>837</v>
      </c>
      <c r="T60" s="1643"/>
      <c r="U60" s="1643"/>
      <c r="V60" s="1643"/>
      <c r="W60" s="1934" t="str">
        <f>IF(Data!B19&lt;&gt;"",Data!B19,"")</f>
        <v>Murthada Turaifi</v>
      </c>
      <c r="X60" s="1934"/>
      <c r="Y60" s="1934"/>
      <c r="Z60" s="1934"/>
      <c r="AA60" s="1934"/>
    </row>
    <row r="61" spans="1:40" ht="15.75" customHeight="1" x14ac:dyDescent="0.25">
      <c r="A61" s="1643"/>
      <c r="B61" s="1643"/>
      <c r="C61" s="1643"/>
      <c r="D61" s="1643"/>
      <c r="E61" s="1935"/>
      <c r="F61" s="1935"/>
      <c r="G61" s="1935"/>
      <c r="H61" s="1935"/>
      <c r="I61" s="1935"/>
      <c r="J61" s="1643"/>
      <c r="K61" s="1643"/>
      <c r="L61" s="1643"/>
      <c r="M61" s="1643"/>
      <c r="N61" s="1935"/>
      <c r="O61" s="1935"/>
      <c r="P61" s="1935"/>
      <c r="Q61" s="1935"/>
      <c r="R61" s="1935"/>
      <c r="S61" s="1643"/>
      <c r="T61" s="1643"/>
      <c r="U61" s="1643"/>
      <c r="V61" s="1643"/>
      <c r="W61" s="1935"/>
      <c r="X61" s="1935"/>
      <c r="Y61" s="1935"/>
      <c r="Z61" s="1935"/>
      <c r="AA61" s="1935"/>
    </row>
    <row r="62" spans="1:40" ht="5.0999999999999996" customHeight="1" x14ac:dyDescent="0.2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2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2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2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2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9.9499999999999993" customHeight="1" x14ac:dyDescent="0.25"/>
  </sheetData>
  <sheetProtection formatCells="0" formatColumns="0" formatRows="0" insertColumns="0" insertRows="0" insertHyperlinks="0" deleteColumns="0" deleteRows="0" sort="0" autoFilter="0" pivotTables="0"/>
  <mergeCells count="239"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75" x14ac:dyDescent="0.2"/>
  <cols>
    <col min="1" max="1" width="2.140625" style="491" customWidth="1"/>
    <col min="2" max="52" width="3" style="491" customWidth="1"/>
    <col min="53" max="60" width="3.140625" style="491" customWidth="1"/>
    <col min="61" max="256" width="9.140625" style="491"/>
    <col min="257" max="257" width="2.140625" style="491" customWidth="1"/>
    <col min="258" max="308" width="3" style="491" customWidth="1"/>
    <col min="309" max="316" width="3.140625" style="491" customWidth="1"/>
    <col min="317" max="512" width="9.140625" style="491"/>
    <col min="513" max="513" width="2.140625" style="491" customWidth="1"/>
    <col min="514" max="564" width="3" style="491" customWidth="1"/>
    <col min="565" max="572" width="3.140625" style="491" customWidth="1"/>
    <col min="573" max="768" width="9.140625" style="491"/>
    <col min="769" max="769" width="2.140625" style="491" customWidth="1"/>
    <col min="770" max="820" width="3" style="491" customWidth="1"/>
    <col min="821" max="828" width="3.140625" style="491" customWidth="1"/>
    <col min="829" max="1024" width="9.140625" style="491"/>
    <col min="1025" max="1025" width="2.140625" style="491" customWidth="1"/>
    <col min="1026" max="1076" width="3" style="491" customWidth="1"/>
    <col min="1077" max="1084" width="3.140625" style="491" customWidth="1"/>
    <col min="1085" max="1280" width="9.140625" style="491"/>
    <col min="1281" max="1281" width="2.140625" style="491" customWidth="1"/>
    <col min="1282" max="1332" width="3" style="491" customWidth="1"/>
    <col min="1333" max="1340" width="3.140625" style="491" customWidth="1"/>
    <col min="1341" max="1536" width="9.140625" style="491"/>
    <col min="1537" max="1537" width="2.140625" style="491" customWidth="1"/>
    <col min="1538" max="1588" width="3" style="491" customWidth="1"/>
    <col min="1589" max="1596" width="3.140625" style="491" customWidth="1"/>
    <col min="1597" max="1792" width="9.140625" style="491"/>
    <col min="1793" max="1793" width="2.140625" style="491" customWidth="1"/>
    <col min="1794" max="1844" width="3" style="491" customWidth="1"/>
    <col min="1845" max="1852" width="3.140625" style="491" customWidth="1"/>
    <col min="1853" max="2048" width="9.140625" style="491"/>
    <col min="2049" max="2049" width="2.140625" style="491" customWidth="1"/>
    <col min="2050" max="2100" width="3" style="491" customWidth="1"/>
    <col min="2101" max="2108" width="3.140625" style="491" customWidth="1"/>
    <col min="2109" max="2304" width="9.140625" style="491"/>
    <col min="2305" max="2305" width="2.140625" style="491" customWidth="1"/>
    <col min="2306" max="2356" width="3" style="491" customWidth="1"/>
    <col min="2357" max="2364" width="3.140625" style="491" customWidth="1"/>
    <col min="2365" max="2560" width="9.140625" style="491"/>
    <col min="2561" max="2561" width="2.140625" style="491" customWidth="1"/>
    <col min="2562" max="2612" width="3" style="491" customWidth="1"/>
    <col min="2613" max="2620" width="3.140625" style="491" customWidth="1"/>
    <col min="2621" max="2816" width="9.140625" style="491"/>
    <col min="2817" max="2817" width="2.140625" style="491" customWidth="1"/>
    <col min="2818" max="2868" width="3" style="491" customWidth="1"/>
    <col min="2869" max="2876" width="3.140625" style="491" customWidth="1"/>
    <col min="2877" max="3072" width="9.140625" style="491"/>
    <col min="3073" max="3073" width="2.140625" style="491" customWidth="1"/>
    <col min="3074" max="3124" width="3" style="491" customWidth="1"/>
    <col min="3125" max="3132" width="3.140625" style="491" customWidth="1"/>
    <col min="3133" max="3328" width="9.140625" style="491"/>
    <col min="3329" max="3329" width="2.140625" style="491" customWidth="1"/>
    <col min="3330" max="3380" width="3" style="491" customWidth="1"/>
    <col min="3381" max="3388" width="3.140625" style="491" customWidth="1"/>
    <col min="3389" max="3584" width="9.140625" style="491"/>
    <col min="3585" max="3585" width="2.140625" style="491" customWidth="1"/>
    <col min="3586" max="3636" width="3" style="491" customWidth="1"/>
    <col min="3637" max="3644" width="3.140625" style="491" customWidth="1"/>
    <col min="3645" max="3840" width="9.140625" style="491"/>
    <col min="3841" max="3841" width="2.140625" style="491" customWidth="1"/>
    <col min="3842" max="3892" width="3" style="491" customWidth="1"/>
    <col min="3893" max="3900" width="3.140625" style="491" customWidth="1"/>
    <col min="3901" max="4096" width="9.140625" style="491"/>
    <col min="4097" max="4097" width="2.140625" style="491" customWidth="1"/>
    <col min="4098" max="4148" width="3" style="491" customWidth="1"/>
    <col min="4149" max="4156" width="3.140625" style="491" customWidth="1"/>
    <col min="4157" max="4352" width="9.140625" style="491"/>
    <col min="4353" max="4353" width="2.140625" style="491" customWidth="1"/>
    <col min="4354" max="4404" width="3" style="491" customWidth="1"/>
    <col min="4405" max="4412" width="3.140625" style="491" customWidth="1"/>
    <col min="4413" max="4608" width="9.140625" style="491"/>
    <col min="4609" max="4609" width="2.140625" style="491" customWidth="1"/>
    <col min="4610" max="4660" width="3" style="491" customWidth="1"/>
    <col min="4661" max="4668" width="3.140625" style="491" customWidth="1"/>
    <col min="4669" max="4864" width="9.140625" style="491"/>
    <col min="4865" max="4865" width="2.140625" style="491" customWidth="1"/>
    <col min="4866" max="4916" width="3" style="491" customWidth="1"/>
    <col min="4917" max="4924" width="3.140625" style="491" customWidth="1"/>
    <col min="4925" max="5120" width="9.140625" style="491"/>
    <col min="5121" max="5121" width="2.140625" style="491" customWidth="1"/>
    <col min="5122" max="5172" width="3" style="491" customWidth="1"/>
    <col min="5173" max="5180" width="3.140625" style="491" customWidth="1"/>
    <col min="5181" max="5376" width="9.140625" style="491"/>
    <col min="5377" max="5377" width="2.140625" style="491" customWidth="1"/>
    <col min="5378" max="5428" width="3" style="491" customWidth="1"/>
    <col min="5429" max="5436" width="3.140625" style="491" customWidth="1"/>
    <col min="5437" max="5632" width="9.140625" style="491"/>
    <col min="5633" max="5633" width="2.140625" style="491" customWidth="1"/>
    <col min="5634" max="5684" width="3" style="491" customWidth="1"/>
    <col min="5685" max="5692" width="3.140625" style="491" customWidth="1"/>
    <col min="5693" max="5888" width="9.140625" style="491"/>
    <col min="5889" max="5889" width="2.140625" style="491" customWidth="1"/>
    <col min="5890" max="5940" width="3" style="491" customWidth="1"/>
    <col min="5941" max="5948" width="3.140625" style="491" customWidth="1"/>
    <col min="5949" max="6144" width="9.140625" style="491"/>
    <col min="6145" max="6145" width="2.140625" style="491" customWidth="1"/>
    <col min="6146" max="6196" width="3" style="491" customWidth="1"/>
    <col min="6197" max="6204" width="3.140625" style="491" customWidth="1"/>
    <col min="6205" max="6400" width="9.140625" style="491"/>
    <col min="6401" max="6401" width="2.140625" style="491" customWidth="1"/>
    <col min="6402" max="6452" width="3" style="491" customWidth="1"/>
    <col min="6453" max="6460" width="3.140625" style="491" customWidth="1"/>
    <col min="6461" max="6656" width="9.140625" style="491"/>
    <col min="6657" max="6657" width="2.140625" style="491" customWidth="1"/>
    <col min="6658" max="6708" width="3" style="491" customWidth="1"/>
    <col min="6709" max="6716" width="3.140625" style="491" customWidth="1"/>
    <col min="6717" max="6912" width="9.140625" style="491"/>
    <col min="6913" max="6913" width="2.140625" style="491" customWidth="1"/>
    <col min="6914" max="6964" width="3" style="491" customWidth="1"/>
    <col min="6965" max="6972" width="3.140625" style="491" customWidth="1"/>
    <col min="6973" max="7168" width="9.140625" style="491"/>
    <col min="7169" max="7169" width="2.140625" style="491" customWidth="1"/>
    <col min="7170" max="7220" width="3" style="491" customWidth="1"/>
    <col min="7221" max="7228" width="3.140625" style="491" customWidth="1"/>
    <col min="7229" max="7424" width="9.140625" style="491"/>
    <col min="7425" max="7425" width="2.140625" style="491" customWidth="1"/>
    <col min="7426" max="7476" width="3" style="491" customWidth="1"/>
    <col min="7477" max="7484" width="3.140625" style="491" customWidth="1"/>
    <col min="7485" max="7680" width="9.140625" style="491"/>
    <col min="7681" max="7681" width="2.140625" style="491" customWidth="1"/>
    <col min="7682" max="7732" width="3" style="491" customWidth="1"/>
    <col min="7733" max="7740" width="3.140625" style="491" customWidth="1"/>
    <col min="7741" max="7936" width="9.140625" style="491"/>
    <col min="7937" max="7937" width="2.140625" style="491" customWidth="1"/>
    <col min="7938" max="7988" width="3" style="491" customWidth="1"/>
    <col min="7989" max="7996" width="3.140625" style="491" customWidth="1"/>
    <col min="7997" max="8192" width="9.140625" style="491"/>
    <col min="8193" max="8193" width="2.140625" style="491" customWidth="1"/>
    <col min="8194" max="8244" width="3" style="491" customWidth="1"/>
    <col min="8245" max="8252" width="3.140625" style="491" customWidth="1"/>
    <col min="8253" max="8448" width="9.140625" style="491"/>
    <col min="8449" max="8449" width="2.140625" style="491" customWidth="1"/>
    <col min="8450" max="8500" width="3" style="491" customWidth="1"/>
    <col min="8501" max="8508" width="3.140625" style="491" customWidth="1"/>
    <col min="8509" max="8704" width="9.140625" style="491"/>
    <col min="8705" max="8705" width="2.140625" style="491" customWidth="1"/>
    <col min="8706" max="8756" width="3" style="491" customWidth="1"/>
    <col min="8757" max="8764" width="3.140625" style="491" customWidth="1"/>
    <col min="8765" max="8960" width="9.140625" style="491"/>
    <col min="8961" max="8961" width="2.140625" style="491" customWidth="1"/>
    <col min="8962" max="9012" width="3" style="491" customWidth="1"/>
    <col min="9013" max="9020" width="3.140625" style="491" customWidth="1"/>
    <col min="9021" max="9216" width="9.140625" style="491"/>
    <col min="9217" max="9217" width="2.140625" style="491" customWidth="1"/>
    <col min="9218" max="9268" width="3" style="491" customWidth="1"/>
    <col min="9269" max="9276" width="3.140625" style="491" customWidth="1"/>
    <col min="9277" max="9472" width="9.140625" style="491"/>
    <col min="9473" max="9473" width="2.140625" style="491" customWidth="1"/>
    <col min="9474" max="9524" width="3" style="491" customWidth="1"/>
    <col min="9525" max="9532" width="3.140625" style="491" customWidth="1"/>
    <col min="9533" max="9728" width="9.140625" style="491"/>
    <col min="9729" max="9729" width="2.140625" style="491" customWidth="1"/>
    <col min="9730" max="9780" width="3" style="491" customWidth="1"/>
    <col min="9781" max="9788" width="3.140625" style="491" customWidth="1"/>
    <col min="9789" max="9984" width="9.140625" style="491"/>
    <col min="9985" max="9985" width="2.140625" style="491" customWidth="1"/>
    <col min="9986" max="10036" width="3" style="491" customWidth="1"/>
    <col min="10037" max="10044" width="3.140625" style="491" customWidth="1"/>
    <col min="10045" max="10240" width="9.140625" style="491"/>
    <col min="10241" max="10241" width="2.140625" style="491" customWidth="1"/>
    <col min="10242" max="10292" width="3" style="491" customWidth="1"/>
    <col min="10293" max="10300" width="3.140625" style="491" customWidth="1"/>
    <col min="10301" max="10496" width="9.140625" style="491"/>
    <col min="10497" max="10497" width="2.140625" style="491" customWidth="1"/>
    <col min="10498" max="10548" width="3" style="491" customWidth="1"/>
    <col min="10549" max="10556" width="3.140625" style="491" customWidth="1"/>
    <col min="10557" max="10752" width="9.140625" style="491"/>
    <col min="10753" max="10753" width="2.140625" style="491" customWidth="1"/>
    <col min="10754" max="10804" width="3" style="491" customWidth="1"/>
    <col min="10805" max="10812" width="3.140625" style="491" customWidth="1"/>
    <col min="10813" max="11008" width="9.140625" style="491"/>
    <col min="11009" max="11009" width="2.140625" style="491" customWidth="1"/>
    <col min="11010" max="11060" width="3" style="491" customWidth="1"/>
    <col min="11061" max="11068" width="3.140625" style="491" customWidth="1"/>
    <col min="11069" max="11264" width="9.140625" style="491"/>
    <col min="11265" max="11265" width="2.140625" style="491" customWidth="1"/>
    <col min="11266" max="11316" width="3" style="491" customWidth="1"/>
    <col min="11317" max="11324" width="3.140625" style="491" customWidth="1"/>
    <col min="11325" max="11520" width="9.140625" style="491"/>
    <col min="11521" max="11521" width="2.140625" style="491" customWidth="1"/>
    <col min="11522" max="11572" width="3" style="491" customWidth="1"/>
    <col min="11573" max="11580" width="3.140625" style="491" customWidth="1"/>
    <col min="11581" max="11776" width="9.140625" style="491"/>
    <col min="11777" max="11777" width="2.140625" style="491" customWidth="1"/>
    <col min="11778" max="11828" width="3" style="491" customWidth="1"/>
    <col min="11829" max="11836" width="3.140625" style="491" customWidth="1"/>
    <col min="11837" max="12032" width="9.140625" style="491"/>
    <col min="12033" max="12033" width="2.140625" style="491" customWidth="1"/>
    <col min="12034" max="12084" width="3" style="491" customWidth="1"/>
    <col min="12085" max="12092" width="3.140625" style="491" customWidth="1"/>
    <col min="12093" max="12288" width="9.140625" style="491"/>
    <col min="12289" max="12289" width="2.140625" style="491" customWidth="1"/>
    <col min="12290" max="12340" width="3" style="491" customWidth="1"/>
    <col min="12341" max="12348" width="3.140625" style="491" customWidth="1"/>
    <col min="12349" max="12544" width="9.140625" style="491"/>
    <col min="12545" max="12545" width="2.140625" style="491" customWidth="1"/>
    <col min="12546" max="12596" width="3" style="491" customWidth="1"/>
    <col min="12597" max="12604" width="3.140625" style="491" customWidth="1"/>
    <col min="12605" max="12800" width="9.140625" style="491"/>
    <col min="12801" max="12801" width="2.140625" style="491" customWidth="1"/>
    <col min="12802" max="12852" width="3" style="491" customWidth="1"/>
    <col min="12853" max="12860" width="3.140625" style="491" customWidth="1"/>
    <col min="12861" max="13056" width="9.140625" style="491"/>
    <col min="13057" max="13057" width="2.140625" style="491" customWidth="1"/>
    <col min="13058" max="13108" width="3" style="491" customWidth="1"/>
    <col min="13109" max="13116" width="3.140625" style="491" customWidth="1"/>
    <col min="13117" max="13312" width="9.140625" style="491"/>
    <col min="13313" max="13313" width="2.140625" style="491" customWidth="1"/>
    <col min="13314" max="13364" width="3" style="491" customWidth="1"/>
    <col min="13365" max="13372" width="3.140625" style="491" customWidth="1"/>
    <col min="13373" max="13568" width="9.140625" style="491"/>
    <col min="13569" max="13569" width="2.140625" style="491" customWidth="1"/>
    <col min="13570" max="13620" width="3" style="491" customWidth="1"/>
    <col min="13621" max="13628" width="3.140625" style="491" customWidth="1"/>
    <col min="13629" max="13824" width="9.140625" style="491"/>
    <col min="13825" max="13825" width="2.140625" style="491" customWidth="1"/>
    <col min="13826" max="13876" width="3" style="491" customWidth="1"/>
    <col min="13877" max="13884" width="3.140625" style="491" customWidth="1"/>
    <col min="13885" max="14080" width="9.140625" style="491"/>
    <col min="14081" max="14081" width="2.140625" style="491" customWidth="1"/>
    <col min="14082" max="14132" width="3" style="491" customWidth="1"/>
    <col min="14133" max="14140" width="3.140625" style="491" customWidth="1"/>
    <col min="14141" max="14336" width="9.140625" style="491"/>
    <col min="14337" max="14337" width="2.140625" style="491" customWidth="1"/>
    <col min="14338" max="14388" width="3" style="491" customWidth="1"/>
    <col min="14389" max="14396" width="3.140625" style="491" customWidth="1"/>
    <col min="14397" max="14592" width="9.140625" style="491"/>
    <col min="14593" max="14593" width="2.140625" style="491" customWidth="1"/>
    <col min="14594" max="14644" width="3" style="491" customWidth="1"/>
    <col min="14645" max="14652" width="3.140625" style="491" customWidth="1"/>
    <col min="14653" max="14848" width="9.140625" style="491"/>
    <col min="14849" max="14849" width="2.140625" style="491" customWidth="1"/>
    <col min="14850" max="14900" width="3" style="491" customWidth="1"/>
    <col min="14901" max="14908" width="3.140625" style="491" customWidth="1"/>
    <col min="14909" max="15104" width="9.140625" style="491"/>
    <col min="15105" max="15105" width="2.140625" style="491" customWidth="1"/>
    <col min="15106" max="15156" width="3" style="491" customWidth="1"/>
    <col min="15157" max="15164" width="3.140625" style="491" customWidth="1"/>
    <col min="15165" max="15360" width="9.140625" style="491"/>
    <col min="15361" max="15361" width="2.140625" style="491" customWidth="1"/>
    <col min="15362" max="15412" width="3" style="491" customWidth="1"/>
    <col min="15413" max="15420" width="3.140625" style="491" customWidth="1"/>
    <col min="15421" max="15616" width="9.140625" style="491"/>
    <col min="15617" max="15617" width="2.140625" style="491" customWidth="1"/>
    <col min="15618" max="15668" width="3" style="491" customWidth="1"/>
    <col min="15669" max="15676" width="3.140625" style="491" customWidth="1"/>
    <col min="15677" max="15872" width="9.140625" style="491"/>
    <col min="15873" max="15873" width="2.140625" style="491" customWidth="1"/>
    <col min="15874" max="15924" width="3" style="491" customWidth="1"/>
    <col min="15925" max="15932" width="3.140625" style="491" customWidth="1"/>
    <col min="15933" max="16128" width="9.140625" style="491"/>
    <col min="16129" max="16129" width="2.140625" style="491" customWidth="1"/>
    <col min="16130" max="16180" width="3" style="491" customWidth="1"/>
    <col min="16181" max="16188" width="3.140625" style="491" customWidth="1"/>
    <col min="16189" max="16384" width="9.140625" style="491"/>
  </cols>
  <sheetData>
    <row r="1" spans="1:35" ht="21.75" customHeight="1" x14ac:dyDescent="0.35">
      <c r="A1" s="489"/>
      <c r="B1" s="490"/>
      <c r="C1" s="490"/>
      <c r="D1" s="2089" t="s">
        <v>22</v>
      </c>
      <c r="E1" s="2089"/>
      <c r="F1" s="2089"/>
      <c r="G1" s="2089"/>
      <c r="H1" s="2089"/>
      <c r="I1" s="2089"/>
      <c r="J1" s="2089"/>
      <c r="K1" s="2089"/>
      <c r="L1" s="2089"/>
      <c r="M1" s="2089"/>
      <c r="N1" s="2089"/>
      <c r="O1" s="2089"/>
      <c r="P1" s="2089"/>
      <c r="Q1" s="2089"/>
      <c r="R1" s="2089"/>
      <c r="S1" s="2089"/>
      <c r="T1" s="2089"/>
      <c r="U1" s="2089"/>
      <c r="V1" s="2089"/>
      <c r="W1" s="2089"/>
      <c r="X1" s="2089"/>
      <c r="Y1" s="2089"/>
      <c r="Z1" s="2089"/>
      <c r="AA1" s="2089"/>
      <c r="AB1" s="2089"/>
      <c r="AC1" s="2089"/>
      <c r="AD1" s="2089"/>
      <c r="AE1" s="2089"/>
      <c r="AF1" s="2089"/>
      <c r="AG1" s="2089"/>
      <c r="AH1" s="2089"/>
      <c r="AI1" s="2090"/>
    </row>
    <row r="2" spans="1:35" ht="16.5" customHeight="1" x14ac:dyDescent="0.25">
      <c r="A2" s="2091" t="s">
        <v>1067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Q2" s="2092"/>
      <c r="R2" s="2092"/>
      <c r="S2" s="2092"/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3"/>
    </row>
    <row r="3" spans="1:35" ht="15.75" customHeight="1" thickBot="1" x14ac:dyDescent="0.3">
      <c r="A3" s="492" t="s">
        <v>23</v>
      </c>
      <c r="B3" s="493"/>
      <c r="C3" s="493"/>
      <c r="D3" s="2094" t="s">
        <v>1125</v>
      </c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4"/>
      <c r="S3" s="2094"/>
      <c r="T3" s="2094"/>
      <c r="U3" s="2094"/>
      <c r="V3" s="2094"/>
      <c r="W3" s="2094"/>
      <c r="X3" s="2094"/>
      <c r="Y3" s="2094"/>
      <c r="Z3" s="2094"/>
      <c r="AA3" s="2094"/>
      <c r="AB3" s="2094"/>
      <c r="AC3" s="2094"/>
      <c r="AD3" s="2094"/>
      <c r="AE3" s="2094"/>
      <c r="AF3" s="2094"/>
      <c r="AG3" s="2094"/>
      <c r="AH3" s="2094"/>
      <c r="AI3" s="2095"/>
    </row>
    <row r="4" spans="1:35" ht="15.75" customHeight="1" thickBot="1" x14ac:dyDescent="0.3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25">
      <c r="A5" s="1987" t="s">
        <v>1068</v>
      </c>
      <c r="B5" s="1987"/>
      <c r="C5" s="1987"/>
      <c r="D5" s="1987"/>
      <c r="E5" s="1987"/>
      <c r="F5" s="2059">
        <f>IF(Data!B1&lt;&gt;"", Data!B1, " ")</f>
        <v>20261004</v>
      </c>
      <c r="G5" s="2060"/>
      <c r="H5" s="2060"/>
      <c r="I5" s="2060"/>
      <c r="J5" s="2060"/>
      <c r="K5" s="2060"/>
      <c r="L5" s="2061"/>
      <c r="M5" s="2096" t="s">
        <v>1069</v>
      </c>
      <c r="N5" s="1989"/>
      <c r="O5" s="1989"/>
      <c r="P5" s="2059" t="str">
        <f>IF(Data!B5&lt;&gt;"",Data!B5," ")</f>
        <v>1251085M</v>
      </c>
      <c r="Q5" s="2060"/>
      <c r="R5" s="2060"/>
      <c r="S5" s="2060"/>
      <c r="T5" s="2060"/>
      <c r="U5" s="2060"/>
      <c r="V5" s="2061"/>
      <c r="X5" s="2069" t="s">
        <v>1070</v>
      </c>
      <c r="Y5" s="2069"/>
      <c r="Z5" s="2059" t="str">
        <f>IF(Data!B7&lt;&gt;"",Data!B7, " ")</f>
        <v>LSTK</v>
      </c>
      <c r="AA5" s="2060"/>
      <c r="AB5" s="2060"/>
      <c r="AC5" s="2060"/>
      <c r="AD5" s="2060"/>
      <c r="AE5" s="2060"/>
      <c r="AF5" s="2060"/>
      <c r="AG5" s="2060"/>
      <c r="AH5" s="2060"/>
      <c r="AI5" s="2061"/>
    </row>
    <row r="6" spans="1:35" ht="6.6" customHeight="1" thickBot="1" x14ac:dyDescent="0.25"/>
    <row r="7" spans="1:35" ht="15.75" customHeight="1" thickBot="1" x14ac:dyDescent="0.25">
      <c r="A7" s="1987" t="s">
        <v>1071</v>
      </c>
      <c r="B7" s="1987"/>
      <c r="C7" s="1987"/>
      <c r="D7" s="1987"/>
      <c r="E7" s="2080"/>
      <c r="F7" s="2059" t="str">
        <f>IF(Data!B2&lt;&gt;"", Data!B2, " ")</f>
        <v>14304769R1</v>
      </c>
      <c r="G7" s="2060"/>
      <c r="H7" s="2060"/>
      <c r="I7" s="2060"/>
      <c r="J7" s="2060"/>
      <c r="K7" s="2060"/>
      <c r="L7" s="2061"/>
      <c r="N7" s="1987" t="s">
        <v>6</v>
      </c>
      <c r="O7" s="1987"/>
      <c r="P7" s="2085" t="str">
        <f>IF(LEN(Data!B3)&gt;3,IF(AND(Data!B43&lt;&gt;"",Data!B43&lt;&gt;"0 0/1"""),Data!B43,""),IF(Data!B3&lt;&gt;"",Data!B3&amp;"""",""))</f>
        <v>6 1/8"</v>
      </c>
      <c r="Q7" s="2060"/>
      <c r="R7" s="2060"/>
      <c r="S7" s="2060"/>
      <c r="T7" s="2060"/>
      <c r="U7" s="2060"/>
      <c r="V7" s="2061"/>
      <c r="X7" s="1987" t="s">
        <v>1072</v>
      </c>
      <c r="Y7" s="1987"/>
      <c r="Z7" s="1987"/>
      <c r="AA7" s="1987"/>
      <c r="AB7" s="1987"/>
      <c r="AC7" s="2086">
        <f>IF(Data!B6&lt;&gt;"",Data!B6," ")</f>
        <v>46035</v>
      </c>
      <c r="AD7" s="2087"/>
      <c r="AE7" s="2087"/>
      <c r="AF7" s="2087"/>
      <c r="AG7" s="2087"/>
      <c r="AH7" s="2087"/>
      <c r="AI7" s="2088"/>
    </row>
    <row r="8" spans="1:35" ht="6" customHeight="1" thickBot="1" x14ac:dyDescent="0.25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25">
      <c r="A9" s="1987" t="s">
        <v>1073</v>
      </c>
      <c r="B9" s="1987"/>
      <c r="C9" s="1987"/>
      <c r="D9" s="1987"/>
      <c r="E9" s="2080"/>
      <c r="F9" s="2059" t="str">
        <f>IF(Data!B5&lt;&gt;"",Data!B5," ")</f>
        <v>1251085M</v>
      </c>
      <c r="G9" s="2060"/>
      <c r="H9" s="2060"/>
      <c r="I9" s="2060"/>
      <c r="J9" s="2060"/>
      <c r="K9" s="2060"/>
      <c r="L9" s="2061"/>
      <c r="N9" s="1987" t="s">
        <v>7</v>
      </c>
      <c r="O9" s="1987"/>
      <c r="P9" s="2059" t="str">
        <f>IF(Data!B4&lt;&gt;"",Data!B4," ")</f>
        <v>HD54</v>
      </c>
      <c r="Q9" s="2060"/>
      <c r="R9" s="2060"/>
      <c r="S9" s="2060"/>
      <c r="T9" s="2060"/>
      <c r="U9" s="2060"/>
      <c r="V9" s="2061"/>
      <c r="X9" s="498" t="s">
        <v>1074</v>
      </c>
      <c r="AB9" s="2081" t="str">
        <f>IF(Data!B23&lt;&gt;"",Data!B23, " ")</f>
        <v xml:space="preserve"> </v>
      </c>
      <c r="AC9" s="2082"/>
      <c r="AD9" s="2082"/>
      <c r="AE9" s="2082"/>
      <c r="AF9" s="2082"/>
      <c r="AG9" s="2082"/>
      <c r="AH9" s="2082"/>
      <c r="AI9" s="2083"/>
    </row>
    <row r="10" spans="1:35" ht="9.75" customHeight="1" x14ac:dyDescent="0.2"/>
    <row r="11" spans="1:35" ht="10.5" customHeight="1" x14ac:dyDescent="0.2">
      <c r="A11" s="2084" t="s">
        <v>1075</v>
      </c>
      <c r="B11" s="2084"/>
      <c r="C11" s="2084"/>
      <c r="D11" s="2084"/>
    </row>
    <row r="12" spans="1:35" ht="10.15" customHeight="1" x14ac:dyDescent="0.2">
      <c r="A12" s="2072" t="s">
        <v>1076</v>
      </c>
      <c r="B12" s="2072"/>
      <c r="C12" s="2072"/>
      <c r="D12" s="2072"/>
      <c r="E12" s="2072"/>
      <c r="F12" s="2072"/>
      <c r="G12" s="2072"/>
      <c r="H12" s="2072"/>
      <c r="I12" s="2072"/>
      <c r="J12" s="2072"/>
      <c r="K12" s="2072"/>
      <c r="L12" s="2072"/>
      <c r="M12" s="2072"/>
      <c r="N12" s="2072"/>
      <c r="O12" s="2072"/>
      <c r="P12" s="2072"/>
      <c r="Q12" s="2072"/>
      <c r="R12" s="2072"/>
      <c r="S12" s="2072"/>
      <c r="T12" s="2072"/>
      <c r="U12" s="2072"/>
      <c r="V12" s="2072"/>
      <c r="W12" s="2072"/>
      <c r="X12" s="2072"/>
      <c r="Y12" s="2072"/>
      <c r="Z12" s="2072"/>
      <c r="AA12" s="2072"/>
      <c r="AB12" s="2072"/>
      <c r="AC12" s="2072"/>
      <c r="AD12" s="2072"/>
      <c r="AE12" s="2072"/>
      <c r="AF12" s="2072"/>
      <c r="AG12" s="2072"/>
      <c r="AH12" s="2072"/>
    </row>
    <row r="13" spans="1:35" ht="10.15" customHeight="1" x14ac:dyDescent="0.2">
      <c r="A13" s="2072" t="s">
        <v>1077</v>
      </c>
      <c r="B13" s="2072"/>
      <c r="C13" s="2072"/>
      <c r="D13" s="2072"/>
      <c r="E13" s="2072"/>
      <c r="F13" s="2072"/>
      <c r="G13" s="2072"/>
      <c r="H13" s="2072"/>
      <c r="I13" s="2072"/>
      <c r="J13" s="2072"/>
      <c r="K13" s="2072"/>
      <c r="L13" s="2072"/>
      <c r="M13" s="2072"/>
      <c r="N13" s="2072"/>
      <c r="O13" s="2072"/>
      <c r="P13" s="2072"/>
      <c r="Q13" s="2072"/>
      <c r="R13" s="2072"/>
      <c r="S13" s="2072"/>
      <c r="T13" s="2072"/>
      <c r="U13" s="2072"/>
      <c r="V13" s="2072"/>
      <c r="W13" s="2072"/>
      <c r="X13" s="2072"/>
      <c r="Y13" s="2072"/>
      <c r="Z13" s="2072"/>
      <c r="AA13" s="2072"/>
      <c r="AB13" s="2072"/>
      <c r="AC13" s="2072"/>
      <c r="AD13" s="2072"/>
      <c r="AE13" s="2072"/>
      <c r="AF13" s="2072"/>
      <c r="AG13" s="2072"/>
      <c r="AH13" s="2072"/>
    </row>
    <row r="14" spans="1:35" ht="10.15" customHeight="1" x14ac:dyDescent="0.2">
      <c r="A14" s="2072" t="s">
        <v>1078</v>
      </c>
      <c r="B14" s="2072"/>
      <c r="C14" s="2072"/>
      <c r="D14" s="2072"/>
      <c r="E14" s="2072"/>
      <c r="F14" s="2072"/>
      <c r="G14" s="2072"/>
      <c r="H14" s="2072"/>
      <c r="I14" s="2072"/>
      <c r="J14" s="2072"/>
      <c r="K14" s="2072"/>
      <c r="L14" s="2072"/>
      <c r="M14" s="2072"/>
      <c r="N14" s="2072"/>
      <c r="O14" s="2072"/>
      <c r="P14" s="2072"/>
      <c r="Q14" s="2072"/>
      <c r="R14" s="2072"/>
      <c r="S14" s="2072"/>
      <c r="T14" s="2072"/>
      <c r="U14" s="2072"/>
      <c r="V14" s="2072"/>
      <c r="W14" s="2072"/>
      <c r="X14" s="2072"/>
      <c r="Y14" s="2072"/>
      <c r="Z14" s="2072"/>
      <c r="AA14" s="2072"/>
      <c r="AB14" s="2072"/>
      <c r="AC14" s="2072"/>
      <c r="AD14" s="2072"/>
      <c r="AE14" s="2072"/>
      <c r="AF14" s="2072"/>
      <c r="AG14" s="2072"/>
      <c r="AH14" s="2072"/>
    </row>
    <row r="15" spans="1:35" ht="10.5" customHeight="1" thickBot="1" x14ac:dyDescent="0.25"/>
    <row r="16" spans="1:35" ht="15.75" customHeight="1" x14ac:dyDescent="0.2">
      <c r="A16" s="2073"/>
      <c r="B16" s="2074"/>
      <c r="C16" s="2077" t="s">
        <v>17</v>
      </c>
      <c r="D16" s="2077"/>
      <c r="E16" s="2077"/>
      <c r="F16" s="2077"/>
      <c r="G16" s="2077"/>
      <c r="H16" s="2077"/>
      <c r="I16" s="2077"/>
      <c r="J16" s="2077"/>
      <c r="K16" s="2077"/>
      <c r="L16" s="2077"/>
      <c r="M16" s="2077"/>
      <c r="N16" s="2077"/>
      <c r="O16" s="2077"/>
      <c r="P16" s="2077"/>
      <c r="Q16" s="2077"/>
      <c r="R16" s="2077"/>
      <c r="S16" s="2077"/>
      <c r="T16" s="2077"/>
      <c r="U16" s="2077"/>
      <c r="V16" s="2077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">
      <c r="A17" s="2075"/>
      <c r="B17" s="2076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">
      <c r="A18" s="2078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O1</v>
      </c>
      <c r="D18" s="231" t="str">
        <f>IF(OR(Data!$L$2=1,Data!$L$3=1),IF(OR(Data!BS46=0,Data!BS46=""),"","O"&amp;Data!BS46),IF('ARDT Cutter Entry'!$C$111&lt;&gt;"",'ARDT Cutter Entry'!D111,'ARDT Cutter Entry'!D43))</f>
        <v>O1</v>
      </c>
      <c r="E18" s="231" t="str">
        <f>IF(OR(Data!$L$2=1,Data!$L$3=1),IF(OR(Data!BT46=0,Data!BT46=""),"","O"&amp;Data!BT46),IF('ARDT Cutter Entry'!$C$111&lt;&gt;"",'ARDT Cutter Entry'!E111,'ARDT Cutter Entry'!E43))</f>
        <v>O1</v>
      </c>
      <c r="F18" s="231" t="str">
        <f>IF(OR(Data!$L$2=1,Data!$L$3=1),IF(OR(Data!BU46=0,Data!BU46=""),"","O"&amp;Data!BU46),IF('ARDT Cutter Entry'!$C$111&lt;&gt;"",'ARDT Cutter Entry'!F111,'ARDT Cutter Entry'!F43))</f>
        <v>R3</v>
      </c>
      <c r="G18" s="231" t="str">
        <f>IF(OR(Data!$L$2=1,Data!$L$3=1),IF(OR(Data!BV46=0,Data!BV46=""),"","O"&amp;Data!BV46),IF('ARDT Cutter Entry'!$C$111&lt;&gt;"",'ARDT Cutter Entry'!G111,'ARDT Cutter Entry'!G43))</f>
        <v>S3</v>
      </c>
      <c r="H18" s="231" t="str">
        <f>IF(OR(Data!$L$2=1,Data!$L$3=1),IF(OR(Data!BW46=0,Data!BW46=""),"","O"&amp;Data!BW46),IF('ARDT Cutter Entry'!$C$111&lt;&gt;"",'ARDT Cutter Entry'!H111,'ARDT Cutter Entry'!H43))</f>
        <v>O1</v>
      </c>
      <c r="I18" s="231" t="str">
        <f>IF(OR(Data!$L$2=1,Data!$L$3=1),IF(OR(Data!BX46=0,Data!BX46=""),"","O"&amp;Data!BX46),IF('ARDT Cutter Entry'!$C$111&lt;&gt;"",'ARDT Cutter Entry'!I111,'ARDT Cutter Entry'!I43))</f>
        <v>O2</v>
      </c>
      <c r="J18" s="231" t="str">
        <f>IF(OR(Data!$L$2=1,Data!$L$3=1),IF(OR(Data!BY46=0,Data!BY46=""),"","O"&amp;Data!BY46),IF('ARDT Cutter Entry'!$C$111&lt;&gt;"",'ARDT Cutter Entry'!J111,'ARDT Cutter Entry'!J43))</f>
        <v>O2</v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/>
      </c>
      <c r="M18" s="231" t="str">
        <f>IF(OR(Data!$L$2=1,Data!$L$3=1),IF(OR(Data!CB46=0,Data!CB46=""),"","O"&amp;Data!CB46),IF('ARDT Cutter Entry'!$C$111&lt;&gt;"",'ARDT Cutter Entry'!M111,'ARDT Cutter Entry'!M43))</f>
        <v/>
      </c>
      <c r="N18" s="231" t="str">
        <f>IF(OR(Data!$L$2=1,Data!$L$3=1),IF(OR(Data!CC46=0,Data!CC46=""),"","O"&amp;Data!CC46),IF('ARDT Cutter Entry'!$C$111&lt;&gt;"",'ARDT Cutter Entry'!N111,'ARDT Cutter Entry'!N43))</f>
        <v/>
      </c>
      <c r="O18" s="231" t="str">
        <f>IF(OR(Data!$L$2=1,Data!$L$3=1),IF(OR(Data!CD46=0,Data!CD46=""),"","O"&amp;Data!CD46),IF('ARDT Cutter Entry'!$C$111&lt;&gt;"",'ARDT Cutter Entry'!O111,'ARDT Cutter Entry'!O43))</f>
        <v/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">
      <c r="A19" s="2078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O1</v>
      </c>
      <c r="D19" s="167" t="str">
        <f>IF(OR(Data!$L$2=1,Data!$L$3=1),IF(OR(Data!BS47=0,Data!BS47=""),"","O"&amp;Data!BS47),IF('ARDT Cutter Entry'!$C$111&lt;&gt;"",'ARDT Cutter Entry'!D112,'ARDT Cutter Entry'!D44))</f>
        <v>O3</v>
      </c>
      <c r="E19" s="167" t="str">
        <f>IF(OR(Data!$L$2=1,Data!$L$3=1),IF(OR(Data!BT47=0,Data!BT47=""),"","O"&amp;Data!BT47),IF('ARDT Cutter Entry'!$C$111&lt;&gt;"",'ARDT Cutter Entry'!E112,'ARDT Cutter Entry'!E44))</f>
        <v>O1</v>
      </c>
      <c r="F19" s="167" t="str">
        <f>IF(OR(Data!$L$2=1,Data!$L$3=1),IF(OR(Data!BU47=0,Data!BU47=""),"","O"&amp;Data!BU47),IF('ARDT Cutter Entry'!$C$111&lt;&gt;"",'ARDT Cutter Entry'!F112,'ARDT Cutter Entry'!F44))</f>
        <v>O2</v>
      </c>
      <c r="G19" s="167" t="str">
        <f>IF(OR(Data!$L$2=1,Data!$L$3=1),IF(OR(Data!BV47=0,Data!BV47=""),"","O"&amp;Data!BV47),IF('ARDT Cutter Entry'!$C$111&lt;&gt;"",'ARDT Cutter Entry'!G112,'ARDT Cutter Entry'!G44))</f>
        <v>O2</v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/>
      </c>
      <c r="M19" s="167" t="str">
        <f>IF(OR(Data!$L$2=1,Data!$L$3=1),IF(OR(Data!CB47=0,Data!CB47=""),"","O"&amp;Data!CB47),IF('ARDT Cutter Entry'!$C$111&lt;&gt;"",'ARDT Cutter Entry'!M112,'ARDT Cutter Entry'!M44))</f>
        <v/>
      </c>
      <c r="N19" s="167" t="str">
        <f>IF(OR(Data!$L$2=1,Data!$L$3=1),IF(OR(Data!CC47=0,Data!CC47=""),"","O"&amp;Data!CC47),IF('ARDT Cutter Entry'!$C$111&lt;&gt;"",'ARDT Cutter Entry'!N112,'ARDT Cutter Entry'!N44))</f>
        <v/>
      </c>
      <c r="O19" s="167" t="str">
        <f>IF(OR(Data!$L$2=1,Data!$L$3=1),IF(OR(Data!CD47=0,Data!CD47=""),"","O"&amp;Data!CD47),IF('ARDT Cutter Entry'!$C$111&lt;&gt;"",'ARDT Cutter Entry'!O112,'ARDT Cutter Entry'!O44))</f>
        <v/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">
      <c r="A20" s="2078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O1</v>
      </c>
      <c r="D20" s="167" t="str">
        <f>IF(OR(Data!$L$2=1,Data!$L$3=1),IF(OR(Data!BS48=0,Data!BS48=""),"","O"&amp;Data!BS48),IF('ARDT Cutter Entry'!$C$111&lt;&gt;"",'ARDT Cutter Entry'!D113,'ARDT Cutter Entry'!D45))</f>
        <v>O1</v>
      </c>
      <c r="E20" s="167" t="str">
        <f>IF(OR(Data!$L$2=1,Data!$L$3=1),IF(OR(Data!BT48=0,Data!BT48=""),"","O"&amp;Data!BT48),IF('ARDT Cutter Entry'!$C$111&lt;&gt;"",'ARDT Cutter Entry'!E113,'ARDT Cutter Entry'!E45))</f>
        <v>O1</v>
      </c>
      <c r="F20" s="167" t="str">
        <f>IF(OR(Data!$L$2=1,Data!$L$3=1),IF(OR(Data!BU48=0,Data!BU48=""),"","O"&amp;Data!BU48),IF('ARDT Cutter Entry'!$C$111&lt;&gt;"",'ARDT Cutter Entry'!F113,'ARDT Cutter Entry'!F45))</f>
        <v>S3</v>
      </c>
      <c r="G20" s="167" t="str">
        <f>IF(OR(Data!$L$2=1,Data!$L$3=1),IF(OR(Data!BV48=0,Data!BV48=""),"","O"&amp;Data!BV48),IF('ARDT Cutter Entry'!$C$111&lt;&gt;"",'ARDT Cutter Entry'!G113,'ARDT Cutter Entry'!G45))</f>
        <v>O1</v>
      </c>
      <c r="H20" s="167" t="str">
        <f>IF(OR(Data!$L$2=1,Data!$L$3=1),IF(OR(Data!BW48=0,Data!BW48=""),"","O"&amp;Data!BW48),IF('ARDT Cutter Entry'!$C$111&lt;&gt;"",'ARDT Cutter Entry'!H113,'ARDT Cutter Entry'!H45))</f>
        <v>O2</v>
      </c>
      <c r="I20" s="167" t="str">
        <f>IF(OR(Data!$L$2=1,Data!$L$3=1),IF(OR(Data!BX48=0,Data!BX48=""),"","O"&amp;Data!BX48),IF('ARDT Cutter Entry'!$C$111&lt;&gt;"",'ARDT Cutter Entry'!I113,'ARDT Cutter Entry'!I45))</f>
        <v>O2</v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/>
      </c>
      <c r="M20" s="167" t="str">
        <f>IF(OR(Data!$L$2=1,Data!$L$3=1),IF(OR(Data!CB48=0,Data!CB48=""),"","O"&amp;Data!CB48),IF('ARDT Cutter Entry'!$C$111&lt;&gt;"",'ARDT Cutter Entry'!M113,'ARDT Cutter Entry'!M45))</f>
        <v/>
      </c>
      <c r="N20" s="167" t="str">
        <f>IF(OR(Data!$L$2=1,Data!$L$3=1),IF(OR(Data!CC48=0,Data!CC48=""),"","O"&amp;Data!CC48),IF('ARDT Cutter Entry'!$C$111&lt;&gt;"",'ARDT Cutter Entry'!N113,'ARDT Cutter Entry'!N45))</f>
        <v/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">
      <c r="A21" s="2078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O1</v>
      </c>
      <c r="D21" s="167" t="str">
        <f>IF(OR(Data!$L$2=1,Data!$L$3=1),IF(OR(Data!BS49=0,Data!BS49=""),"","O"&amp;Data!BS49),IF('ARDT Cutter Entry'!$C$111&lt;&gt;"",'ARDT Cutter Entry'!D114,'ARDT Cutter Entry'!D46))</f>
        <v>O1</v>
      </c>
      <c r="E21" s="167" t="str">
        <f>IF(OR(Data!$L$2=1,Data!$L$3=1),IF(OR(Data!BT49=0,Data!BT49=""),"","O"&amp;Data!BT49),IF('ARDT Cutter Entry'!$C$111&lt;&gt;"",'ARDT Cutter Entry'!E114,'ARDT Cutter Entry'!E46))</f>
        <v>O1</v>
      </c>
      <c r="F21" s="167" t="str">
        <f>IF(OR(Data!$L$2=1,Data!$L$3=1),IF(OR(Data!BU49=0,Data!BU49=""),"","O"&amp;Data!BU49),IF('ARDT Cutter Entry'!$C$111&lt;&gt;"",'ARDT Cutter Entry'!F114,'ARDT Cutter Entry'!F46))</f>
        <v>S3</v>
      </c>
      <c r="G21" s="167" t="str">
        <f>IF(OR(Data!$L$2=1,Data!$L$3=1),IF(OR(Data!BV49=0,Data!BV49=""),"","O"&amp;Data!BV49),IF('ARDT Cutter Entry'!$C$111&lt;&gt;"",'ARDT Cutter Entry'!G114,'ARDT Cutter Entry'!G46))</f>
        <v>O1</v>
      </c>
      <c r="H21" s="167" t="str">
        <f>IF(OR(Data!$L$2=1,Data!$L$3=1),IF(OR(Data!BW49=0,Data!BW49=""),"","O"&amp;Data!BW49),IF('ARDT Cutter Entry'!$C$111&lt;&gt;"",'ARDT Cutter Entry'!H114,'ARDT Cutter Entry'!H46))</f>
        <v>O1</v>
      </c>
      <c r="I21" s="167" t="str">
        <f>IF(OR(Data!$L$2=1,Data!$L$3=1),IF(OR(Data!BX49=0,Data!BX49=""),"","O"&amp;Data!BX49),IF('ARDT Cutter Entry'!$C$111&lt;&gt;"",'ARDT Cutter Entry'!I114,'ARDT Cutter Entry'!I46))</f>
        <v>O2</v>
      </c>
      <c r="J21" s="167" t="str">
        <f>IF(OR(Data!$L$2=1,Data!$L$3=1),IF(OR(Data!BY49=0,Data!BY49=""),"","O"&amp;Data!BY49),IF('ARDT Cutter Entry'!$C$111&lt;&gt;"",'ARDT Cutter Entry'!J114,'ARDT Cutter Entry'!J46))</f>
        <v>O2</v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/>
      </c>
      <c r="M21" s="167" t="str">
        <f>IF(OR(Data!$L$2=1,Data!$L$3=1),IF(OR(Data!CB49=0,Data!CB49=""),"","O"&amp;Data!CB49),IF('ARDT Cutter Entry'!$C$111&lt;&gt;"",'ARDT Cutter Entry'!M114,'ARDT Cutter Entry'!M46))</f>
        <v/>
      </c>
      <c r="N21" s="167" t="str">
        <f>IF(OR(Data!$L$2=1,Data!$L$3=1),IF(OR(Data!CC49=0,Data!CC49=""),"","O"&amp;Data!CC49),IF('ARDT Cutter Entry'!$C$111&lt;&gt;"",'ARDT Cutter Entry'!N114,'ARDT Cutter Entry'!N46))</f>
        <v/>
      </c>
      <c r="O21" s="167" t="str">
        <f>IF(OR(Data!$L$2=1,Data!$L$3=1),IF(OR(Data!CD49=0,Data!CD49=""),"","O"&amp;Data!CD49),IF('ARDT Cutter Entry'!$C$111&lt;&gt;"",'ARDT Cutter Entry'!O114,'ARDT Cutter Entry'!O46))</f>
        <v/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">
      <c r="A22" s="2078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S3</v>
      </c>
      <c r="D22" s="167" t="str">
        <f>IF(OR(Data!$L$2=1,Data!$L$3=1),IF(OR(Data!BS50=0,Data!BS50=""),"","O"&amp;Data!BS50),IF('ARDT Cutter Entry'!$C$111&lt;&gt;"",'ARDT Cutter Entry'!D115,'ARDT Cutter Entry'!D47))</f>
        <v>R3</v>
      </c>
      <c r="E22" s="167" t="str">
        <f>IF(OR(Data!$L$2=1,Data!$L$3=1),IF(OR(Data!BT50=0,Data!BT50=""),"","O"&amp;Data!BT50),IF('ARDT Cutter Entry'!$C$111&lt;&gt;"",'ARDT Cutter Entry'!E115,'ARDT Cutter Entry'!E47))</f>
        <v>O1</v>
      </c>
      <c r="F22" s="167" t="str">
        <f>IF(OR(Data!$L$2=1,Data!$L$3=1),IF(OR(Data!BU50=0,Data!BU50=""),"","O"&amp;Data!BU50),IF('ARDT Cutter Entry'!$C$111&lt;&gt;"",'ARDT Cutter Entry'!F115,'ARDT Cutter Entry'!F47))</f>
        <v>O2</v>
      </c>
      <c r="G22" s="167" t="str">
        <f>IF(OR(Data!$L$2=1,Data!$L$3=1),IF(OR(Data!BV50=0,Data!BV50=""),"","O"&amp;Data!BV50),IF('ARDT Cutter Entry'!$C$111&lt;&gt;"",'ARDT Cutter Entry'!G115,'ARDT Cutter Entry'!G47))</f>
        <v>O2</v>
      </c>
      <c r="H22" s="167" t="str">
        <f>IF(OR(Data!$L$2=1,Data!$L$3=1),IF(OR(Data!BW50=0,Data!BW50=""),"","O"&amp;Data!BW50),IF('ARDT Cutter Entry'!$C$111&lt;&gt;"",'ARDT Cutter Entry'!H115,'ARDT Cutter Entry'!H47))</f>
        <v/>
      </c>
      <c r="I22" s="167" t="str">
        <f>IF(OR(Data!$L$2=1,Data!$L$3=1),IF(OR(Data!BX50=0,Data!BX50=""),"","O"&amp;Data!BX50),IF('ARDT Cutter Entry'!$C$111&lt;&gt;"",'ARDT Cutter Entry'!I115,'ARDT Cutter Entry'!I47))</f>
        <v/>
      </c>
      <c r="J22" s="167" t="str">
        <f>IF(OR(Data!$L$2=1,Data!$L$3=1),IF(OR(Data!BY50=0,Data!BY50=""),"","O"&amp;Data!BY50),IF('ARDT Cutter Entry'!$C$111&lt;&gt;"",'ARDT Cutter Entry'!J115,'ARDT Cutter Entry'!J47))</f>
        <v/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/>
      </c>
      <c r="M22" s="167" t="str">
        <f>IF(OR(Data!$L$2=1,Data!$L$3=1),IF(OR(Data!CB50=0,Data!CB50=""),"","O"&amp;Data!CB50),IF('ARDT Cutter Entry'!$C$111&lt;&gt;"",'ARDT Cutter Entry'!M115,'ARDT Cutter Entry'!M47))</f>
        <v/>
      </c>
      <c r="N22" s="167" t="str">
        <f>IF(OR(Data!$L$2=1,Data!$L$3=1),IF(OR(Data!CC50=0,Data!CC50=""),"","O"&amp;Data!CC50),IF('ARDT Cutter Entry'!$C$111&lt;&gt;"",'ARDT Cutter Entry'!N115,'ARDT Cutter Entry'!N47))</f>
        <v/>
      </c>
      <c r="O22" s="167" t="str">
        <f>IF(OR(Data!$L$2=1,Data!$L$3=1),IF(OR(Data!CD50=0,Data!CD50=""),"","O"&amp;Data!CD50),IF('ARDT Cutter Entry'!$C$111&lt;&gt;"",'ARDT Cutter Entry'!O115,'ARDT Cutter Entry'!O47))</f>
        <v/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">
      <c r="A23" s="2078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/>
      </c>
      <c r="D23" s="167" t="str">
        <f>IF(OR(Data!$L$2=1,Data!$L$3=1),IF(OR(Data!BS51=0,Data!BS51=""),"","O"&amp;Data!BS51),IF('ARDT Cutter Entry'!$C$111&lt;&gt;"",'ARDT Cutter Entry'!D116,'ARDT Cutter Entry'!D48))</f>
        <v/>
      </c>
      <c r="E23" s="167" t="str">
        <f>IF(OR(Data!$L$2=1,Data!$L$3=1),IF(OR(Data!BT51=0,Data!BT51=""),"","O"&amp;Data!BT51),IF('ARDT Cutter Entry'!$C$111&lt;&gt;"",'ARDT Cutter Entry'!E116,'ARDT Cutter Entry'!E48))</f>
        <v/>
      </c>
      <c r="F23" s="167" t="str">
        <f>IF(OR(Data!$L$2=1,Data!$L$3=1),IF(OR(Data!BU51=0,Data!BU51=""),"","O"&amp;Data!BU51),IF('ARDT Cutter Entry'!$C$111&lt;&gt;"",'ARDT Cutter Entry'!F116,'ARDT Cutter Entry'!F48))</f>
        <v/>
      </c>
      <c r="G23" s="167" t="str">
        <f>IF(OR(Data!$L$2=1,Data!$L$3=1),IF(OR(Data!BV51=0,Data!BV51=""),"","O"&amp;Data!BV51),IF('ARDT Cutter Entry'!$C$111&lt;&gt;"",'ARDT Cutter Entry'!G116,'ARDT Cutter Entry'!G48))</f>
        <v/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/>
      </c>
      <c r="M23" s="167" t="str">
        <f>IF(OR(Data!$L$2=1,Data!$L$3=1),IF(OR(Data!CB51=0,Data!CB51=""),"","O"&amp;Data!CB51),IF('ARDT Cutter Entry'!$C$111&lt;&gt;"",'ARDT Cutter Entry'!M116,'ARDT Cutter Entry'!M48))</f>
        <v/>
      </c>
      <c r="N23" s="167" t="str">
        <f>IF(OR(Data!$L$2=1,Data!$L$3=1),IF(OR(Data!CC51=0,Data!CC51=""),"","O"&amp;Data!CC51),IF('ARDT Cutter Entry'!$C$111&lt;&gt;"",'ARDT Cutter Entry'!N116,'ARDT Cutter Entry'!N48))</f>
        <v/>
      </c>
      <c r="O23" s="167" t="str">
        <f>IF(OR(Data!$L$2=1,Data!$L$3=1),IF(OR(Data!CD51=0,Data!CD51=""),"","O"&amp;Data!CD51),IF('ARDT Cutter Entry'!$C$111&lt;&gt;"",'ARDT Cutter Entry'!O116,'ARDT Cutter Entry'!O48))</f>
        <v/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">
      <c r="A24" s="2078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">
      <c r="A25" s="2078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">
      <c r="A26" s="2078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">
      <c r="A27" s="2078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">
      <c r="A28" s="2078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25">
      <c r="A29" s="2079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25">
      <c r="A30" s="505"/>
      <c r="B30" s="506"/>
      <c r="C30" s="506"/>
    </row>
    <row r="31" spans="1:35" ht="15.75" customHeight="1" thickBot="1" x14ac:dyDescent="0.25">
      <c r="A31" s="2068" t="s">
        <v>826</v>
      </c>
      <c r="B31" s="1987"/>
      <c r="C31" s="1987"/>
      <c r="D31" s="1987"/>
      <c r="E31" s="1987"/>
      <c r="F31" s="1953" t="str">
        <f>IF(Data!B11&lt;&gt;"",Data!B11," ")</f>
        <v>Yakoob Alajawad</v>
      </c>
      <c r="G31" s="1953"/>
      <c r="H31" s="1953"/>
      <c r="I31" s="1953"/>
      <c r="J31" s="2069" t="s">
        <v>949</v>
      </c>
      <c r="K31" s="2069"/>
      <c r="L31" s="2070" t="str">
        <f>IF(Data!B12&lt;&gt;"",Data!B12," ")</f>
        <v>Ramzi Kassab</v>
      </c>
      <c r="M31" s="2070"/>
      <c r="N31" s="2070"/>
      <c r="O31" s="2070"/>
      <c r="P31" s="2070"/>
      <c r="Q31" s="2069" t="s">
        <v>1079</v>
      </c>
      <c r="R31" s="2069"/>
      <c r="S31" s="2071">
        <f>IF(Data!B13&lt;&gt;"",Data!B13," ")</f>
        <v>46035</v>
      </c>
      <c r="T31" s="2071"/>
      <c r="U31" s="2071"/>
      <c r="V31" s="2071"/>
      <c r="W31" s="2071"/>
      <c r="X31" s="507"/>
      <c r="Y31" s="498"/>
      <c r="Z31" s="498"/>
      <c r="AA31" s="498"/>
      <c r="AB31" s="498"/>
      <c r="AC31" s="2065" t="s">
        <v>37</v>
      </c>
      <c r="AD31" s="2065"/>
      <c r="AE31" s="2065"/>
      <c r="AF31" s="2065"/>
      <c r="AG31" s="2066" t="str">
        <f>IF(AG33&lt;&gt;"","","√")</f>
        <v>√</v>
      </c>
      <c r="AH31" s="2067"/>
    </row>
    <row r="32" spans="1:35" ht="11.25" customHeight="1" thickBot="1" x14ac:dyDescent="0.25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25">
      <c r="A33" s="2059" t="s">
        <v>1080</v>
      </c>
      <c r="B33" s="2060"/>
      <c r="C33" s="2061"/>
      <c r="D33" s="2059" t="s">
        <v>1081</v>
      </c>
      <c r="E33" s="2060"/>
      <c r="F33" s="2060"/>
      <c r="G33" s="2059" t="s">
        <v>1082</v>
      </c>
      <c r="H33" s="2060"/>
      <c r="I33" s="2061"/>
      <c r="J33" s="2059" t="s">
        <v>1083</v>
      </c>
      <c r="K33" s="2060"/>
      <c r="L33" s="2061"/>
      <c r="M33" s="2059" t="s">
        <v>1084</v>
      </c>
      <c r="N33" s="2060"/>
      <c r="O33" s="2060"/>
      <c r="P33" s="2059" t="s">
        <v>1085</v>
      </c>
      <c r="Q33" s="2060"/>
      <c r="R33" s="2061"/>
      <c r="S33" s="2059" t="s">
        <v>21</v>
      </c>
      <c r="T33" s="2060"/>
      <c r="U33" s="2061"/>
      <c r="AC33" s="2065" t="s">
        <v>38</v>
      </c>
      <c r="AD33" s="2065"/>
      <c r="AE33" s="2065"/>
      <c r="AF33" s="2065"/>
      <c r="AG33" s="2054" t="str">
        <f>IF(Data!L5=1, "√", "")</f>
        <v/>
      </c>
      <c r="AH33" s="2055"/>
    </row>
    <row r="34" spans="1:45" ht="15.75" customHeight="1" thickBot="1" x14ac:dyDescent="0.25">
      <c r="A34" s="2056">
        <f>IF('Eng. Cutter Entry'!C4&lt;&gt;"",'ARDT Cutter Entry'!BI62,'ARDT Cutter Entry'!BI6)</f>
        <v>2</v>
      </c>
      <c r="B34" s="2057"/>
      <c r="C34" s="2058"/>
      <c r="D34" s="2056">
        <f>IF('Eng. Cutter Entry'!C4&lt;&gt;"",'ARDT Cutter Entry'!BI63,'ARDT Cutter Entry'!BI5)</f>
        <v>4</v>
      </c>
      <c r="E34" s="2057"/>
      <c r="F34" s="2057"/>
      <c r="G34" s="2056">
        <f>IF('Eng. Cutter Entry'!C4&lt;&gt;"",'ARDT Cutter Entry'!BI65,'ARDT Cutter Entry'!BI9)</f>
        <v>27</v>
      </c>
      <c r="H34" s="2057"/>
      <c r="I34" s="2058"/>
      <c r="J34" s="2059">
        <f>IF('Eng. Cutter Entry'!C4&lt;&gt;"",'ARDT Cutter Entry'!BI64,'ARDT Cutter Entry'!BI8)</f>
        <v>0</v>
      </c>
      <c r="K34" s="2060"/>
      <c r="L34" s="2061"/>
      <c r="M34" s="2056">
        <f>IF('Eng. Cutter Entry'!C4&lt;&gt;"",'ARDT Cutter Entry'!BI58+'ARDT Cutter Entry'!BI59,'ARDT Cutter Entry'!BI2+'ARDT Cutter Entry'!BI3)</f>
        <v>0</v>
      </c>
      <c r="N34" s="2057"/>
      <c r="O34" s="2057"/>
      <c r="P34" s="2062">
        <f>IF('Eng. Cutter Entry'!C4&lt;&gt;"",'ARDT Cutter Entry'!BI60+'ARDT Cutter Entry'!BI61,'ARDT Cutter Entry'!BI4+'ARDT Cutter Entry'!BI5)</f>
        <v>0</v>
      </c>
      <c r="Q34" s="2063"/>
      <c r="R34" s="2064"/>
      <c r="S34" s="2059">
        <f>IF(Data!BO63&lt;&gt;"",Data!BO63," ")</f>
        <v>33</v>
      </c>
      <c r="T34" s="2060"/>
      <c r="U34" s="2061"/>
      <c r="V34" s="1989"/>
      <c r="W34" s="1989"/>
      <c r="X34" s="1989"/>
      <c r="Y34" s="1989"/>
      <c r="Z34" s="1989"/>
      <c r="AA34" s="498"/>
    </row>
    <row r="35" spans="1:45" ht="5.25" hidden="1" customHeight="1" x14ac:dyDescent="0.2">
      <c r="A35" s="508"/>
      <c r="AH35" s="502"/>
    </row>
    <row r="36" spans="1:45" ht="12.75" customHeight="1" x14ac:dyDescent="0.2">
      <c r="A36" s="2027" t="s">
        <v>19</v>
      </c>
      <c r="B36" s="2028"/>
      <c r="C36" s="2028"/>
      <c r="D36" s="2029"/>
      <c r="E36" s="2036" t="str">
        <f>IF(Data!L2=1,"The bit is Rerunable, No need for repair. ",IF('ARDT Cutter Entry'!Y57=1,"Accepted as rerun by LSTK engineer.",IF('ARDT Cutter Entry'!D21&lt;&gt;"",'ARDT Cutter Entry'!D21," ")))</f>
        <v>Re-evaluated by Engineer. Pin face erosion.</v>
      </c>
      <c r="F36" s="2037"/>
      <c r="G36" s="2037"/>
      <c r="H36" s="2037"/>
      <c r="I36" s="2037"/>
      <c r="J36" s="2037"/>
      <c r="K36" s="2037"/>
      <c r="L36" s="2037"/>
      <c r="M36" s="2037"/>
      <c r="N36" s="2037"/>
      <c r="O36" s="2037"/>
      <c r="P36" s="2037"/>
      <c r="Q36" s="2037"/>
      <c r="R36" s="2037"/>
      <c r="S36" s="2037"/>
      <c r="T36" s="2037"/>
      <c r="U36" s="2037"/>
      <c r="V36" s="2037"/>
      <c r="W36" s="2037"/>
      <c r="X36" s="2037"/>
      <c r="Y36" s="2037"/>
      <c r="Z36" s="2037"/>
      <c r="AA36" s="2037"/>
      <c r="AB36" s="2037"/>
      <c r="AC36" s="2037"/>
      <c r="AD36" s="2037"/>
      <c r="AE36" s="2037"/>
      <c r="AF36" s="2037"/>
      <c r="AG36" s="2037"/>
      <c r="AH36" s="2037"/>
      <c r="AI36" s="2038"/>
    </row>
    <row r="37" spans="1:45" ht="16.5" customHeight="1" x14ac:dyDescent="0.2">
      <c r="A37" s="2030"/>
      <c r="B37" s="2031"/>
      <c r="C37" s="2031"/>
      <c r="D37" s="2032"/>
      <c r="E37" s="2039"/>
      <c r="F37" s="2040"/>
      <c r="G37" s="2040"/>
      <c r="H37" s="2040"/>
      <c r="I37" s="2040"/>
      <c r="J37" s="2040"/>
      <c r="K37" s="2040"/>
      <c r="L37" s="2040"/>
      <c r="M37" s="2040"/>
      <c r="N37" s="2040"/>
      <c r="O37" s="2040"/>
      <c r="P37" s="2040"/>
      <c r="Q37" s="2040"/>
      <c r="R37" s="2040"/>
      <c r="S37" s="2040"/>
      <c r="T37" s="2040"/>
      <c r="U37" s="2040"/>
      <c r="V37" s="2040"/>
      <c r="W37" s="2040"/>
      <c r="X37" s="2040"/>
      <c r="Y37" s="2040"/>
      <c r="Z37" s="2040"/>
      <c r="AA37" s="2040"/>
      <c r="AB37" s="2040"/>
      <c r="AC37" s="2040"/>
      <c r="AD37" s="2040"/>
      <c r="AE37" s="2040"/>
      <c r="AF37" s="2040"/>
      <c r="AG37" s="2040"/>
      <c r="AH37" s="2040"/>
      <c r="AI37" s="2041"/>
    </row>
    <row r="38" spans="1:45" ht="15.75" customHeight="1" x14ac:dyDescent="0.2">
      <c r="A38" s="2033"/>
      <c r="B38" s="2034"/>
      <c r="C38" s="2034"/>
      <c r="D38" s="2035"/>
      <c r="E38" s="2042"/>
      <c r="F38" s="2043"/>
      <c r="G38" s="2043"/>
      <c r="H38" s="2043"/>
      <c r="I38" s="2043"/>
      <c r="J38" s="2043"/>
      <c r="K38" s="2043"/>
      <c r="L38" s="2043"/>
      <c r="M38" s="2043"/>
      <c r="N38" s="2043"/>
      <c r="O38" s="2043"/>
      <c r="P38" s="2043"/>
      <c r="Q38" s="2043"/>
      <c r="R38" s="2043"/>
      <c r="S38" s="2043"/>
      <c r="T38" s="2043"/>
      <c r="U38" s="2043"/>
      <c r="V38" s="2043"/>
      <c r="W38" s="2043"/>
      <c r="X38" s="2043"/>
      <c r="Y38" s="2043"/>
      <c r="Z38" s="2043"/>
      <c r="AA38" s="2043"/>
      <c r="AB38" s="2043"/>
      <c r="AC38" s="2043"/>
      <c r="AD38" s="2043"/>
      <c r="AE38" s="2043"/>
      <c r="AF38" s="2043"/>
      <c r="AG38" s="2043"/>
      <c r="AH38" s="2043"/>
      <c r="AI38" s="2044"/>
    </row>
    <row r="39" spans="1:45" ht="15.75" customHeight="1" x14ac:dyDescent="0.2">
      <c r="A39" s="2045" t="s">
        <v>1086</v>
      </c>
      <c r="B39" s="2046"/>
      <c r="C39" s="2046"/>
      <c r="D39" s="2046"/>
      <c r="E39" s="2046"/>
      <c r="F39" s="2046"/>
      <c r="G39" s="2046"/>
      <c r="H39" s="2046"/>
      <c r="I39" s="2047">
        <f>SUM(M34+P34)</f>
        <v>0</v>
      </c>
      <c r="J39" s="2047"/>
      <c r="K39" s="2047"/>
      <c r="L39" s="2047"/>
      <c r="M39" s="2047"/>
      <c r="N39" s="2047"/>
      <c r="O39" s="2047"/>
      <c r="P39" s="2047"/>
      <c r="Q39" s="2047"/>
      <c r="R39" s="2048"/>
      <c r="S39" s="2049"/>
      <c r="T39" s="2049"/>
      <c r="U39" s="2049"/>
      <c r="V39" s="2049"/>
      <c r="W39" s="2049"/>
      <c r="X39" s="2049"/>
      <c r="Y39" s="2049"/>
      <c r="Z39" s="2049"/>
      <c r="AA39" s="2049"/>
      <c r="AB39" s="2049"/>
      <c r="AC39" s="2049"/>
      <c r="AD39" s="2049"/>
      <c r="AE39" s="2049"/>
      <c r="AF39" s="2049"/>
      <c r="AG39" s="2049"/>
      <c r="AH39" s="2049"/>
      <c r="AI39" s="2050"/>
    </row>
    <row r="40" spans="1:45" ht="15.75" customHeight="1" x14ac:dyDescent="0.2">
      <c r="A40" s="2051" t="s">
        <v>1087</v>
      </c>
      <c r="B40" s="2052"/>
      <c r="C40" s="2052"/>
      <c r="D40" s="2052"/>
      <c r="E40" s="2052"/>
      <c r="F40" s="2052"/>
      <c r="G40" s="2052"/>
      <c r="H40" s="2052"/>
      <c r="I40" s="2052"/>
      <c r="J40" s="2052"/>
      <c r="K40" s="2052"/>
      <c r="L40" s="2052"/>
      <c r="M40" s="2052"/>
      <c r="N40" s="2052"/>
      <c r="O40" s="2052"/>
      <c r="P40" s="2052"/>
      <c r="Q40" s="2052"/>
      <c r="R40" s="2052"/>
      <c r="S40" s="2052"/>
      <c r="T40" s="2052"/>
      <c r="U40" s="2052"/>
      <c r="V40" s="2052"/>
      <c r="W40" s="2052"/>
      <c r="X40" s="2052"/>
      <c r="Y40" s="2052"/>
      <c r="Z40" s="2052"/>
      <c r="AA40" s="2052"/>
      <c r="AB40" s="2052"/>
      <c r="AC40" s="2052"/>
      <c r="AD40" s="2052"/>
      <c r="AE40" s="2052"/>
      <c r="AF40" s="2052"/>
      <c r="AG40" s="2052"/>
      <c r="AH40" s="2052"/>
      <c r="AI40" s="2053"/>
    </row>
    <row r="41" spans="1:45" ht="15.75" customHeight="1" x14ac:dyDescent="0.2">
      <c r="A41" s="2026" t="s">
        <v>1088</v>
      </c>
      <c r="B41" s="2017"/>
      <c r="C41" s="2017"/>
      <c r="D41" s="2017"/>
      <c r="E41" s="2017" t="s">
        <v>1088</v>
      </c>
      <c r="F41" s="2017"/>
      <c r="G41" s="2017"/>
      <c r="H41" s="2017" t="s">
        <v>1089</v>
      </c>
      <c r="I41" s="2017"/>
      <c r="J41" s="2017"/>
      <c r="K41" s="2017"/>
      <c r="L41" s="2017" t="s">
        <v>1090</v>
      </c>
      <c r="M41" s="2017"/>
      <c r="N41" s="2017"/>
      <c r="O41" s="2017"/>
      <c r="P41" s="2017" t="s">
        <v>1091</v>
      </c>
      <c r="Q41" s="2017"/>
      <c r="R41" s="2017"/>
      <c r="S41" s="2017"/>
      <c r="T41" s="2017" t="s">
        <v>1092</v>
      </c>
      <c r="U41" s="2019"/>
      <c r="V41" s="2019"/>
      <c r="W41" s="2019"/>
      <c r="X41" s="2017" t="s">
        <v>1093</v>
      </c>
      <c r="Y41" s="2017"/>
      <c r="Z41" s="2017"/>
      <c r="AA41" s="2017"/>
      <c r="AB41" s="2018" t="s">
        <v>16</v>
      </c>
      <c r="AC41" s="2019"/>
      <c r="AD41" s="2019"/>
      <c r="AE41" s="2020"/>
      <c r="AF41" s="2021"/>
      <c r="AG41" s="2021"/>
      <c r="AH41" s="2021"/>
      <c r="AI41" s="2022"/>
    </row>
    <row r="42" spans="1:45" ht="15.75" customHeight="1" thickBot="1" x14ac:dyDescent="0.25">
      <c r="A42" s="614" t="s">
        <v>108</v>
      </c>
      <c r="B42" s="1947" t="s">
        <v>1094</v>
      </c>
      <c r="C42" s="1948"/>
      <c r="D42" s="1949"/>
      <c r="E42" s="2014" t="s">
        <v>1095</v>
      </c>
      <c r="F42" s="2014"/>
      <c r="G42" s="2014"/>
      <c r="H42" s="2014" t="s">
        <v>728</v>
      </c>
      <c r="I42" s="2014"/>
      <c r="J42" s="2014" t="s">
        <v>1096</v>
      </c>
      <c r="K42" s="2014"/>
      <c r="L42" s="2014" t="s">
        <v>728</v>
      </c>
      <c r="M42" s="2014"/>
      <c r="N42" s="2014" t="s">
        <v>1096</v>
      </c>
      <c r="O42" s="2014"/>
      <c r="P42" s="2014" t="s">
        <v>728</v>
      </c>
      <c r="Q42" s="2014"/>
      <c r="R42" s="2014" t="s">
        <v>1096</v>
      </c>
      <c r="S42" s="2014"/>
      <c r="T42" s="2014" t="s">
        <v>728</v>
      </c>
      <c r="U42" s="2014"/>
      <c r="V42" s="2014" t="s">
        <v>1096</v>
      </c>
      <c r="W42" s="2014"/>
      <c r="X42" s="2014" t="s">
        <v>728</v>
      </c>
      <c r="Y42" s="2014"/>
      <c r="Z42" s="2014" t="s">
        <v>1096</v>
      </c>
      <c r="AA42" s="2014"/>
      <c r="AB42" s="2015" t="s">
        <v>1097</v>
      </c>
      <c r="AC42" s="2016"/>
      <c r="AD42" s="2016"/>
      <c r="AE42" s="2023"/>
      <c r="AF42" s="2024"/>
      <c r="AG42" s="2024"/>
      <c r="AH42" s="2024"/>
      <c r="AI42" s="2025"/>
    </row>
    <row r="43" spans="1:45" ht="15.75" customHeight="1" x14ac:dyDescent="0.25">
      <c r="A43" s="615">
        <v>1</v>
      </c>
      <c r="B43" s="1938">
        <f>IF(Data!G12&gt;0,IF(Data!G12&lt;&gt;"", Data!G12, " ")," ")</f>
        <v>1145493</v>
      </c>
      <c r="C43" s="1939"/>
      <c r="D43" s="1940"/>
      <c r="E43" s="2010">
        <f>IF(Data!F12&gt;0,IF(Data!F12&lt;&gt;"", Data!F12, ""),"")</f>
        <v>1313</v>
      </c>
      <c r="F43" s="2011"/>
      <c r="G43" s="2012"/>
      <c r="H43" s="2010" t="str">
        <f>IF(Quotation!$W$27=550,0,IF('Eng. Cutter Entry'!C4&lt;&gt;"",IF(Data!K12&gt;0,IF(Data!K12&lt;&gt;"",Data!K12," ")," "),Quotation!D48-Quotation!Q48))</f>
        <v xml:space="preserve"> </v>
      </c>
      <c r="I43" s="2013"/>
      <c r="J43" s="2008" t="str">
        <f>IF(Data!L12&lt;&gt;0,IF(Quotation!$W$27=550,0,IF(Data!L12&gt;0,IF(Data!L12&lt;&gt;"",Data!L12,0),0)),"")</f>
        <v/>
      </c>
      <c r="K43" s="2009"/>
      <c r="L43" s="2007"/>
      <c r="M43" s="2008"/>
      <c r="N43" s="2008"/>
      <c r="O43" s="2009"/>
      <c r="P43" s="2007"/>
      <c r="Q43" s="2008"/>
      <c r="R43" s="1939"/>
      <c r="S43" s="1940"/>
      <c r="T43" s="2007"/>
      <c r="U43" s="2008"/>
      <c r="V43" s="2008"/>
      <c r="W43" s="2009"/>
      <c r="X43" s="2007"/>
      <c r="Y43" s="2008"/>
      <c r="Z43" s="2008"/>
      <c r="AA43" s="2009"/>
      <c r="AB43" s="2000">
        <f>IF(OR(Data!L4=1,Data!L5=1),0,IF(AND(TRIM(Quotation!S48)&lt;&gt;"",Quotation!S48&lt;&gt;0),Data!GQ2,0))</f>
        <v>0</v>
      </c>
      <c r="AC43" s="2001"/>
      <c r="AD43" s="2002"/>
      <c r="AE43" s="2003">
        <f>AB43*SUM(H43)+L43+P43+T43+X43</f>
        <v>0</v>
      </c>
      <c r="AF43" s="2004"/>
      <c r="AG43" s="2004"/>
      <c r="AH43" s="2004"/>
      <c r="AI43" s="2005"/>
    </row>
    <row r="44" spans="1:45" ht="15.75" customHeight="1" x14ac:dyDescent="0.25">
      <c r="A44" s="616">
        <v>2</v>
      </c>
      <c r="B44" s="1941">
        <f>IF(Data!G13&gt;0,IF(Data!G13&lt;&gt;"", Data!G13, " ")," ")</f>
        <v>418525</v>
      </c>
      <c r="C44" s="1942"/>
      <c r="D44" s="1943"/>
      <c r="E44" s="1965">
        <f>IF(Data!F13&gt;0,IF(Data!F13&lt;&gt;"", Data!F13, ""),"")</f>
        <v>1308</v>
      </c>
      <c r="F44" s="1966"/>
      <c r="G44" s="1967"/>
      <c r="H44" s="1965" t="str">
        <f>IF(Quotation!$W$27=550,0,IF('Eng. Cutter Entry'!C5&lt;&gt;"",IF(Data!K13&gt;0,IF(Data!K13&lt;&gt;"",Data!K13," ")," "),Quotation!D49-Quotation!Q49))</f>
        <v xml:space="preserve"> </v>
      </c>
      <c r="I44" s="2006"/>
      <c r="J44" s="1970" t="str">
        <f>IF(Data!L13&lt;&gt;0,IF(Quotation!$W$27=550,0,IF(Data!L13&gt;0,IF(Data!L13&lt;&gt;"",Data!L13,0),0)),"")</f>
        <v/>
      </c>
      <c r="K44" s="1971"/>
      <c r="L44" s="1962"/>
      <c r="M44" s="1963"/>
      <c r="N44" s="1963"/>
      <c r="O44" s="1964"/>
      <c r="P44" s="1962"/>
      <c r="Q44" s="1963"/>
      <c r="R44" s="1942"/>
      <c r="S44" s="1943"/>
      <c r="T44" s="1962"/>
      <c r="U44" s="1963"/>
      <c r="V44" s="1963"/>
      <c r="W44" s="1964"/>
      <c r="X44" s="1962"/>
      <c r="Y44" s="1963"/>
      <c r="Z44" s="1963"/>
      <c r="AA44" s="1964"/>
      <c r="AB44" s="1997">
        <f>IF(OR(Data!L4=1,Data!L5=1),0,IF(AND(TRIM(Quotation!S49)&lt;&gt;"",Quotation!S49&lt;&gt;0),Data!GQ3,0))</f>
        <v>0</v>
      </c>
      <c r="AC44" s="1998"/>
      <c r="AD44" s="1999"/>
      <c r="AE44" s="1991">
        <f t="shared" ref="AE44:AE49" si="0">AB44*SUM(H44:Z44)</f>
        <v>0</v>
      </c>
      <c r="AF44" s="1992"/>
      <c r="AG44" s="1992"/>
      <c r="AH44" s="1992"/>
      <c r="AI44" s="1993"/>
      <c r="AS44" s="491">
        <v>853551</v>
      </c>
    </row>
    <row r="45" spans="1:45" ht="15.75" customHeight="1" x14ac:dyDescent="0.25">
      <c r="A45" s="616">
        <v>3</v>
      </c>
      <c r="B45" s="1941">
        <f>IF(Data!G14&gt;0,IF(Data!G14&lt;&gt;"", Data!G14, " ")," ")</f>
        <v>1209332</v>
      </c>
      <c r="C45" s="1942"/>
      <c r="D45" s="1943"/>
      <c r="E45" s="1965">
        <f>IF(Data!F14&gt;0,IF(Data!F14&lt;&gt;"", Data!F14, ""),"")</f>
        <v>1313</v>
      </c>
      <c r="F45" s="1966"/>
      <c r="G45" s="1967"/>
      <c r="H45" s="1968" t="str">
        <f>IF(Quotation!$W$27=550,0,IF('Eng. Cutter Entry'!C6&lt;&gt;"",IF(Data!K14&gt;0,IF(Data!K14&lt;&gt;"",Data!K14," ")," "),Quotation!D50-Quotation!Q50))</f>
        <v xml:space="preserve"> </v>
      </c>
      <c r="I45" s="1969"/>
      <c r="J45" s="1970" t="str">
        <f>IF(Data!L14&lt;&gt;0,IF(Quotation!$W$27=550,0,IF(Data!L14&gt;0,IF(Data!L14&lt;&gt;"",Data!L14,0),0)),"")</f>
        <v/>
      </c>
      <c r="K45" s="1971"/>
      <c r="L45" s="1962"/>
      <c r="M45" s="1963"/>
      <c r="N45" s="1963"/>
      <c r="O45" s="1964"/>
      <c r="P45" s="1962"/>
      <c r="Q45" s="1963"/>
      <c r="R45" s="1963"/>
      <c r="S45" s="1964"/>
      <c r="T45" s="1962"/>
      <c r="U45" s="1963"/>
      <c r="V45" s="1963"/>
      <c r="W45" s="1964"/>
      <c r="X45" s="1962"/>
      <c r="Y45" s="1963"/>
      <c r="Z45" s="1963"/>
      <c r="AA45" s="1964"/>
      <c r="AB45" s="1997">
        <f>IF(OR(Data!L4=1,Data!L5=1),0,IF(AND(TRIM(Quotation!S50)&lt;&gt;"",Quotation!S50&lt;&gt;0),Data!GQ4,0))</f>
        <v>0</v>
      </c>
      <c r="AC45" s="1998"/>
      <c r="AD45" s="1999"/>
      <c r="AE45" s="1991">
        <f t="shared" si="0"/>
        <v>0</v>
      </c>
      <c r="AF45" s="1992"/>
      <c r="AG45" s="1992"/>
      <c r="AH45" s="1992"/>
      <c r="AI45" s="1993"/>
      <c r="AS45" s="491">
        <v>983150</v>
      </c>
    </row>
    <row r="46" spans="1:45" ht="15.75" customHeight="1" x14ac:dyDescent="0.25">
      <c r="A46" s="616">
        <v>4</v>
      </c>
      <c r="B46" s="1941">
        <f>IF(Data!G15&gt;0,IF(Data!G15&lt;&gt;"", Data!G15, " ")," ")</f>
        <v>1146346</v>
      </c>
      <c r="C46" s="1942"/>
      <c r="D46" s="1943"/>
      <c r="E46" s="1965">
        <f>IF(Data!F15&gt;0,IF(Data!F15&lt;&gt;"", Data!F15, ""),"")</f>
        <v>1313</v>
      </c>
      <c r="F46" s="1966"/>
      <c r="G46" s="1967"/>
      <c r="H46" s="1968" t="str">
        <f>IF(Quotation!$W$27=550,0,IF('Eng. Cutter Entry'!C7&lt;&gt;"",IF(Data!K15&gt;0,IF(Data!K15&lt;&gt;"",Data!K15," ")," "),Quotation!D51-Quotation!Q51))</f>
        <v xml:space="preserve"> </v>
      </c>
      <c r="I46" s="1969"/>
      <c r="J46" s="1970" t="str">
        <f>IF(Data!L15&lt;&gt;0,IF(Quotation!$W$27=550,0,IF(Data!L15&gt;0,IF(Data!L15&lt;&gt;"",Data!L15,0),0)),"")</f>
        <v/>
      </c>
      <c r="K46" s="1971"/>
      <c r="L46" s="1962"/>
      <c r="M46" s="1963"/>
      <c r="N46" s="1963"/>
      <c r="O46" s="1964"/>
      <c r="P46" s="1962"/>
      <c r="Q46" s="1963"/>
      <c r="R46" s="1963"/>
      <c r="S46" s="1964"/>
      <c r="T46" s="1962" t="s">
        <v>304</v>
      </c>
      <c r="U46" s="1963"/>
      <c r="V46" s="1963"/>
      <c r="W46" s="1964"/>
      <c r="X46" s="1962"/>
      <c r="Y46" s="1963"/>
      <c r="Z46" s="1963"/>
      <c r="AA46" s="1964"/>
      <c r="AB46" s="1997">
        <f>IF(OR(Data!L4=1,Data!L5=1),0,IF(AND(TRIM(Quotation!S51)&lt;&gt;"",Quotation!S51&lt;&gt;0),Data!GQ5,0))</f>
        <v>0</v>
      </c>
      <c r="AC46" s="1998"/>
      <c r="AD46" s="1999"/>
      <c r="AE46" s="1991">
        <f>AB46*SUM(H46:Z46)</f>
        <v>0</v>
      </c>
      <c r="AF46" s="1992"/>
      <c r="AG46" s="1992"/>
      <c r="AH46" s="1992"/>
      <c r="AI46" s="1993"/>
      <c r="AS46" s="491">
        <v>625854</v>
      </c>
    </row>
    <row r="47" spans="1:45" ht="15.75" customHeight="1" x14ac:dyDescent="0.25">
      <c r="A47" s="616">
        <v>5</v>
      </c>
      <c r="B47" s="1941">
        <f>IF(Data!G16&gt;0,IF(Data!G16&lt;&gt;"", Data!G16, " ")," ")</f>
        <v>2001155</v>
      </c>
      <c r="C47" s="1942"/>
      <c r="D47" s="1943"/>
      <c r="E47" s="1965">
        <f>IF(Data!F16&gt;0,IF(Data!F16&lt;&gt;"", Data!F16, ""),"")</f>
        <v>1313</v>
      </c>
      <c r="F47" s="1966"/>
      <c r="G47" s="1967"/>
      <c r="H47" s="1968" t="str">
        <f>IF(Quotation!$W$27=550,0,IF('Eng. Cutter Entry'!C8&lt;&gt;"",IF(Data!K16&gt;0,IF(Data!K16&lt;&gt;"",Data!K16," ")," "),Quotation!D52-Quotation!Q52))</f>
        <v xml:space="preserve"> </v>
      </c>
      <c r="I47" s="1969"/>
      <c r="J47" s="1970" t="str">
        <f>IF(Data!L16&lt;&gt;0,IF(Quotation!$W$27=550,0,IF(Data!L16&gt;0,IF(Data!L16&lt;&gt;"",Data!L16,0),0)),"")</f>
        <v/>
      </c>
      <c r="K47" s="1971"/>
      <c r="L47" s="1962"/>
      <c r="M47" s="1963"/>
      <c r="N47" s="1963"/>
      <c r="O47" s="1964"/>
      <c r="P47" s="1962"/>
      <c r="Q47" s="1963"/>
      <c r="R47" s="1963"/>
      <c r="S47" s="1964"/>
      <c r="T47" s="1962"/>
      <c r="U47" s="1963"/>
      <c r="V47" s="1963"/>
      <c r="W47" s="1964"/>
      <c r="X47" s="1962"/>
      <c r="Y47" s="1963"/>
      <c r="Z47" s="1963"/>
      <c r="AA47" s="1964"/>
      <c r="AB47" s="1997">
        <f>IF(OR(Data!L4=1,Data!L5=1),0,IF(AND(TRIM(Quotation!S52)&lt;&gt;"",Quotation!S52&lt;&gt;0),Data!GQ6,0))</f>
        <v>0</v>
      </c>
      <c r="AC47" s="1998"/>
      <c r="AD47" s="1999"/>
      <c r="AE47" s="1991">
        <f t="shared" si="0"/>
        <v>0</v>
      </c>
      <c r="AF47" s="1992"/>
      <c r="AG47" s="1992"/>
      <c r="AH47" s="1992"/>
      <c r="AI47" s="1993"/>
      <c r="AS47" s="491">
        <v>418525</v>
      </c>
    </row>
    <row r="48" spans="1:45" ht="15.75" customHeight="1" x14ac:dyDescent="0.25">
      <c r="A48" s="616">
        <v>6</v>
      </c>
      <c r="B48" s="1941" t="str">
        <f>IF(Data!G17&gt;0,IF(Data!G17&lt;&gt;"", Data!G17, " ")," ")</f>
        <v xml:space="preserve"> </v>
      </c>
      <c r="C48" s="1942"/>
      <c r="D48" s="1943"/>
      <c r="E48" s="1965" t="str">
        <f>IF(Data!F17&gt;0,IF(Data!F17&lt;&gt;"", Data!F17, ""),"")</f>
        <v xml:space="preserve"> </v>
      </c>
      <c r="F48" s="1966"/>
      <c r="G48" s="1967"/>
      <c r="H48" s="1968">
        <f>IF(Quotation!$W$27=550,0,IF('Eng. Cutter Entry'!C9&lt;&gt;"",IF(Data!K17&gt;0,IF(Data!K17&lt;&gt;"",Data!K17," ")," "),Quotation!D53-Quotation!Q53))</f>
        <v>0</v>
      </c>
      <c r="I48" s="1969"/>
      <c r="J48" s="1970" t="str">
        <f>IF(Data!L17&lt;&gt;0,IF(Quotation!$W$27=550,0,IF(Data!L17&gt;0,IF(Data!L17&lt;&gt;"",Data!L17,0),0)),"")</f>
        <v/>
      </c>
      <c r="K48" s="1971"/>
      <c r="L48" s="1962"/>
      <c r="M48" s="1963"/>
      <c r="N48" s="1963"/>
      <c r="O48" s="1964"/>
      <c r="P48" s="1962"/>
      <c r="Q48" s="1963"/>
      <c r="R48" s="1963"/>
      <c r="S48" s="1964"/>
      <c r="T48" s="1962"/>
      <c r="U48" s="1963"/>
      <c r="V48" s="1963"/>
      <c r="W48" s="1964"/>
      <c r="X48" s="1962"/>
      <c r="Y48" s="1963"/>
      <c r="Z48" s="1963"/>
      <c r="AA48" s="1964"/>
      <c r="AB48" s="1997">
        <f>IF(OR(Data!L4=1,Data!L5=1),0,IF(AND(TRIM(Quotation!S53)&lt;&gt;"",Quotation!S53&lt;&gt;0),Data!GQ7,0))</f>
        <v>0</v>
      </c>
      <c r="AC48" s="1998"/>
      <c r="AD48" s="1999"/>
      <c r="AE48" s="1991">
        <f t="shared" si="0"/>
        <v>0</v>
      </c>
      <c r="AF48" s="1992"/>
      <c r="AG48" s="1992"/>
      <c r="AH48" s="1992"/>
      <c r="AI48" s="1993"/>
    </row>
    <row r="49" spans="1:46" ht="15.75" customHeight="1" thickBot="1" x14ac:dyDescent="0.3">
      <c r="A49" s="617">
        <v>7</v>
      </c>
      <c r="B49" s="1944" t="str">
        <f>IF(Data!G18&gt;0,IF(Data!G18&lt;&gt;"", Data!G18, " ")," ")</f>
        <v xml:space="preserve"> </v>
      </c>
      <c r="C49" s="1945"/>
      <c r="D49" s="1946"/>
      <c r="E49" s="1952" t="str">
        <f>IF(Data!F18&gt;0,IF(Data!F18&lt;&gt;"", Data!F18, ""),"")</f>
        <v xml:space="preserve"> </v>
      </c>
      <c r="F49" s="1953"/>
      <c r="G49" s="1954"/>
      <c r="H49" s="1955">
        <f>IF(Quotation!$W$27=550,0,IF('Eng. Cutter Entry'!C10&lt;&gt;"",IF(Data!K18&gt;0,IF(Data!K18&lt;&gt;"",Data!K18," ")," "),Quotation!D54-Quotation!Q54))</f>
        <v>0</v>
      </c>
      <c r="I49" s="1956"/>
      <c r="J49" s="1957" t="str">
        <f>IF(Data!L18&lt;&gt;0,IF(Quotation!$W$27=550,0,IF(Data!L18&gt;0,IF(Data!L18&lt;&gt;"",Data!L18,0),0)),"")</f>
        <v/>
      </c>
      <c r="K49" s="1958"/>
      <c r="L49" s="1959"/>
      <c r="M49" s="1960"/>
      <c r="N49" s="1960"/>
      <c r="O49" s="1961"/>
      <c r="P49" s="1959"/>
      <c r="Q49" s="1960"/>
      <c r="R49" s="1960"/>
      <c r="S49" s="1961"/>
      <c r="T49" s="1959"/>
      <c r="U49" s="1960"/>
      <c r="V49" s="1960"/>
      <c r="W49" s="1961"/>
      <c r="X49" s="1959"/>
      <c r="Y49" s="1960"/>
      <c r="Z49" s="1960"/>
      <c r="AA49" s="1961"/>
      <c r="AB49" s="1994">
        <f>IF(OR(Data!L4=1,Data!L5=1),0,IF(AND(TRIM(Quotation!S54)&lt;&gt;"",Quotation!S54&lt;&gt;0),Data!GQ8,0))</f>
        <v>0</v>
      </c>
      <c r="AC49" s="1995"/>
      <c r="AD49" s="1996"/>
      <c r="AE49" s="1991">
        <f t="shared" si="0"/>
        <v>0</v>
      </c>
      <c r="AF49" s="1992"/>
      <c r="AG49" s="1992"/>
      <c r="AH49" s="1992"/>
      <c r="AI49" s="1993"/>
    </row>
    <row r="50" spans="1:46" ht="15.75" customHeight="1" x14ac:dyDescent="0.2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1991">
        <f>IF(Data!L5=1,550,IF(Data!L2=1,550,IF(Data!B28="",IF(OR(COUNTIF(Data!B43,"*x*"),COUNTIF(Data!B43,"*X*")),Data!F109,IF(OR(Data!B7="ARDTS",Data!B7="Halliburton Reg."),Data!C109,0)),Data!B28)))</f>
        <v>0</v>
      </c>
      <c r="AF50" s="1992"/>
      <c r="AG50" s="1992"/>
      <c r="AH50" s="1992"/>
      <c r="AI50" s="1993"/>
    </row>
    <row r="51" spans="1:46" ht="15.75" customHeight="1" x14ac:dyDescent="0.2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9</v>
      </c>
      <c r="Y51" s="520" t="s">
        <v>1100</v>
      </c>
      <c r="Z51" s="517"/>
      <c r="AA51" s="519" t="s">
        <v>110</v>
      </c>
      <c r="AB51" s="1973">
        <v>60</v>
      </c>
      <c r="AC51" s="1973"/>
      <c r="AD51" s="1973"/>
      <c r="AE51" s="1991">
        <f>IF(Data!L5=1,0,IF(Data!L2=1,0,SUM(X51*AB51)))</f>
        <v>540</v>
      </c>
      <c r="AF51" s="1992"/>
      <c r="AG51" s="1992"/>
      <c r="AH51" s="1992"/>
      <c r="AI51" s="1993"/>
      <c r="AT51" s="491" t="s">
        <v>1101</v>
      </c>
    </row>
    <row r="52" spans="1:46" ht="15.75" customHeight="1" x14ac:dyDescent="0.2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1991">
        <f>IF(OR(Data!L4=1,Data!L5=1),0,IF(Data!G31&lt;&gt;"",Data!G31,0))</f>
        <v>0</v>
      </c>
      <c r="AF52" s="1992"/>
      <c r="AG52" s="1992"/>
      <c r="AH52" s="1992"/>
      <c r="AI52" s="1993"/>
    </row>
    <row r="53" spans="1:46" ht="15.75" customHeight="1" x14ac:dyDescent="0.2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1991">
        <f>IF(Data!L5=1,0,IF(Data!L2=1,0,IF(Data!G32=1,Data!G108,0)))</f>
        <v>0</v>
      </c>
      <c r="AF53" s="1992"/>
      <c r="AG53" s="1992"/>
      <c r="AH53" s="1992"/>
      <c r="AI53" s="1993"/>
    </row>
    <row r="54" spans="1:46" ht="15.75" customHeight="1" thickBot="1" x14ac:dyDescent="0.2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1950">
        <v>90</v>
      </c>
      <c r="AC54" s="1950"/>
      <c r="AD54" s="1951"/>
      <c r="AE54" s="1972">
        <f>IF(Data!L5=1,0,IF(Data!L2=1,0,SUM(X54*AB54)))</f>
        <v>0</v>
      </c>
      <c r="AF54" s="1973"/>
      <c r="AG54" s="1973"/>
      <c r="AH54" s="1973"/>
      <c r="AI54" s="1974"/>
    </row>
    <row r="55" spans="1:46" ht="15.75" customHeight="1" thickBot="1" x14ac:dyDescent="0.25">
      <c r="A55" s="1975" t="s">
        <v>1401</v>
      </c>
      <c r="B55" s="1976"/>
      <c r="C55" s="1976"/>
      <c r="D55" s="1976"/>
      <c r="E55" s="1976"/>
      <c r="F55" s="1976"/>
      <c r="G55" s="1976"/>
      <c r="H55" s="1976"/>
      <c r="I55" s="1976"/>
      <c r="J55" s="1976"/>
      <c r="K55" s="1976"/>
      <c r="L55" s="1976"/>
      <c r="M55" s="1976"/>
      <c r="N55" s="1976"/>
      <c r="O55" s="1976"/>
      <c r="P55" s="1976"/>
      <c r="Q55" s="1976"/>
      <c r="R55" s="1976"/>
      <c r="S55" s="1977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1978">
        <f>IF(OR(Data!L4=1,Data!L5=1),0,100)</f>
        <v>100</v>
      </c>
      <c r="Z55" s="1979"/>
      <c r="AA55" s="1979"/>
      <c r="AB55" s="1980"/>
      <c r="AC55" s="528"/>
      <c r="AD55" s="528"/>
      <c r="AE55" s="1981">
        <f>IF(Data!L5=1,0,IF(Data!L2=1,0,SUM(W55*Y55)))</f>
        <v>0</v>
      </c>
      <c r="AF55" s="1950"/>
      <c r="AG55" s="1950"/>
      <c r="AH55" s="1950"/>
      <c r="AI55" s="1951"/>
    </row>
    <row r="56" spans="1:46" ht="15.75" customHeight="1" thickBot="1" x14ac:dyDescent="0.3">
      <c r="W56" s="1982"/>
      <c r="X56" s="1982"/>
      <c r="AA56" s="1982" t="s">
        <v>21</v>
      </c>
      <c r="AB56" s="1982"/>
      <c r="AC56" s="1983"/>
      <c r="AD56" s="1984">
        <f>SUM(AE43:AI55)</f>
        <v>540</v>
      </c>
      <c r="AE56" s="1985"/>
      <c r="AF56" s="1985"/>
      <c r="AG56" s="1985"/>
      <c r="AH56" s="1985"/>
      <c r="AI56" s="1986"/>
    </row>
    <row r="57" spans="1:46" ht="15.75" customHeight="1" thickBot="1" x14ac:dyDescent="0.25">
      <c r="A57" s="1987" t="s">
        <v>1105</v>
      </c>
      <c r="B57" s="1987"/>
      <c r="C57" s="1987"/>
      <c r="D57" s="1987"/>
      <c r="E57" s="1987"/>
      <c r="F57" s="1987"/>
      <c r="G57" s="1987"/>
      <c r="H57" s="1988" t="str">
        <f>IF(Data!B19&lt;&gt;"",Data!B19," ")</f>
        <v>Murthada Turaifi</v>
      </c>
      <c r="I57" s="1988"/>
      <c r="J57" s="1988"/>
      <c r="K57" s="1988"/>
      <c r="L57" s="1988"/>
      <c r="M57" s="1988"/>
      <c r="N57" s="498"/>
      <c r="O57" s="1989" t="s">
        <v>1079</v>
      </c>
      <c r="P57" s="1989"/>
      <c r="Q57" s="1990">
        <f>IF(Data!B20&lt;&gt;"",Data!B20," ")</f>
        <v>46036</v>
      </c>
      <c r="R57" s="1953"/>
      <c r="S57" s="1953"/>
      <c r="T57" s="1953"/>
      <c r="U57" s="1953"/>
      <c r="W57" s="1989" t="s">
        <v>831</v>
      </c>
      <c r="X57" s="1989"/>
      <c r="Y57" s="1989"/>
      <c r="Z57" s="1989"/>
      <c r="AA57" s="1989"/>
      <c r="AB57" s="1988" t="str">
        <f>IF(Data!B21&lt;&gt;"",Data!B21," ")</f>
        <v xml:space="preserve"> </v>
      </c>
      <c r="AC57" s="1988"/>
      <c r="AD57" s="1988"/>
      <c r="AE57" s="1988"/>
      <c r="AF57" s="1988"/>
      <c r="AG57" s="1988"/>
      <c r="AH57" s="1988"/>
    </row>
    <row r="58" spans="1:46" ht="15.75" customHeight="1" x14ac:dyDescent="0.2">
      <c r="Q58" s="529"/>
      <c r="R58" s="529"/>
      <c r="S58" s="529"/>
      <c r="T58" s="529"/>
      <c r="U58" s="529"/>
    </row>
    <row r="59" spans="1:46" x14ac:dyDescent="0.2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RowHeight="12.75" x14ac:dyDescent="0.25"/>
  <cols>
    <col min="1" max="1" width="5.85546875" style="1028" customWidth="1"/>
    <col min="2" max="2" width="17" style="1028" customWidth="1"/>
    <col min="3" max="4" width="7.42578125" style="1028" customWidth="1"/>
    <col min="5" max="6" width="13.5703125" style="1028" customWidth="1"/>
    <col min="7" max="7" width="1.5703125" style="1028" customWidth="1"/>
    <col min="8" max="8" width="2.85546875" style="1028" customWidth="1"/>
    <col min="9" max="9" width="11" style="1028" customWidth="1"/>
    <col min="10" max="10" width="3" style="1028" customWidth="1"/>
    <col min="11" max="11" width="7.28515625" style="1028" customWidth="1"/>
    <col min="12" max="12" width="18.7109375" style="1028" customWidth="1"/>
    <col min="13" max="16384" width="9.140625" style="1028"/>
  </cols>
  <sheetData>
    <row r="1" spans="1:12" ht="20.25" customHeight="1" x14ac:dyDescent="0.25">
      <c r="A1" s="2105" t="s">
        <v>2380</v>
      </c>
      <c r="B1" s="2106"/>
      <c r="C1" s="2106"/>
      <c r="D1" s="2106"/>
      <c r="E1" s="2106"/>
      <c r="F1" s="2106"/>
      <c r="G1" s="2107"/>
      <c r="H1" s="2111" t="s">
        <v>2381</v>
      </c>
      <c r="I1" s="2112"/>
      <c r="J1" s="2112"/>
      <c r="K1" s="2112"/>
      <c r="L1" s="2113"/>
    </row>
    <row r="2" spans="1:12" ht="20.25" customHeight="1" x14ac:dyDescent="0.25">
      <c r="A2" s="2108"/>
      <c r="B2" s="2109"/>
      <c r="C2" s="2109"/>
      <c r="D2" s="2109"/>
      <c r="E2" s="2109"/>
      <c r="F2" s="2109"/>
      <c r="G2" s="2110"/>
      <c r="H2" s="2114" t="s">
        <v>2382</v>
      </c>
      <c r="I2" s="2115"/>
      <c r="J2" s="2115"/>
      <c r="K2" s="2115"/>
      <c r="L2" s="2116"/>
    </row>
    <row r="3" spans="1:12" ht="20.25" customHeight="1" x14ac:dyDescent="0.25">
      <c r="A3" s="2117" t="s">
        <v>2383</v>
      </c>
      <c r="B3" s="2118"/>
      <c r="C3" s="2118"/>
      <c r="D3" s="2118"/>
      <c r="E3" s="2118"/>
      <c r="F3" s="2118"/>
      <c r="G3" s="2119"/>
      <c r="H3" s="2114" t="s">
        <v>2384</v>
      </c>
      <c r="I3" s="2115"/>
      <c r="J3" s="2115"/>
      <c r="K3" s="2115"/>
      <c r="L3" s="2116"/>
    </row>
    <row r="4" spans="1:12" ht="20.25" customHeight="1" thickBot="1" x14ac:dyDescent="0.3">
      <c r="A4" s="2120"/>
      <c r="B4" s="2121"/>
      <c r="C4" s="2121"/>
      <c r="D4" s="2121"/>
      <c r="E4" s="2121"/>
      <c r="F4" s="2121"/>
      <c r="G4" s="2122"/>
      <c r="H4" s="2123" t="s">
        <v>2385</v>
      </c>
      <c r="I4" s="2124"/>
      <c r="J4" s="2124"/>
      <c r="K4" s="2124"/>
      <c r="L4" s="2125"/>
    </row>
    <row r="5" spans="1:12" ht="46.5" customHeight="1" thickBot="1" x14ac:dyDescent="0.3">
      <c r="A5" s="1036" t="s">
        <v>2411</v>
      </c>
      <c r="B5" s="1043">
        <f>IF(Data!B1&lt;&gt;"", Data!B1, " ")</f>
        <v>20261004</v>
      </c>
      <c r="C5" s="1036" t="s">
        <v>1032</v>
      </c>
      <c r="D5" s="2126" t="str">
        <f>IF(Data!B2&lt;&gt;"", Data!B2, " ")</f>
        <v>14304769R1</v>
      </c>
      <c r="E5" s="2127"/>
      <c r="F5" s="1036" t="s">
        <v>1895</v>
      </c>
      <c r="G5" s="2126" t="str">
        <f>IF(LEN(Data!B3)&gt;3,IF(AND(Data!B43&lt;&gt;"",Data!B43&lt;&gt;"0 0/1"""),Data!B43,""),IF(Data!B3&lt;&gt;"",Data!B3&amp;"""",""))</f>
        <v>6 1/8"</v>
      </c>
      <c r="H5" s="2126"/>
      <c r="I5" s="2127"/>
      <c r="J5" s="2128" t="s">
        <v>1896</v>
      </c>
      <c r="K5" s="2129"/>
      <c r="L5" s="1043" t="str">
        <f>IF(Data!B4&lt;&gt;"",Data!B4," ")</f>
        <v>HD54</v>
      </c>
    </row>
    <row r="6" spans="1:12" ht="37.5" customHeight="1" x14ac:dyDescent="0.25">
      <c r="A6" s="2097" t="s">
        <v>2386</v>
      </c>
      <c r="B6" s="2097" t="s">
        <v>2387</v>
      </c>
      <c r="C6" s="2099" t="s">
        <v>2378</v>
      </c>
      <c r="D6" s="2100"/>
      <c r="E6" s="2100"/>
      <c r="F6" s="2100"/>
      <c r="G6" s="2100"/>
      <c r="H6" s="2101"/>
      <c r="I6" s="2102" t="s">
        <v>2388</v>
      </c>
      <c r="J6" s="2103"/>
      <c r="K6" s="2103"/>
      <c r="L6" s="2104"/>
    </row>
    <row r="7" spans="1:12" ht="38.25" customHeight="1" x14ac:dyDescent="0.25">
      <c r="A7" s="2098"/>
      <c r="B7" s="2098"/>
      <c r="C7" s="1035" t="s">
        <v>2389</v>
      </c>
      <c r="D7" s="1029" t="s">
        <v>2390</v>
      </c>
      <c r="E7" s="2136" t="s">
        <v>2391</v>
      </c>
      <c r="F7" s="2137"/>
      <c r="G7" s="2137"/>
      <c r="H7" s="2138"/>
      <c r="I7" s="1037" t="s">
        <v>2379</v>
      </c>
      <c r="J7" s="2130" t="s">
        <v>2391</v>
      </c>
      <c r="K7" s="2131"/>
      <c r="L7" s="2132"/>
    </row>
    <row r="8" spans="1:12" ht="57.75" customHeight="1" x14ac:dyDescent="0.25">
      <c r="A8" s="1032">
        <v>1</v>
      </c>
      <c r="B8" s="1033" t="s">
        <v>2392</v>
      </c>
      <c r="C8" s="1034"/>
      <c r="D8" s="1031"/>
      <c r="E8" s="1030"/>
      <c r="F8" s="2133"/>
      <c r="G8" s="2134"/>
      <c r="H8" s="2135"/>
      <c r="I8" s="1034"/>
      <c r="J8" s="2133"/>
      <c r="K8" s="2134"/>
      <c r="L8" s="2135"/>
    </row>
    <row r="9" spans="1:12" ht="57.75" customHeight="1" x14ac:dyDescent="0.25">
      <c r="A9" s="1032">
        <v>2</v>
      </c>
      <c r="B9" s="1033" t="s">
        <v>2393</v>
      </c>
      <c r="C9" s="1034"/>
      <c r="D9" s="1031"/>
      <c r="E9" s="1030"/>
      <c r="F9" s="2133"/>
      <c r="G9" s="2134"/>
      <c r="H9" s="2135"/>
      <c r="I9" s="1034"/>
      <c r="J9" s="2133"/>
      <c r="K9" s="2134"/>
      <c r="L9" s="2135"/>
    </row>
    <row r="10" spans="1:12" ht="57.75" customHeight="1" x14ac:dyDescent="0.25">
      <c r="A10" s="1032">
        <v>3</v>
      </c>
      <c r="B10" s="1033" t="s">
        <v>2394</v>
      </c>
      <c r="C10" s="1034"/>
      <c r="D10" s="1031"/>
      <c r="E10" s="1030"/>
      <c r="F10" s="2177"/>
      <c r="G10" s="2178"/>
      <c r="H10" s="2179"/>
      <c r="I10" s="1034"/>
      <c r="J10" s="2133"/>
      <c r="K10" s="2134"/>
      <c r="L10" s="2135"/>
    </row>
    <row r="11" spans="1:12" ht="57.75" customHeight="1" x14ac:dyDescent="0.25">
      <c r="A11" s="1032">
        <v>4</v>
      </c>
      <c r="B11" s="1033" t="s">
        <v>2395</v>
      </c>
      <c r="C11" s="1034"/>
      <c r="D11" s="1031"/>
      <c r="E11" s="1030"/>
      <c r="F11" s="2133"/>
      <c r="G11" s="2134"/>
      <c r="H11" s="2135"/>
      <c r="I11" s="1034"/>
      <c r="J11" s="2133"/>
      <c r="K11" s="2134"/>
      <c r="L11" s="2135"/>
    </row>
    <row r="12" spans="1:12" ht="57.75" customHeight="1" x14ac:dyDescent="0.25">
      <c r="A12" s="1032">
        <v>5</v>
      </c>
      <c r="B12" s="1033" t="s">
        <v>2396</v>
      </c>
      <c r="C12" s="1034"/>
      <c r="D12" s="1031"/>
      <c r="E12" s="1030"/>
      <c r="F12" s="2133"/>
      <c r="G12" s="2134"/>
      <c r="H12" s="2135"/>
      <c r="I12" s="1034"/>
      <c r="J12" s="2133"/>
      <c r="K12" s="2134"/>
      <c r="L12" s="2135"/>
    </row>
    <row r="13" spans="1:12" ht="57.75" customHeight="1" x14ac:dyDescent="0.25">
      <c r="A13" s="1032">
        <v>6</v>
      </c>
      <c r="B13" s="1033" t="s">
        <v>2397</v>
      </c>
      <c r="C13" s="1034"/>
      <c r="D13" s="1031"/>
      <c r="E13" s="1030"/>
      <c r="F13" s="2133"/>
      <c r="G13" s="2134"/>
      <c r="H13" s="2135"/>
      <c r="I13" s="1034"/>
      <c r="J13" s="2133"/>
      <c r="K13" s="2134"/>
      <c r="L13" s="2135"/>
    </row>
    <row r="14" spans="1:12" ht="57.75" customHeight="1" thickBot="1" x14ac:dyDescent="0.3">
      <c r="A14" s="1038">
        <v>7</v>
      </c>
      <c r="B14" s="1039" t="s">
        <v>2398</v>
      </c>
      <c r="C14" s="1040"/>
      <c r="D14" s="1041"/>
      <c r="E14" s="1042"/>
      <c r="F14" s="2153"/>
      <c r="G14" s="2151"/>
      <c r="H14" s="2152"/>
      <c r="I14" s="1040"/>
      <c r="J14" s="2153"/>
      <c r="K14" s="2151"/>
      <c r="L14" s="2152"/>
    </row>
    <row r="15" spans="1:12" ht="45.75" customHeight="1" x14ac:dyDescent="0.25">
      <c r="A15" s="2154" t="s">
        <v>2399</v>
      </c>
      <c r="B15" s="2156" t="s">
        <v>2400</v>
      </c>
      <c r="C15" s="2157"/>
      <c r="D15" s="2157"/>
      <c r="E15" s="2157"/>
      <c r="F15" s="2157"/>
      <c r="G15" s="2157"/>
      <c r="H15" s="2158"/>
      <c r="I15" s="2162" t="s">
        <v>2401</v>
      </c>
      <c r="J15" s="2163"/>
      <c r="K15" s="2164"/>
      <c r="L15" s="1044" t="s">
        <v>2402</v>
      </c>
    </row>
    <row r="16" spans="1:12" ht="45.75" customHeight="1" thickBot="1" x14ac:dyDescent="0.3">
      <c r="A16" s="2155"/>
      <c r="B16" s="2159"/>
      <c r="C16" s="2160"/>
      <c r="D16" s="2160"/>
      <c r="E16" s="2160"/>
      <c r="F16" s="2160"/>
      <c r="G16" s="2160"/>
      <c r="H16" s="2161"/>
      <c r="I16" s="2165" t="s">
        <v>2403</v>
      </c>
      <c r="J16" s="2166"/>
      <c r="K16" s="2167"/>
      <c r="L16" s="1045" t="s">
        <v>2404</v>
      </c>
    </row>
    <row r="17" spans="1:12" ht="45.75" customHeight="1" x14ac:dyDescent="0.25">
      <c r="A17" s="2168" t="s">
        <v>2405</v>
      </c>
      <c r="B17" s="2156" t="s">
        <v>2400</v>
      </c>
      <c r="C17" s="2157"/>
      <c r="D17" s="2157"/>
      <c r="E17" s="2157"/>
      <c r="F17" s="2157"/>
      <c r="G17" s="2157"/>
      <c r="H17" s="2158"/>
      <c r="I17" s="2162" t="s">
        <v>2406</v>
      </c>
      <c r="J17" s="2163"/>
      <c r="K17" s="2164"/>
      <c r="L17" s="1044" t="s">
        <v>2402</v>
      </c>
    </row>
    <row r="18" spans="1:12" ht="45.75" customHeight="1" x14ac:dyDescent="0.25">
      <c r="A18" s="2169"/>
      <c r="B18" s="2171"/>
      <c r="C18" s="2172"/>
      <c r="D18" s="2172"/>
      <c r="E18" s="2172"/>
      <c r="F18" s="2172"/>
      <c r="G18" s="2172"/>
      <c r="H18" s="2173"/>
      <c r="I18" s="2174" t="s">
        <v>2403</v>
      </c>
      <c r="J18" s="2175"/>
      <c r="K18" s="2176"/>
      <c r="L18" s="1046" t="s">
        <v>2404</v>
      </c>
    </row>
    <row r="19" spans="1:12" ht="45.75" customHeight="1" thickBot="1" x14ac:dyDescent="0.3">
      <c r="A19" s="2170"/>
      <c r="B19" s="2159"/>
      <c r="C19" s="2160"/>
      <c r="D19" s="2160"/>
      <c r="E19" s="2160"/>
      <c r="F19" s="2160"/>
      <c r="G19" s="2160"/>
      <c r="H19" s="2161"/>
      <c r="I19" s="2150" t="s">
        <v>2412</v>
      </c>
      <c r="J19" s="2151"/>
      <c r="K19" s="2151"/>
      <c r="L19" s="2152"/>
    </row>
    <row r="20" spans="1:12" ht="45.75" customHeight="1" x14ac:dyDescent="0.25">
      <c r="A20" s="2139" t="s">
        <v>2407</v>
      </c>
      <c r="B20" s="2141" t="s">
        <v>2408</v>
      </c>
      <c r="C20" s="2142"/>
      <c r="D20" s="2142"/>
      <c r="E20" s="2142"/>
      <c r="F20" s="2142"/>
      <c r="G20" s="2142"/>
      <c r="H20" s="2143"/>
      <c r="I20" s="2147" t="s">
        <v>2409</v>
      </c>
      <c r="J20" s="2148"/>
      <c r="K20" s="2149"/>
      <c r="L20" s="1047" t="s">
        <v>2410</v>
      </c>
    </row>
    <row r="21" spans="1:12" ht="45.75" customHeight="1" thickBot="1" x14ac:dyDescent="0.3">
      <c r="A21" s="2140"/>
      <c r="B21" s="2144"/>
      <c r="C21" s="2145"/>
      <c r="D21" s="2145"/>
      <c r="E21" s="2145"/>
      <c r="F21" s="2145"/>
      <c r="G21" s="2145"/>
      <c r="H21" s="2146"/>
      <c r="I21" s="2150" t="s">
        <v>2413</v>
      </c>
      <c r="J21" s="2151"/>
      <c r="K21" s="2151"/>
      <c r="L21" s="2152"/>
    </row>
  </sheetData>
  <mergeCells count="42">
    <mergeCell ref="F12:H12"/>
    <mergeCell ref="J12:L12"/>
    <mergeCell ref="F13:H13"/>
    <mergeCell ref="J13:L13"/>
    <mergeCell ref="F10:H10"/>
    <mergeCell ref="J10:L10"/>
    <mergeCell ref="F11:H11"/>
    <mergeCell ref="J11:L11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8:H8"/>
    <mergeCell ref="J8:L8"/>
    <mergeCell ref="F9:H9"/>
    <mergeCell ref="J9:L9"/>
    <mergeCell ref="E7:H7"/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</mergeCells>
  <pageMargins left="0.7" right="0.7" top="0.75" bottom="0.75" header="0.3" footer="0.3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40625" defaultRowHeight="15" x14ac:dyDescent="0.25"/>
  <cols>
    <col min="1" max="1" width="3.7109375" customWidth="1"/>
    <col min="2" max="2" width="4.7109375" customWidth="1"/>
    <col min="3" max="36" width="3.85546875" customWidth="1"/>
    <col min="37" max="37" width="38.140625" bestFit="1" customWidth="1"/>
    <col min="38" max="38" width="4.140625" bestFit="1" customWidth="1"/>
    <col min="39" max="39" width="8.7109375" bestFit="1" customWidth="1"/>
    <col min="40" max="40" width="53.42578125" style="13" customWidth="1"/>
    <col min="41" max="42" width="6.28515625" style="13" bestFit="1" customWidth="1"/>
    <col min="43" max="43" width="12.28515625" style="13" bestFit="1" customWidth="1"/>
    <col min="44" max="44" width="21.5703125" style="13" bestFit="1" customWidth="1"/>
    <col min="45" max="45" width="22" style="13" bestFit="1" customWidth="1"/>
    <col min="46" max="47" width="15.5703125" style="13" bestFit="1" customWidth="1"/>
    <col min="48" max="51" width="6.28515625" style="13" bestFit="1" customWidth="1"/>
    <col min="52" max="52" width="7" style="13" bestFit="1" customWidth="1"/>
    <col min="53" max="54" width="8.42578125" style="13" bestFit="1" customWidth="1"/>
    <col min="55" max="63" width="0" hidden="1" customWidth="1"/>
  </cols>
  <sheetData>
    <row r="1" spans="1:54" ht="21" customHeight="1" thickBot="1" x14ac:dyDescent="0.45">
      <c r="A1" s="2180" t="s">
        <v>843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2181"/>
    </row>
    <row r="2" spans="1:54" ht="21" customHeight="1" thickBot="1" x14ac:dyDescent="0.3">
      <c r="A2" s="2209" t="s">
        <v>17</v>
      </c>
      <c r="B2" s="2207"/>
      <c r="C2" s="2207"/>
      <c r="D2" s="2207"/>
      <c r="E2" s="2207"/>
      <c r="F2" s="2207"/>
      <c r="G2" s="2207"/>
      <c r="H2" s="2207"/>
      <c r="I2" s="2207"/>
      <c r="J2" s="2207"/>
      <c r="K2" s="2208"/>
      <c r="L2" s="2206" t="s">
        <v>788</v>
      </c>
      <c r="M2" s="2207"/>
      <c r="N2" s="2208"/>
      <c r="O2" s="2206"/>
      <c r="P2" s="2207"/>
      <c r="Q2" s="2208"/>
      <c r="R2" s="2201" t="s">
        <v>785</v>
      </c>
      <c r="S2" s="2202"/>
      <c r="T2" s="2202"/>
      <c r="U2" s="2202"/>
      <c r="V2" s="2202"/>
      <c r="W2" s="2202"/>
      <c r="X2" s="2203"/>
      <c r="Y2" s="11"/>
      <c r="Z2" s="11"/>
      <c r="AA2" s="2182" t="s">
        <v>785</v>
      </c>
      <c r="AB2" s="2182"/>
      <c r="AC2" s="2182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3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3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25">
      <c r="A5" s="2186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25">
      <c r="A6" s="2186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25">
      <c r="A7" s="2186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25">
      <c r="A8" s="2186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25">
      <c r="A9" s="2186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25">
      <c r="A10" s="2186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25">
      <c r="A11" s="2186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25">
      <c r="A12" s="2186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25">
      <c r="A13" s="2186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25">
      <c r="A14" s="2186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25">
      <c r="A15" s="2186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3">
      <c r="A16" s="2186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2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3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5.95" customHeight="1" x14ac:dyDescent="0.25">
      <c r="A19" s="2225" t="s">
        <v>19</v>
      </c>
      <c r="B19" s="2226"/>
      <c r="C19" s="2227"/>
      <c r="D19" s="2210"/>
      <c r="E19" s="2211"/>
      <c r="F19" s="2211"/>
      <c r="G19" s="2211"/>
      <c r="H19" s="2211"/>
      <c r="I19" s="2211"/>
      <c r="J19" s="2211"/>
      <c r="K19" s="2211"/>
      <c r="L19" s="2211"/>
      <c r="M19" s="2211"/>
      <c r="N19" s="2211"/>
      <c r="O19" s="2211"/>
      <c r="P19" s="2211"/>
      <c r="Q19" s="2211"/>
      <c r="R19" s="2211"/>
      <c r="S19" s="2211"/>
      <c r="T19" s="2211"/>
      <c r="U19" s="2211"/>
      <c r="V19" s="2211"/>
      <c r="W19" s="2211"/>
      <c r="X19" s="2211"/>
      <c r="Y19" s="2211"/>
      <c r="Z19" s="2212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5.95" customHeight="1" x14ac:dyDescent="0.25">
      <c r="A20" s="2228"/>
      <c r="B20" s="2229"/>
      <c r="C20" s="2230"/>
      <c r="D20" s="2213"/>
      <c r="E20" s="2214"/>
      <c r="F20" s="2214"/>
      <c r="G20" s="2214"/>
      <c r="H20" s="2214"/>
      <c r="I20" s="2214"/>
      <c r="J20" s="2214"/>
      <c r="K20" s="2214"/>
      <c r="L20" s="2214"/>
      <c r="M20" s="2214"/>
      <c r="N20" s="2214"/>
      <c r="O20" s="2214"/>
      <c r="P20" s="2214"/>
      <c r="Q20" s="2214"/>
      <c r="R20" s="2214"/>
      <c r="S20" s="2214"/>
      <c r="T20" s="2214"/>
      <c r="U20" s="2214"/>
      <c r="V20" s="2214"/>
      <c r="W20" s="2214"/>
      <c r="X20" s="2214"/>
      <c r="Y20" s="2214"/>
      <c r="Z20" s="2215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3">
      <c r="A21" s="2231"/>
      <c r="B21" s="2232"/>
      <c r="C21" s="2233"/>
      <c r="D21" s="2216"/>
      <c r="E21" s="2217"/>
      <c r="F21" s="2217"/>
      <c r="G21" s="2217"/>
      <c r="H21" s="2217"/>
      <c r="I21" s="2217"/>
      <c r="J21" s="2217"/>
      <c r="K21" s="2217"/>
      <c r="L21" s="2217"/>
      <c r="M21" s="2217"/>
      <c r="N21" s="2217"/>
      <c r="O21" s="2217"/>
      <c r="P21" s="2217"/>
      <c r="Q21" s="2217"/>
      <c r="R21" s="2217"/>
      <c r="S21" s="2217"/>
      <c r="T21" s="2217"/>
      <c r="U21" s="2217"/>
      <c r="V21" s="2217"/>
      <c r="W21" s="2217"/>
      <c r="X21" s="2217"/>
      <c r="Y21" s="2217"/>
      <c r="Z21" s="2218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3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3">
      <c r="A23" s="2209" t="s">
        <v>17</v>
      </c>
      <c r="B23" s="2207"/>
      <c r="C23" s="2207"/>
      <c r="D23" s="2207"/>
      <c r="E23" s="2207"/>
      <c r="F23" s="2207"/>
      <c r="G23" s="2207"/>
      <c r="H23" s="2207"/>
      <c r="I23" s="2207"/>
      <c r="J23" s="2207"/>
      <c r="K23" s="2208"/>
      <c r="L23" s="2206" t="s">
        <v>788</v>
      </c>
      <c r="M23" s="2207"/>
      <c r="N23" s="2208"/>
      <c r="O23" s="2206"/>
      <c r="P23" s="2207"/>
      <c r="Q23" s="2208"/>
      <c r="R23" s="2201" t="s">
        <v>786</v>
      </c>
      <c r="S23" s="2202"/>
      <c r="T23" s="2202"/>
      <c r="U23" s="2202"/>
      <c r="V23" s="2202"/>
      <c r="W23" s="2202"/>
      <c r="X23" s="2203"/>
      <c r="Y23" s="10"/>
      <c r="Z23" s="10"/>
      <c r="AA23" s="2183" t="s">
        <v>786</v>
      </c>
      <c r="AB23" s="2183"/>
      <c r="AC23" s="2183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3">
      <c r="A24" s="2204"/>
      <c r="B24" s="2205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3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25">
      <c r="A26" s="2187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25">
      <c r="A27" s="2186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25">
      <c r="A28" s="2186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25">
      <c r="A29" s="2186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25">
      <c r="A30" s="2186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25">
      <c r="A31" s="2186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25">
      <c r="A32" s="2186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25">
      <c r="A33" s="2186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25">
      <c r="A34" s="2186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25">
      <c r="A35" s="2186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25">
      <c r="A36" s="2186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3">
      <c r="A37" s="2188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2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3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5.95" customHeight="1" x14ac:dyDescent="0.25">
      <c r="A40" s="2189" t="s">
        <v>19</v>
      </c>
      <c r="B40" s="2190"/>
      <c r="C40" s="2191"/>
      <c r="D40" s="2210"/>
      <c r="E40" s="2211"/>
      <c r="F40" s="2211"/>
      <c r="G40" s="2211"/>
      <c r="H40" s="2211"/>
      <c r="I40" s="2211"/>
      <c r="J40" s="2211"/>
      <c r="K40" s="2211"/>
      <c r="L40" s="2211"/>
      <c r="M40" s="2211"/>
      <c r="N40" s="2211"/>
      <c r="O40" s="2211"/>
      <c r="P40" s="2211"/>
      <c r="Q40" s="2211"/>
      <c r="R40" s="2211"/>
      <c r="S40" s="2211"/>
      <c r="T40" s="2211"/>
      <c r="U40" s="2211"/>
      <c r="V40" s="2211"/>
      <c r="W40" s="2211"/>
      <c r="X40" s="2211"/>
      <c r="Y40" s="2211"/>
      <c r="Z40" s="2212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5.95" customHeight="1" x14ac:dyDescent="0.25">
      <c r="A41" s="2192"/>
      <c r="B41" s="2193"/>
      <c r="C41" s="2194"/>
      <c r="D41" s="2213"/>
      <c r="E41" s="2214"/>
      <c r="F41" s="2214"/>
      <c r="G41" s="2214"/>
      <c r="H41" s="2214"/>
      <c r="I41" s="2214"/>
      <c r="J41" s="2214"/>
      <c r="K41" s="2214"/>
      <c r="L41" s="2214"/>
      <c r="M41" s="2214"/>
      <c r="N41" s="2214"/>
      <c r="O41" s="2214"/>
      <c r="P41" s="2214"/>
      <c r="Q41" s="2214"/>
      <c r="R41" s="2214"/>
      <c r="S41" s="2214"/>
      <c r="T41" s="2214"/>
      <c r="U41" s="2214"/>
      <c r="V41" s="2214"/>
      <c r="W41" s="2214"/>
      <c r="X41" s="2214"/>
      <c r="Y41" s="2214"/>
      <c r="Z41" s="2215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3">
      <c r="A42" s="2195"/>
      <c r="B42" s="2196"/>
      <c r="C42" s="2197"/>
      <c r="D42" s="2216"/>
      <c r="E42" s="2217"/>
      <c r="F42" s="2217"/>
      <c r="G42" s="2217"/>
      <c r="H42" s="2217"/>
      <c r="I42" s="2217"/>
      <c r="J42" s="2217"/>
      <c r="K42" s="2217"/>
      <c r="L42" s="2217"/>
      <c r="M42" s="2217"/>
      <c r="N42" s="2217"/>
      <c r="O42" s="2217"/>
      <c r="P42" s="2217"/>
      <c r="Q42" s="2217"/>
      <c r="R42" s="2217"/>
      <c r="S42" s="2217"/>
      <c r="T42" s="2217"/>
      <c r="U42" s="2217"/>
      <c r="V42" s="2217"/>
      <c r="W42" s="2217"/>
      <c r="X42" s="2217"/>
      <c r="Y42" s="2217"/>
      <c r="Z42" s="2218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3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3">
      <c r="A44" s="2209" t="s">
        <v>17</v>
      </c>
      <c r="B44" s="2207"/>
      <c r="C44" s="2207"/>
      <c r="D44" s="2207"/>
      <c r="E44" s="2207"/>
      <c r="F44" s="2207"/>
      <c r="G44" s="2207"/>
      <c r="H44" s="2207"/>
      <c r="I44" s="2207"/>
      <c r="J44" s="2207"/>
      <c r="K44" s="2208"/>
      <c r="L44" s="2206" t="s">
        <v>788</v>
      </c>
      <c r="M44" s="2207"/>
      <c r="N44" s="2208"/>
      <c r="O44" s="2206"/>
      <c r="P44" s="2207"/>
      <c r="Q44" s="2208"/>
      <c r="R44" s="2201" t="s">
        <v>787</v>
      </c>
      <c r="S44" s="2202"/>
      <c r="T44" s="2202"/>
      <c r="U44" s="2202"/>
      <c r="V44" s="2202"/>
      <c r="W44" s="2202"/>
      <c r="X44" s="2203"/>
      <c r="Y44" s="10"/>
      <c r="Z44" s="10"/>
      <c r="AA44" s="2183" t="s">
        <v>787</v>
      </c>
      <c r="AB44" s="2183"/>
      <c r="AC44" s="2183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25">
      <c r="A45" s="2184"/>
      <c r="B45" s="2185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0a</v>
      </c>
      <c r="L45" s="35" t="str">
        <f>IF(Data!CA42&lt;&gt;"",Data!CA42,"")</f>
        <v>0a</v>
      </c>
      <c r="M45" s="35" t="str">
        <f>IF(Data!CB42&lt;&gt;"",Data!CB42,"")</f>
        <v>0a</v>
      </c>
      <c r="N45" s="35" t="str">
        <f>IF(Data!CC42&lt;&gt;"",Data!CC42,"")</f>
        <v>0a</v>
      </c>
      <c r="O45" s="35" t="str">
        <f>IF(Data!CD42&lt;&gt;"",Data!CD42,"")</f>
        <v>0a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3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25">
      <c r="A47" s="2198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25">
      <c r="A48" s="2199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25">
      <c r="A49" s="2199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25">
      <c r="A50" s="2199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25">
      <c r="A51" s="2199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25">
      <c r="A52" s="2199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25">
      <c r="A53" s="2199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25">
      <c r="A54" s="2199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25">
      <c r="A55" s="2199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25">
      <c r="A56" s="2199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25">
      <c r="A57" s="2199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3">
      <c r="A58" s="2200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2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3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5.95" customHeight="1" x14ac:dyDescent="0.25">
      <c r="A61" s="2189" t="s">
        <v>19</v>
      </c>
      <c r="B61" s="2190"/>
      <c r="C61" s="2191"/>
      <c r="D61" s="2210"/>
      <c r="E61" s="2211"/>
      <c r="F61" s="2211"/>
      <c r="G61" s="2211"/>
      <c r="H61" s="2211"/>
      <c r="I61" s="2211"/>
      <c r="J61" s="2211"/>
      <c r="K61" s="2211"/>
      <c r="L61" s="2211"/>
      <c r="M61" s="2211"/>
      <c r="N61" s="2211"/>
      <c r="O61" s="2211"/>
      <c r="P61" s="2211"/>
      <c r="Q61" s="2211"/>
      <c r="R61" s="2211"/>
      <c r="S61" s="2211"/>
      <c r="T61" s="2211"/>
      <c r="U61" s="2211"/>
      <c r="V61" s="2211"/>
      <c r="W61" s="2211"/>
      <c r="X61" s="2211"/>
      <c r="Y61" s="2211"/>
      <c r="Z61" s="2212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5.95" customHeight="1" x14ac:dyDescent="0.25">
      <c r="A62" s="2192"/>
      <c r="B62" s="2193"/>
      <c r="C62" s="2194"/>
      <c r="D62" s="2213"/>
      <c r="E62" s="2214"/>
      <c r="F62" s="2214"/>
      <c r="G62" s="2214"/>
      <c r="H62" s="2214"/>
      <c r="I62" s="2214"/>
      <c r="J62" s="2214"/>
      <c r="K62" s="2214"/>
      <c r="L62" s="2214"/>
      <c r="M62" s="2214"/>
      <c r="N62" s="2214"/>
      <c r="O62" s="2214"/>
      <c r="P62" s="2214"/>
      <c r="Q62" s="2214"/>
      <c r="R62" s="2214"/>
      <c r="S62" s="2214"/>
      <c r="T62" s="2214"/>
      <c r="U62" s="2214"/>
      <c r="V62" s="2214"/>
      <c r="W62" s="2214"/>
      <c r="X62" s="2214"/>
      <c r="Y62" s="2214"/>
      <c r="Z62" s="2215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3">
      <c r="A63" s="2219"/>
      <c r="B63" s="2220"/>
      <c r="C63" s="2221"/>
      <c r="D63" s="2222"/>
      <c r="E63" s="2223"/>
      <c r="F63" s="2223"/>
      <c r="G63" s="2223"/>
      <c r="H63" s="2223"/>
      <c r="I63" s="2223"/>
      <c r="J63" s="2223"/>
      <c r="K63" s="2223"/>
      <c r="L63" s="2223"/>
      <c r="M63" s="2223"/>
      <c r="N63" s="2223"/>
      <c r="O63" s="2223"/>
      <c r="P63" s="2223"/>
      <c r="Q63" s="2223"/>
      <c r="R63" s="2223"/>
      <c r="S63" s="2223"/>
      <c r="T63" s="2223"/>
      <c r="U63" s="2223"/>
      <c r="V63" s="2223"/>
      <c r="W63" s="2223"/>
      <c r="X63" s="2223"/>
      <c r="Y63" s="2223"/>
      <c r="Z63" s="2224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3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2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2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.75" thickBot="1" x14ac:dyDescent="0.3"/>
    <row r="68" spans="1:54" x14ac:dyDescent="0.25">
      <c r="A68" s="1197"/>
      <c r="B68" s="1198"/>
      <c r="C68" s="1201" t="s">
        <v>17</v>
      </c>
      <c r="D68" s="1201"/>
      <c r="E68" s="1201"/>
      <c r="F68" s="1201"/>
      <c r="G68" s="1201"/>
      <c r="H68" s="1201"/>
      <c r="I68" s="1201"/>
      <c r="J68" s="1201"/>
      <c r="K68" s="1201"/>
      <c r="L68" s="1201"/>
      <c r="M68" s="1201"/>
      <c r="N68" s="1201"/>
      <c r="O68" s="1201"/>
      <c r="P68" s="1201"/>
      <c r="Q68" s="1201"/>
      <c r="R68" s="1201"/>
      <c r="S68" s="1201"/>
      <c r="T68" s="1201"/>
      <c r="U68" s="1201"/>
      <c r="V68" s="1202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.75" thickBot="1" x14ac:dyDescent="0.3">
      <c r="A69" s="1199"/>
      <c r="B69" s="1200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25">
      <c r="A70" s="1195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25">
      <c r="A71" s="1195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25">
      <c r="A72" s="1195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25">
      <c r="A73" s="1195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25">
      <c r="A74" s="1195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25">
      <c r="A75" s="1195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25">
      <c r="A76" s="1195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25">
      <c r="A77" s="1195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25">
      <c r="A78" s="1195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25">
      <c r="A79" s="1195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25">
      <c r="A80" s="1195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.75" thickBot="1" x14ac:dyDescent="0.3">
      <c r="A81" s="1196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.75" thickBot="1" x14ac:dyDescent="0.3">
      <c r="C83" s="1245" t="s">
        <v>306</v>
      </c>
      <c r="D83" s="1245"/>
      <c r="E83" s="1245"/>
      <c r="F83" s="1245"/>
      <c r="G83" s="1245"/>
      <c r="H83" s="1245"/>
      <c r="I83" s="1245"/>
      <c r="J83" s="1245"/>
      <c r="K83" s="1245"/>
      <c r="L83" s="1245"/>
      <c r="M83" s="1245"/>
      <c r="N83" s="1245"/>
      <c r="O83" s="1245"/>
      <c r="P83" s="1245"/>
      <c r="Q83" s="1245"/>
      <c r="R83" s="1245"/>
      <c r="S83" s="1245"/>
      <c r="T83" s="1245"/>
      <c r="U83" s="1245"/>
      <c r="V83" s="1245"/>
      <c r="W83" s="1245"/>
      <c r="X83" s="1245"/>
      <c r="Y83" s="1245"/>
      <c r="Z83" s="1245"/>
      <c r="AA83" s="1245"/>
      <c r="AB83" s="1245"/>
      <c r="AC83" s="1245"/>
      <c r="AD83" s="1245"/>
      <c r="AE83" s="1245"/>
      <c r="AF83" s="1245"/>
      <c r="AG83" s="1245"/>
      <c r="AH83" s="1245"/>
      <c r="AI83" s="1245"/>
    </row>
    <row r="84" spans="1:37" x14ac:dyDescent="0.25">
      <c r="A84" s="1197"/>
      <c r="B84" s="1198"/>
      <c r="C84" s="1201" t="s">
        <v>17</v>
      </c>
      <c r="D84" s="1201"/>
      <c r="E84" s="1201"/>
      <c r="F84" s="1201"/>
      <c r="G84" s="1201"/>
      <c r="H84" s="1201"/>
      <c r="I84" s="1201"/>
      <c r="J84" s="1201"/>
      <c r="K84" s="1201"/>
      <c r="L84" s="1201"/>
      <c r="M84" s="1201"/>
      <c r="N84" s="1201"/>
      <c r="O84" s="1201"/>
      <c r="P84" s="1201"/>
      <c r="Q84" s="1201"/>
      <c r="R84" s="1201"/>
      <c r="S84" s="1201"/>
      <c r="T84" s="1201"/>
      <c r="U84" s="1201"/>
      <c r="V84" s="1202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.75" thickBot="1" x14ac:dyDescent="0.3">
      <c r="A85" s="1199"/>
      <c r="B85" s="1200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.75" thickBot="1" x14ac:dyDescent="0.3">
      <c r="A86" s="1195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.75" thickBot="1" x14ac:dyDescent="0.3">
      <c r="A87" s="1195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.75" thickBot="1" x14ac:dyDescent="0.3">
      <c r="A88" s="1195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.75" thickBot="1" x14ac:dyDescent="0.3">
      <c r="A89" s="1195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.75" thickBot="1" x14ac:dyDescent="0.3">
      <c r="A90" s="1195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.75" thickBot="1" x14ac:dyDescent="0.3">
      <c r="A91" s="1195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.75" thickBot="1" x14ac:dyDescent="0.3">
      <c r="A92" s="1195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.75" thickBot="1" x14ac:dyDescent="0.3">
      <c r="A93" s="1195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.75" thickBot="1" x14ac:dyDescent="0.3">
      <c r="A94" s="1195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.75" thickBot="1" x14ac:dyDescent="0.3">
      <c r="A95" s="1195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.75" thickBot="1" x14ac:dyDescent="0.3">
      <c r="A96" s="1195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.75" thickBot="1" x14ac:dyDescent="0.3">
      <c r="A97" s="1196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25">
      <c r="AK98" s="63" t="str">
        <f>CONCATENATE(AK86,AK87,AK88,AK89,AK90,AK91,AK92,AK93,AK94,AK95,AK96,AK97)</f>
        <v/>
      </c>
    </row>
    <row r="99" spans="1:37" x14ac:dyDescent="0.25">
      <c r="AK99" s="63" t="s">
        <v>712</v>
      </c>
    </row>
    <row r="100" spans="1:37" x14ac:dyDescent="0.25">
      <c r="AK100" s="63" t="s">
        <v>713</v>
      </c>
    </row>
    <row r="101" spans="1:37" ht="15.75" thickBot="1" x14ac:dyDescent="0.3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25"/>
    <row r="104" spans="1:37" ht="15.75" thickBot="1" x14ac:dyDescent="0.3">
      <c r="C104" s="1245" t="s">
        <v>709</v>
      </c>
      <c r="D104" s="1245"/>
      <c r="E104" s="1245"/>
      <c r="F104" s="1245"/>
      <c r="G104" s="1245"/>
      <c r="H104" s="1245"/>
      <c r="I104" s="1245"/>
      <c r="J104" s="1245"/>
      <c r="K104" s="1245"/>
      <c r="L104" s="1245"/>
      <c r="M104" s="1245"/>
      <c r="N104" s="1245"/>
      <c r="O104" s="1245"/>
      <c r="P104" s="1245"/>
      <c r="Q104" s="1245"/>
      <c r="R104" s="1245"/>
      <c r="S104" s="1245"/>
      <c r="T104" s="1245"/>
      <c r="U104" s="1245"/>
      <c r="V104" s="1245"/>
      <c r="W104" s="1245"/>
      <c r="X104" s="1245"/>
      <c r="Y104" s="1245"/>
      <c r="Z104" s="1245"/>
      <c r="AA104" s="1245"/>
      <c r="AB104" s="1245"/>
      <c r="AC104" s="1245"/>
      <c r="AD104" s="1245"/>
      <c r="AE104" s="1245"/>
      <c r="AF104" s="1245"/>
      <c r="AG104" s="1245"/>
      <c r="AH104" s="1245"/>
      <c r="AI104" s="1245"/>
    </row>
    <row r="105" spans="1:37" x14ac:dyDescent="0.25">
      <c r="A105" s="1197"/>
      <c r="B105" s="1198"/>
      <c r="C105" s="1201" t="s">
        <v>17</v>
      </c>
      <c r="D105" s="1201"/>
      <c r="E105" s="1201"/>
      <c r="F105" s="1201"/>
      <c r="G105" s="1201"/>
      <c r="H105" s="1201"/>
      <c r="I105" s="1201"/>
      <c r="J105" s="1201"/>
      <c r="K105" s="1201"/>
      <c r="L105" s="1201"/>
      <c r="M105" s="1201"/>
      <c r="N105" s="1201"/>
      <c r="O105" s="1201"/>
      <c r="P105" s="1201"/>
      <c r="Q105" s="1201"/>
      <c r="R105" s="1201"/>
      <c r="S105" s="1201"/>
      <c r="T105" s="1201"/>
      <c r="U105" s="1201"/>
      <c r="V105" s="1202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.75" thickBot="1" x14ac:dyDescent="0.3">
      <c r="A106" s="1199"/>
      <c r="B106" s="1200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.75" thickBot="1" x14ac:dyDescent="0.3">
      <c r="A107" s="1195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.75" thickBot="1" x14ac:dyDescent="0.3">
      <c r="A108" s="1195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.75" thickBot="1" x14ac:dyDescent="0.3">
      <c r="A109" s="1195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.75" thickBot="1" x14ac:dyDescent="0.3">
      <c r="A110" s="1195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.75" thickBot="1" x14ac:dyDescent="0.3">
      <c r="A111" s="1195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.75" thickBot="1" x14ac:dyDescent="0.3">
      <c r="A112" s="1195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.75" thickBot="1" x14ac:dyDescent="0.3">
      <c r="A113" s="1195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.75" thickBot="1" x14ac:dyDescent="0.3">
      <c r="A114" s="1195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.75" thickBot="1" x14ac:dyDescent="0.3">
      <c r="A115" s="1195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.75" thickBot="1" x14ac:dyDescent="0.3">
      <c r="A116" s="1195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.75" thickBot="1" x14ac:dyDescent="0.3">
      <c r="A117" s="1195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.75" thickBot="1" x14ac:dyDescent="0.3">
      <c r="A118" s="1196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25">
      <c r="AK119" s="63" t="str">
        <f>SUBSTITUTE(CONCATENATE(AK107,AK108,AK109,AK110,AK111,AK112,AK113,AK114,AK115,AK116,AK117,AK118),"P","I")</f>
        <v/>
      </c>
    </row>
    <row r="120" spans="1:37" x14ac:dyDescent="0.25">
      <c r="AK120" s="63" t="s">
        <v>714</v>
      </c>
    </row>
    <row r="121" spans="1:37" x14ac:dyDescent="0.25">
      <c r="AK121" s="63" t="s">
        <v>714</v>
      </c>
    </row>
    <row r="122" spans="1:37" ht="15.75" thickBot="1" x14ac:dyDescent="0.3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.75" thickBot="1" x14ac:dyDescent="0.3">
      <c r="C125" s="1245" t="s">
        <v>710</v>
      </c>
      <c r="D125" s="1245"/>
      <c r="E125" s="1245"/>
      <c r="F125" s="1245"/>
      <c r="G125" s="1245"/>
      <c r="H125" s="1245"/>
      <c r="I125" s="1245"/>
      <c r="J125" s="1245"/>
      <c r="K125" s="1245"/>
      <c r="L125" s="1245"/>
      <c r="M125" s="1245"/>
      <c r="N125" s="1245"/>
      <c r="O125" s="1245"/>
      <c r="P125" s="1245"/>
      <c r="Q125" s="1245"/>
      <c r="R125" s="1245"/>
      <c r="S125" s="1245"/>
      <c r="T125" s="1245"/>
      <c r="U125" s="1245"/>
      <c r="V125" s="1245"/>
      <c r="W125" s="1245"/>
      <c r="X125" s="1245"/>
      <c r="Y125" s="1245"/>
      <c r="Z125" s="1245"/>
      <c r="AA125" s="1245"/>
      <c r="AB125" s="1245"/>
      <c r="AC125" s="1245"/>
      <c r="AD125" s="1245"/>
      <c r="AE125" s="1245"/>
      <c r="AF125" s="1245"/>
      <c r="AG125" s="1245"/>
      <c r="AH125" s="1245"/>
      <c r="AI125" s="1245"/>
    </row>
    <row r="126" spans="1:37" x14ac:dyDescent="0.25">
      <c r="A126" s="1197"/>
      <c r="B126" s="1198"/>
      <c r="C126" s="1201" t="s">
        <v>17</v>
      </c>
      <c r="D126" s="1201"/>
      <c r="E126" s="1201"/>
      <c r="F126" s="1201"/>
      <c r="G126" s="1201"/>
      <c r="H126" s="1201"/>
      <c r="I126" s="1201"/>
      <c r="J126" s="1201"/>
      <c r="K126" s="1201"/>
      <c r="L126" s="1201"/>
      <c r="M126" s="1201"/>
      <c r="N126" s="1201"/>
      <c r="O126" s="1201"/>
      <c r="P126" s="1201"/>
      <c r="Q126" s="1201"/>
      <c r="R126" s="1201"/>
      <c r="S126" s="1201"/>
      <c r="T126" s="1201"/>
      <c r="U126" s="1201"/>
      <c r="V126" s="1202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.75" thickBot="1" x14ac:dyDescent="0.3">
      <c r="A127" s="1199"/>
      <c r="B127" s="1200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.75" thickBot="1" x14ac:dyDescent="0.3">
      <c r="A128" s="1195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.75" thickBot="1" x14ac:dyDescent="0.3">
      <c r="A129" s="1195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.75" thickBot="1" x14ac:dyDescent="0.3">
      <c r="A130" s="1195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.75" thickBot="1" x14ac:dyDescent="0.3">
      <c r="A131" s="1195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.75" thickBot="1" x14ac:dyDescent="0.3">
      <c r="A132" s="1195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.75" thickBot="1" x14ac:dyDescent="0.3">
      <c r="A133" s="1195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.75" thickBot="1" x14ac:dyDescent="0.3">
      <c r="A134" s="1195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.75" thickBot="1" x14ac:dyDescent="0.3">
      <c r="A135" s="1195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.75" thickBot="1" x14ac:dyDescent="0.3">
      <c r="A136" s="1195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.75" thickBot="1" x14ac:dyDescent="0.3">
      <c r="A137" s="1195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.75" thickBot="1" x14ac:dyDescent="0.3">
      <c r="A138" s="1195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.75" thickBot="1" x14ac:dyDescent="0.3">
      <c r="A139" s="1196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25">
      <c r="AK140" s="63" t="str">
        <f>CONCATENATE(AK128,AK129,AK130,AK131,AK132,AK133,AK134,AK135,AK136,AK137,AK138,AK139)</f>
        <v/>
      </c>
    </row>
    <row r="141" spans="1:37" x14ac:dyDescent="0.25">
      <c r="AK141" s="63" t="s">
        <v>715</v>
      </c>
    </row>
    <row r="142" spans="1:37" x14ac:dyDescent="0.25">
      <c r="AK142" s="63" t="s">
        <v>715</v>
      </c>
    </row>
    <row r="143" spans="1:37" ht="15.75" thickBot="1" x14ac:dyDescent="0.3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.75" thickBot="1" x14ac:dyDescent="0.3">
      <c r="D146" s="1245" t="s">
        <v>711</v>
      </c>
      <c r="E146" s="1245"/>
      <c r="F146" s="1245"/>
      <c r="G146" s="1245"/>
      <c r="H146" s="1245"/>
      <c r="I146" s="1245"/>
      <c r="J146" s="1245"/>
      <c r="K146" s="1245"/>
      <c r="L146" s="1245"/>
      <c r="M146" s="1245"/>
      <c r="N146" s="1245"/>
      <c r="O146" s="1245"/>
      <c r="P146" s="1245"/>
      <c r="Q146" s="1245"/>
      <c r="R146" s="1245"/>
      <c r="S146" s="1245"/>
      <c r="T146" s="1245"/>
      <c r="U146" s="1245"/>
      <c r="V146" s="1245"/>
      <c r="W146" s="1245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.75" thickBot="1" x14ac:dyDescent="0.3">
      <c r="D147" s="1245" t="s">
        <v>711</v>
      </c>
      <c r="E147" s="1245"/>
      <c r="F147" s="1245"/>
      <c r="G147" s="1245"/>
      <c r="H147" s="1245"/>
      <c r="I147" s="1245"/>
      <c r="J147" s="1245"/>
      <c r="K147" s="1245"/>
      <c r="L147" s="1245"/>
      <c r="M147" s="1245"/>
      <c r="N147" s="1245"/>
      <c r="O147" s="1245"/>
      <c r="P147" s="1245"/>
      <c r="Q147" s="1245"/>
      <c r="R147" s="1245"/>
      <c r="S147" s="1245"/>
      <c r="T147" s="1245"/>
      <c r="U147" s="1245"/>
      <c r="V147" s="1245"/>
      <c r="W147" s="1245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25">
      <c r="A148" s="1197"/>
      <c r="B148" s="1198"/>
      <c r="D148" s="1239" t="s">
        <v>17</v>
      </c>
      <c r="E148" s="1201"/>
      <c r="F148" s="1201"/>
      <c r="G148" s="1201"/>
      <c r="H148" s="1201"/>
      <c r="I148" s="1201"/>
      <c r="J148" s="1201"/>
      <c r="K148" s="1201"/>
      <c r="L148" s="1201"/>
      <c r="M148" s="1201"/>
      <c r="N148" s="1201"/>
      <c r="O148" s="1201"/>
      <c r="P148" s="1201"/>
      <c r="Q148" s="1201"/>
      <c r="R148" s="1201"/>
      <c r="S148" s="1201"/>
      <c r="T148" s="1201"/>
      <c r="U148" s="1201"/>
      <c r="V148" s="1201"/>
      <c r="W148" s="1202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.75" thickBot="1" x14ac:dyDescent="0.3">
      <c r="A149" s="1199"/>
      <c r="B149" s="1200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25">
      <c r="A150" s="1195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25">
      <c r="A151" s="1195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25">
      <c r="A152" s="1195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25">
      <c r="A153" s="1195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25">
      <c r="A154" s="1195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25">
      <c r="A155" s="1195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25">
      <c r="A156" s="1195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25">
      <c r="A157" s="1195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25">
      <c r="A158" s="1195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25">
      <c r="A159" s="1195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25">
      <c r="A160" s="1195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.75" thickBot="1" x14ac:dyDescent="0.3">
      <c r="A161" s="1196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25"/>
    <row r="163" spans="1:40" ht="3.75" customHeight="1" x14ac:dyDescent="0.25">
      <c r="G163" s="65"/>
    </row>
    <row r="164" spans="1:40" ht="3.75" customHeight="1" x14ac:dyDescent="0.25"/>
    <row r="165" spans="1:40" ht="3.75" customHeight="1" x14ac:dyDescent="0.25"/>
    <row r="166" spans="1:40" ht="3.75" customHeight="1" x14ac:dyDescent="0.25"/>
    <row r="167" spans="1:40" ht="3.75" customHeight="1" x14ac:dyDescent="0.2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.75" thickBot="1" x14ac:dyDescent="0.3">
      <c r="D168" s="1245" t="s">
        <v>822</v>
      </c>
      <c r="E168" s="1245"/>
      <c r="F168" s="1245"/>
      <c r="G168" s="1245"/>
      <c r="H168" s="1245"/>
      <c r="I168" s="1245"/>
      <c r="J168" s="1245"/>
      <c r="K168" s="1245"/>
      <c r="L168" s="1245"/>
      <c r="M168" s="1245"/>
      <c r="N168" s="1245"/>
      <c r="O168" s="1245"/>
      <c r="P168" s="1245"/>
      <c r="Q168" s="1245"/>
      <c r="R168" s="1245"/>
      <c r="S168" s="1245"/>
      <c r="T168" s="1245"/>
      <c r="U168" s="1245"/>
      <c r="V168" s="1245"/>
      <c r="W168" s="1245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25">
      <c r="A169" s="1197"/>
      <c r="B169" s="1198"/>
      <c r="D169" s="1239" t="s">
        <v>17</v>
      </c>
      <c r="E169" s="1201"/>
      <c r="F169" s="1201"/>
      <c r="G169" s="1201"/>
      <c r="H169" s="1201"/>
      <c r="I169" s="1201"/>
      <c r="J169" s="1201"/>
      <c r="K169" s="1201"/>
      <c r="L169" s="1201"/>
      <c r="M169" s="1201"/>
      <c r="N169" s="1201"/>
      <c r="O169" s="1201"/>
      <c r="P169" s="1201"/>
      <c r="Q169" s="1201"/>
      <c r="R169" s="1201"/>
      <c r="S169" s="1201"/>
      <c r="T169" s="1201"/>
      <c r="U169" s="1201"/>
      <c r="V169" s="1201"/>
      <c r="W169" s="1202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.75" thickBot="1" x14ac:dyDescent="0.3">
      <c r="A170" s="1199"/>
      <c r="B170" s="1200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.75" thickBot="1" x14ac:dyDescent="0.3">
      <c r="A171" s="1195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.75" thickBot="1" x14ac:dyDescent="0.3">
      <c r="A172" s="1195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.75" thickBot="1" x14ac:dyDescent="0.3">
      <c r="A173" s="1195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.75" thickBot="1" x14ac:dyDescent="0.3">
      <c r="A174" s="1195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.75" thickBot="1" x14ac:dyDescent="0.3">
      <c r="A175" s="1195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.75" thickBot="1" x14ac:dyDescent="0.3">
      <c r="A176" s="1195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.75" thickBot="1" x14ac:dyDescent="0.3">
      <c r="A177" s="1195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3">
      <c r="A178" s="1195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.75" thickBot="1" x14ac:dyDescent="0.3">
      <c r="A179" s="1195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.75" thickBot="1" x14ac:dyDescent="0.3">
      <c r="A180" s="1195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.75" thickBot="1" x14ac:dyDescent="0.3">
      <c r="A181" s="1195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.75" thickBot="1" x14ac:dyDescent="0.3">
      <c r="A182" s="1196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25">
      <c r="AN183" s="113" t="str">
        <f>CONCATENATE(AN171,AN172,AN173,AN174,AN175,AN176,AN177,AN178,AN179,AN180,AN181,AN182)</f>
        <v/>
      </c>
    </row>
    <row r="184" spans="1:40" x14ac:dyDescent="0.2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25">
      <c r="AN185" s="113"/>
    </row>
    <row r="186" spans="1:40" x14ac:dyDescent="0.25">
      <c r="AN186" s="113" t="s">
        <v>820</v>
      </c>
    </row>
    <row r="187" spans="1:40" x14ac:dyDescent="0.25">
      <c r="AN187" s="113" t="s">
        <v>821</v>
      </c>
    </row>
    <row r="188" spans="1:40" ht="15.75" customHeight="1" thickBot="1" x14ac:dyDescent="0.3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25">
      <c r="C189" s="2234" t="str">
        <f>CONCATENATE("Build up the following: ",AK101,AK122,AK143,IF(COUNTIF(AN188,"fins inbetween . "),"",AN188))</f>
        <v xml:space="preserve">Build up the following: </v>
      </c>
      <c r="D189" s="2234"/>
      <c r="E189" s="2234"/>
      <c r="F189" s="2234"/>
      <c r="G189" s="2234"/>
      <c r="H189" s="2234"/>
      <c r="I189" s="2234"/>
      <c r="J189" s="2234"/>
      <c r="K189" s="2234"/>
      <c r="L189" s="2234"/>
      <c r="M189" s="2234"/>
      <c r="N189" s="2234"/>
      <c r="O189" s="2234"/>
      <c r="P189" s="2234"/>
      <c r="Q189" s="2234"/>
      <c r="R189" s="2234"/>
      <c r="S189" s="2234"/>
      <c r="T189" s="2234"/>
      <c r="U189" s="2234"/>
      <c r="V189" s="2234"/>
      <c r="W189" s="2234"/>
      <c r="X189" s="2234"/>
      <c r="Y189" s="2234"/>
      <c r="Z189" s="2234"/>
      <c r="AA189" s="2234"/>
      <c r="AB189" s="2234"/>
      <c r="AC189" s="2234"/>
      <c r="AD189" s="66"/>
      <c r="AE189" s="66"/>
      <c r="AF189" s="66"/>
    </row>
    <row r="190" spans="1:40" x14ac:dyDescent="0.2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2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25">
      <c r="C192" s="2234" t="str">
        <f>CONCATENATE(D19,IF(COUNTIF(C189,"Build up the following: "),"",C189))</f>
        <v/>
      </c>
      <c r="D192" s="2234"/>
      <c r="E192" s="2234"/>
      <c r="F192" s="2234"/>
      <c r="G192" s="2234"/>
      <c r="H192" s="2234"/>
      <c r="I192" s="2234"/>
      <c r="J192" s="2234"/>
      <c r="K192" s="2234"/>
      <c r="L192" s="2234"/>
      <c r="M192" s="2234"/>
      <c r="N192" s="2234"/>
      <c r="O192" s="2234"/>
      <c r="P192" s="2234"/>
      <c r="Q192" s="2234"/>
      <c r="R192" s="2234"/>
      <c r="S192" s="2234"/>
      <c r="T192" s="2234"/>
      <c r="U192" s="2234"/>
      <c r="V192" s="2234"/>
      <c r="W192" s="2234"/>
      <c r="X192" s="2234"/>
      <c r="Y192" s="2234"/>
      <c r="Z192" s="2234"/>
      <c r="AA192" s="2234"/>
      <c r="AB192" s="2234"/>
      <c r="AC192" s="2234"/>
      <c r="AD192" s="66"/>
      <c r="AE192" s="66"/>
      <c r="AF192" s="66"/>
    </row>
    <row r="194" spans="1:37" ht="39.75" customHeight="1" x14ac:dyDescent="0.25">
      <c r="C194" s="2234" t="str">
        <f>CONCATENATE(D40,IF(COUNTIF(C189,"Build up the following: "),"",C189))</f>
        <v/>
      </c>
      <c r="D194" s="2234"/>
      <c r="E194" s="2234"/>
      <c r="F194" s="2234"/>
      <c r="G194" s="2234"/>
      <c r="H194" s="2234"/>
      <c r="I194" s="2234"/>
      <c r="J194" s="2234"/>
      <c r="K194" s="2234"/>
      <c r="L194" s="2234"/>
      <c r="M194" s="2234"/>
      <c r="N194" s="2234"/>
      <c r="O194" s="2234"/>
      <c r="P194" s="2234"/>
      <c r="Q194" s="2234"/>
      <c r="R194" s="2234"/>
      <c r="S194" s="2234"/>
      <c r="T194" s="2234"/>
      <c r="U194" s="2234"/>
      <c r="V194" s="2234"/>
      <c r="W194" s="2234"/>
      <c r="X194" s="2234"/>
      <c r="Y194" s="2234"/>
      <c r="Z194" s="2234"/>
      <c r="AA194" s="2234"/>
      <c r="AB194" s="2234"/>
      <c r="AC194" s="2234"/>
      <c r="AD194" s="66"/>
      <c r="AE194" s="66"/>
      <c r="AF194" s="66"/>
    </row>
    <row r="196" spans="1:37" ht="39.75" customHeight="1" x14ac:dyDescent="0.25">
      <c r="C196" s="2234" t="str">
        <f>CONCATENATE(D61,IF(COUNTIF(C189,"Build up the following: "),"",C189))</f>
        <v/>
      </c>
      <c r="D196" s="2234"/>
      <c r="E196" s="2234"/>
      <c r="F196" s="2234"/>
      <c r="G196" s="2234"/>
      <c r="H196" s="2234"/>
      <c r="I196" s="2234"/>
      <c r="J196" s="2234"/>
      <c r="K196" s="2234"/>
      <c r="L196" s="2234"/>
      <c r="M196" s="2234"/>
      <c r="N196" s="2234"/>
      <c r="O196" s="2234"/>
      <c r="P196" s="2234"/>
      <c r="Q196" s="2234"/>
      <c r="R196" s="2234"/>
      <c r="S196" s="2234"/>
      <c r="T196" s="2234"/>
      <c r="U196" s="2234"/>
      <c r="V196" s="2234"/>
      <c r="W196" s="2234"/>
      <c r="X196" s="2234"/>
      <c r="Y196" s="2234"/>
      <c r="Z196" s="2234"/>
      <c r="AA196" s="2234"/>
      <c r="AB196" s="2234"/>
      <c r="AC196" s="2234"/>
      <c r="AD196" s="66"/>
      <c r="AE196" s="66"/>
      <c r="AF196" s="66"/>
    </row>
    <row r="198" spans="1:37" ht="9.9499999999999993" customHeight="1" thickBot="1" x14ac:dyDescent="0.3">
      <c r="A198" s="1234" t="s">
        <v>305</v>
      </c>
      <c r="B198" s="1234"/>
      <c r="C198" s="1234"/>
      <c r="D198" s="1234"/>
      <c r="E198" s="1234"/>
      <c r="F198" s="1234"/>
      <c r="G198" s="1234"/>
      <c r="H198" s="1234"/>
      <c r="I198" s="1234"/>
      <c r="J198" s="1234"/>
      <c r="K198" s="1234"/>
      <c r="L198" s="1234"/>
      <c r="M198" s="1234"/>
      <c r="N198" s="1234"/>
      <c r="O198" s="1234"/>
      <c r="P198" s="1234"/>
      <c r="Q198" s="1234"/>
      <c r="R198" s="1234"/>
      <c r="S198" s="1234"/>
      <c r="T198" s="1234"/>
      <c r="U198" s="1234"/>
      <c r="V198" s="1234"/>
      <c r="W198" s="1234"/>
      <c r="X198" s="1234"/>
      <c r="Y198" s="1234"/>
      <c r="Z198" s="1234"/>
      <c r="AA198" s="1234"/>
      <c r="AB198" s="1234"/>
      <c r="AC198" s="1234"/>
      <c r="AD198" s="1234"/>
      <c r="AE198" s="1234"/>
      <c r="AF198" s="1234"/>
      <c r="AG198" s="1234"/>
      <c r="AH198" s="1234"/>
      <c r="AI198" s="1234"/>
    </row>
    <row r="199" spans="1:37" ht="15" customHeight="1" x14ac:dyDescent="0.25">
      <c r="A199" s="1197"/>
      <c r="B199" s="1198"/>
      <c r="C199" s="1201" t="s">
        <v>17</v>
      </c>
      <c r="D199" s="1201"/>
      <c r="E199" s="1201"/>
      <c r="F199" s="1201"/>
      <c r="G199" s="1201"/>
      <c r="H199" s="1201"/>
      <c r="I199" s="1201"/>
      <c r="J199" s="1201"/>
      <c r="K199" s="1201"/>
      <c r="L199" s="1201"/>
      <c r="M199" s="1201"/>
      <c r="N199" s="1201"/>
      <c r="O199" s="1201"/>
      <c r="P199" s="1201"/>
      <c r="Q199" s="1201"/>
      <c r="R199" s="1201"/>
      <c r="S199" s="1201"/>
      <c r="T199" s="1201"/>
      <c r="U199" s="1201"/>
      <c r="V199" s="1202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3">
      <c r="A200" s="1199"/>
      <c r="B200" s="1200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25">
      <c r="A201" s="1195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25">
      <c r="A202" s="1195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25">
      <c r="A203" s="1195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25">
      <c r="A204" s="1195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25">
      <c r="A205" s="1195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25">
      <c r="A206" s="1195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25">
      <c r="A207" s="1195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25">
      <c r="A208" s="1195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25">
      <c r="A209" s="1195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25">
      <c r="A210" s="1195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25">
      <c r="A211" s="1195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3">
      <c r="A212" s="1196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2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9.9499999999999993" customHeight="1" thickBot="1" x14ac:dyDescent="0.3">
      <c r="A215" s="1234" t="s">
        <v>305</v>
      </c>
      <c r="B215" s="1234"/>
      <c r="C215" s="1234"/>
      <c r="D215" s="1234"/>
      <c r="E215" s="1234"/>
      <c r="F215" s="1234"/>
      <c r="G215" s="1234"/>
      <c r="H215" s="1234"/>
      <c r="I215" s="1234"/>
      <c r="J215" s="1234"/>
      <c r="K215" s="1234"/>
      <c r="L215" s="1234"/>
      <c r="M215" s="1234"/>
      <c r="N215" s="1234"/>
      <c r="O215" s="1234"/>
      <c r="P215" s="1234"/>
      <c r="Q215" s="1234"/>
      <c r="R215" s="1234"/>
      <c r="S215" s="1234"/>
      <c r="T215" s="1234"/>
      <c r="U215" s="1234"/>
      <c r="V215" s="1234"/>
      <c r="W215" s="1234"/>
      <c r="X215" s="1234"/>
      <c r="Y215" s="1234"/>
      <c r="Z215" s="1234"/>
      <c r="AA215" s="1234"/>
      <c r="AB215" s="1234"/>
      <c r="AC215" s="1234"/>
      <c r="AD215" s="1234"/>
      <c r="AE215" s="1234"/>
      <c r="AF215" s="1234"/>
      <c r="AG215" s="1234"/>
      <c r="AH215" s="1234"/>
      <c r="AI215" s="1234"/>
    </row>
    <row r="216" spans="1:37" ht="15" customHeight="1" x14ac:dyDescent="0.25">
      <c r="A216" s="1197"/>
      <c r="B216" s="1198"/>
      <c r="C216" s="1201" t="s">
        <v>17</v>
      </c>
      <c r="D216" s="1201"/>
      <c r="E216" s="1201"/>
      <c r="F216" s="1201"/>
      <c r="G216" s="1201"/>
      <c r="H216" s="1201"/>
      <c r="I216" s="1201"/>
      <c r="J216" s="1201"/>
      <c r="K216" s="1201"/>
      <c r="L216" s="1201"/>
      <c r="M216" s="1201"/>
      <c r="N216" s="1201"/>
      <c r="O216" s="1201"/>
      <c r="P216" s="1201"/>
      <c r="Q216" s="1201"/>
      <c r="R216" s="1201"/>
      <c r="S216" s="1201"/>
      <c r="T216" s="1201"/>
      <c r="U216" s="1201"/>
      <c r="V216" s="1202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3">
      <c r="A217" s="1199"/>
      <c r="B217" s="1200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25">
      <c r="A218" s="1195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25">
      <c r="A219" s="1195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25">
      <c r="A220" s="1195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25">
      <c r="A221" s="1195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25">
      <c r="A222" s="1195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25">
      <c r="A223" s="1195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25">
      <c r="A224" s="1195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25">
      <c r="A225" s="1195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25">
      <c r="A226" s="1195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25">
      <c r="A227" s="1195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25">
      <c r="A228" s="1195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3">
      <c r="A229" s="1196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2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9.9499999999999993" customHeight="1" thickBot="1" x14ac:dyDescent="0.3">
      <c r="A231" s="1234" t="s">
        <v>133</v>
      </c>
      <c r="B231" s="1234"/>
      <c r="C231" s="1234"/>
      <c r="D231" s="1234"/>
      <c r="E231" s="1234"/>
      <c r="F231" s="1234"/>
      <c r="G231" s="1234"/>
      <c r="H231" s="1234"/>
      <c r="I231" s="1234"/>
      <c r="J231" s="1234"/>
      <c r="K231" s="1234"/>
      <c r="L231" s="1234"/>
      <c r="M231" s="1234"/>
      <c r="N231" s="1234"/>
      <c r="O231" s="1234"/>
      <c r="P231" s="1234"/>
      <c r="Q231" s="1234"/>
      <c r="R231" s="1234"/>
      <c r="S231" s="1234"/>
      <c r="T231" s="1234"/>
      <c r="U231" s="1234"/>
      <c r="V231" s="1234"/>
      <c r="W231" s="1234"/>
      <c r="X231" s="1234"/>
      <c r="Y231" s="1234"/>
      <c r="Z231" s="1234"/>
      <c r="AA231" s="1234"/>
      <c r="AB231" s="1234"/>
      <c r="AC231" s="1234"/>
      <c r="AD231" s="1234"/>
      <c r="AE231" s="1234"/>
      <c r="AF231" s="1234"/>
      <c r="AG231" s="1234"/>
      <c r="AH231" s="1234"/>
      <c r="AI231" s="1234"/>
    </row>
    <row r="232" spans="1:54" ht="24" customHeight="1" thickBot="1" x14ac:dyDescent="0.3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25">
      <c r="A233" s="1197"/>
      <c r="B233" s="1198"/>
      <c r="C233" s="1201" t="s">
        <v>17</v>
      </c>
      <c r="D233" s="1201"/>
      <c r="E233" s="1201"/>
      <c r="F233" s="1201"/>
      <c r="G233" s="1201"/>
      <c r="H233" s="1201"/>
      <c r="I233" s="1201"/>
      <c r="J233" s="1201"/>
      <c r="K233" s="1201"/>
      <c r="L233" s="1201"/>
      <c r="M233" s="1201"/>
      <c r="N233" s="1201"/>
      <c r="O233" s="1201"/>
      <c r="P233" s="1201"/>
      <c r="Q233" s="1201"/>
      <c r="R233" s="1201"/>
      <c r="S233" s="1201"/>
      <c r="T233" s="1201"/>
      <c r="U233" s="1201"/>
      <c r="V233" s="1202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3">
      <c r="A234" s="1199"/>
      <c r="B234" s="1200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25">
      <c r="A235" s="1195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/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/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/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/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25">
      <c r="A236" s="1195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/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/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/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/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25">
      <c r="A237" s="1195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/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/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/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25">
      <c r="A238" s="1195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>O</v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>O</v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/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/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/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/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25">
      <c r="A239" s="1195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/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/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/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/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/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/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/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25">
      <c r="A240" s="1195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/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/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/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/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/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/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/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/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/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25">
      <c r="A241" s="1195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25">
      <c r="A242" s="1195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25">
      <c r="A243" s="1195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25">
      <c r="A244" s="1195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25">
      <c r="A245" s="1195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3">
      <c r="A246" s="1196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25"/>
    <row r="250" spans="1:63" x14ac:dyDescent="0.2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  <mergeCell ref="C192:AC192"/>
    <mergeCell ref="C194:AC194"/>
    <mergeCell ref="C196:AC196"/>
    <mergeCell ref="C83:AI83"/>
    <mergeCell ref="C125:AI125"/>
    <mergeCell ref="C189:AC189"/>
    <mergeCell ref="D147:W147"/>
    <mergeCell ref="R2:X2"/>
    <mergeCell ref="A19:C21"/>
    <mergeCell ref="D19:Z21"/>
    <mergeCell ref="O2:Q2"/>
    <mergeCell ref="L2:N2"/>
    <mergeCell ref="A2:K2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40625" defaultRowHeight="15" x14ac:dyDescent="0.25"/>
  <cols>
    <col min="1" max="2" width="2.42578125" customWidth="1"/>
    <col min="3" max="4" width="4.42578125" customWidth="1"/>
    <col min="5" max="10" width="4.5703125" customWidth="1"/>
    <col min="11" max="24" width="4.140625" customWidth="1"/>
    <col min="25" max="25" width="2.5703125" customWidth="1"/>
    <col min="26" max="26" width="3" customWidth="1"/>
    <col min="27" max="28" width="3.140625" customWidth="1"/>
    <col min="128" max="128" width="9.140625" customWidth="1"/>
  </cols>
  <sheetData>
    <row r="1" spans="1:24" ht="18.75" customHeight="1" x14ac:dyDescent="0.25">
      <c r="A1" s="1861"/>
      <c r="B1" s="1854"/>
      <c r="C1" s="2237" t="s">
        <v>977</v>
      </c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8"/>
      <c r="Q1" s="1789" t="s">
        <v>1058</v>
      </c>
      <c r="R1" s="1555"/>
      <c r="S1" s="1555"/>
      <c r="T1" s="1555"/>
      <c r="U1" s="1555"/>
      <c r="V1" s="1555"/>
      <c r="W1" s="1555"/>
      <c r="X1" s="1555"/>
    </row>
    <row r="2" spans="1:24" ht="18.75" customHeight="1" x14ac:dyDescent="0.25">
      <c r="A2" s="2235"/>
      <c r="B2" s="2236"/>
      <c r="C2" s="1542"/>
      <c r="D2" s="1542"/>
      <c r="E2" s="1542"/>
      <c r="F2" s="1542"/>
      <c r="G2" s="1542"/>
      <c r="H2" s="1542"/>
      <c r="I2" s="1542"/>
      <c r="J2" s="1542"/>
      <c r="K2" s="1542"/>
      <c r="L2" s="1542"/>
      <c r="M2" s="1542"/>
      <c r="N2" s="1542"/>
      <c r="O2" s="1542"/>
      <c r="P2" s="1543"/>
      <c r="Q2" s="1791" t="s">
        <v>1580</v>
      </c>
      <c r="R2" s="1559"/>
      <c r="S2" s="1559"/>
      <c r="T2" s="1559"/>
      <c r="U2" s="1559"/>
      <c r="V2" s="1559"/>
      <c r="W2" s="1559"/>
      <c r="X2" s="1559"/>
    </row>
    <row r="3" spans="1:24" ht="18.75" customHeight="1" x14ac:dyDescent="0.25">
      <c r="A3" s="2239" t="s">
        <v>1120</v>
      </c>
      <c r="B3" s="1855"/>
      <c r="C3" s="1855"/>
      <c r="D3" s="1855"/>
      <c r="E3" s="1855"/>
      <c r="F3" s="1855"/>
      <c r="G3" s="1855"/>
      <c r="H3" s="1855"/>
      <c r="I3" s="1855"/>
      <c r="J3" s="1855"/>
      <c r="K3" s="1855"/>
      <c r="L3" s="1855"/>
      <c r="M3" s="1855"/>
      <c r="N3" s="1855"/>
      <c r="O3" s="1855"/>
      <c r="P3" s="1855"/>
      <c r="Q3" s="1559" t="s">
        <v>1040</v>
      </c>
      <c r="R3" s="1559"/>
      <c r="S3" s="1559"/>
      <c r="T3" s="1559"/>
      <c r="U3" s="1559"/>
      <c r="V3" s="1559"/>
      <c r="W3" s="1559"/>
      <c r="X3" s="1559"/>
    </row>
    <row r="4" spans="1:24" ht="18.75" customHeight="1" thickBot="1" x14ac:dyDescent="0.3">
      <c r="A4" s="1826"/>
      <c r="B4" s="1823"/>
      <c r="C4" s="1823"/>
      <c r="D4" s="1823"/>
      <c r="E4" s="1823"/>
      <c r="F4" s="1823"/>
      <c r="G4" s="1823"/>
      <c r="H4" s="1823"/>
      <c r="I4" s="1823"/>
      <c r="J4" s="1823"/>
      <c r="K4" s="1823"/>
      <c r="L4" s="1823"/>
      <c r="M4" s="1823"/>
      <c r="N4" s="1823"/>
      <c r="O4" s="1823"/>
      <c r="P4" s="1823"/>
      <c r="Q4" s="1562" t="s">
        <v>1041</v>
      </c>
      <c r="R4" s="1562"/>
      <c r="S4" s="1562"/>
      <c r="T4" s="1562"/>
      <c r="U4" s="1562"/>
      <c r="V4" s="1562"/>
      <c r="W4" s="1562"/>
      <c r="X4" s="1562"/>
    </row>
    <row r="5" spans="1:24" ht="6" customHeight="1" thickBot="1" x14ac:dyDescent="0.3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3">
      <c r="A6" s="1523" t="s">
        <v>27</v>
      </c>
      <c r="B6" s="1523"/>
      <c r="C6" s="1523"/>
      <c r="D6" s="1523"/>
      <c r="E6" s="1524"/>
      <c r="F6" s="224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20261004 </v>
      </c>
      <c r="G6" s="2244"/>
      <c r="H6" s="2244"/>
      <c r="I6" s="2245"/>
      <c r="J6" s="2241" t="s">
        <v>28</v>
      </c>
      <c r="K6" s="2242"/>
      <c r="L6" s="2242"/>
      <c r="M6" s="1557" t="str">
        <f>IF(Data!B2&lt;&gt;"", Data!B2, " ")</f>
        <v>14304769R1</v>
      </c>
      <c r="N6" s="1627"/>
      <c r="O6" s="1627"/>
      <c r="P6" s="1558"/>
      <c r="Q6" s="1527" t="s">
        <v>1043</v>
      </c>
      <c r="R6" s="1523"/>
      <c r="S6" s="1523"/>
      <c r="T6" s="1523"/>
      <c r="U6" s="1557"/>
      <c r="V6" s="1627"/>
      <c r="W6" s="1627"/>
      <c r="X6" s="1558"/>
    </row>
    <row r="7" spans="1:24" ht="6" customHeight="1" thickBot="1" x14ac:dyDescent="0.3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240" t="s">
        <v>1044</v>
      </c>
      <c r="R7" s="2240"/>
      <c r="S7" s="2240"/>
      <c r="T7" s="2240"/>
      <c r="U7" s="449"/>
      <c r="V7" s="449"/>
      <c r="W7" s="449"/>
      <c r="X7" s="450"/>
    </row>
    <row r="8" spans="1:24" ht="18" customHeight="1" thickBot="1" x14ac:dyDescent="0.3">
      <c r="A8" s="1523" t="s">
        <v>29</v>
      </c>
      <c r="B8" s="1523"/>
      <c r="C8" s="1523"/>
      <c r="D8" s="1523"/>
      <c r="E8" s="1524"/>
      <c r="F8" s="1557" t="str">
        <f>IF(LEN(Data!B3)&gt;3,IF(AND(Data!B43&lt;&gt;"",Data!B43&lt;&gt;"0 0/1"""),Data!B43,""),IF(Data!B3&lt;&gt;"",Data!B3&amp;"""",""))</f>
        <v>6 1/8"</v>
      </c>
      <c r="G8" s="1627"/>
      <c r="H8" s="1627"/>
      <c r="I8" s="1558"/>
      <c r="J8" s="2241" t="s">
        <v>30</v>
      </c>
      <c r="K8" s="2242"/>
      <c r="L8" s="2242"/>
      <c r="M8" s="1557" t="str">
        <f>IF(Data!B5&lt;&gt;"",Data!B5," ")</f>
        <v>1251085M</v>
      </c>
      <c r="N8" s="1627"/>
      <c r="O8" s="1627"/>
      <c r="P8" s="1558"/>
      <c r="Q8" s="2240"/>
      <c r="R8" s="2240"/>
      <c r="S8" s="2240"/>
      <c r="T8" s="2240"/>
      <c r="U8" s="1654">
        <f>IF(Data!B6&lt;&gt;"",Data!B6," ")</f>
        <v>46035</v>
      </c>
      <c r="V8" s="1655"/>
      <c r="W8" s="1655"/>
      <c r="X8" s="1656"/>
    </row>
    <row r="9" spans="1:24" ht="6" customHeight="1" thickBot="1" x14ac:dyDescent="0.3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240"/>
      <c r="R9" s="2240"/>
      <c r="S9" s="2240"/>
      <c r="T9" s="2240"/>
      <c r="U9" s="449"/>
      <c r="V9" s="449"/>
      <c r="W9" s="449"/>
    </row>
    <row r="10" spans="1:24" ht="18" customHeight="1" thickBot="1" x14ac:dyDescent="0.3">
      <c r="A10" s="1523" t="s">
        <v>31</v>
      </c>
      <c r="B10" s="1523"/>
      <c r="C10" s="1523"/>
      <c r="D10" s="1523"/>
      <c r="E10" s="1524"/>
      <c r="F10" s="1557" t="str">
        <f>IF(Data!B4&lt;&gt;"",Data!B4," ")</f>
        <v>HD54</v>
      </c>
      <c r="G10" s="1627"/>
      <c r="H10" s="1627"/>
      <c r="I10" s="1558"/>
      <c r="J10" s="2241" t="s">
        <v>32</v>
      </c>
      <c r="K10" s="2242"/>
      <c r="L10" s="2242"/>
      <c r="M10" s="1557" t="str">
        <f>IF(Data!B7&lt;&gt;"",Data!B7, " ")</f>
        <v>LSTK</v>
      </c>
      <c r="N10" s="1627"/>
      <c r="O10" s="1627"/>
      <c r="P10" s="1558"/>
      <c r="Q10" s="1523" t="s">
        <v>33</v>
      </c>
      <c r="R10" s="1523"/>
      <c r="S10" s="1523"/>
      <c r="T10" s="1523"/>
      <c r="U10" s="1557">
        <f>IF(Data!B24&lt;&gt;"",Data!B24,IFERROR(VLOOKUP(Data!$B$7,Data!F63:G70,2,FALSE),""))</f>
        <v>960031408</v>
      </c>
      <c r="V10" s="1627"/>
      <c r="W10" s="1627"/>
      <c r="X10" s="1558"/>
    </row>
    <row r="11" spans="1:24" ht="6" customHeight="1" thickBot="1" x14ac:dyDescent="0.3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3">
      <c r="A12" s="1523" t="s">
        <v>1034</v>
      </c>
      <c r="B12" s="1523"/>
      <c r="C12" s="1523"/>
      <c r="D12" s="1523"/>
      <c r="E12" s="1524"/>
      <c r="F12" s="1557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27"/>
      <c r="H12" s="1627"/>
      <c r="I12" s="1558"/>
      <c r="J12" s="2241" t="s">
        <v>1042</v>
      </c>
      <c r="K12" s="2242"/>
      <c r="L12" s="2242"/>
      <c r="M12" s="1557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27"/>
      <c r="O12" s="1627"/>
      <c r="P12" s="1558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3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25">
      <c r="A14" s="1861" t="s">
        <v>17</v>
      </c>
      <c r="B14" s="1854"/>
      <c r="C14" s="1854"/>
      <c r="D14" s="1854"/>
      <c r="E14" s="1854"/>
      <c r="F14" s="1854"/>
      <c r="G14" s="1854"/>
      <c r="H14" s="1854"/>
      <c r="I14" s="1854"/>
      <c r="J14" s="1854"/>
      <c r="K14" s="1854"/>
      <c r="L14" s="1854"/>
      <c r="M14" s="1854"/>
      <c r="N14" s="1854"/>
      <c r="O14" s="1854"/>
      <c r="P14" s="1854"/>
      <c r="Q14" s="1854"/>
      <c r="R14" s="1854"/>
      <c r="S14" s="1854"/>
      <c r="T14" s="1854"/>
      <c r="U14" s="1854"/>
      <c r="V14" s="1854"/>
      <c r="W14" s="1854"/>
      <c r="X14" s="1862"/>
    </row>
    <row r="15" spans="1:24" ht="12.75" customHeight="1" thickBot="1" x14ac:dyDescent="0.3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0a</v>
      </c>
      <c r="L15" s="794" t="str">
        <f>IF(Data!CA42&lt;&gt;"",Data!CA42,"")</f>
        <v>0a</v>
      </c>
      <c r="M15" s="794" t="str">
        <f>IF(Data!CB42&lt;&gt;"",Data!CB42,"")</f>
        <v>0a</v>
      </c>
      <c r="N15" s="794" t="str">
        <f>IF(Data!CC42&lt;&gt;"",Data!CC42,"")</f>
        <v>0a</v>
      </c>
      <c r="O15" s="794" t="str">
        <f>IF(Data!CD42&lt;&gt;"",Data!CD42,"")</f>
        <v>0a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25">
      <c r="A16" s="2246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/>
      </c>
      <c r="M16" s="789" t="str">
        <f>IF('Rework Cutter Entry'!M235&lt;&gt;"",'Rework Cutter Entry'!M235,"")</f>
        <v/>
      </c>
      <c r="N16" s="789" t="str">
        <f>IF('Rework Cutter Entry'!N235&lt;&gt;"",'Rework Cutter Entry'!N235,"")</f>
        <v/>
      </c>
      <c r="O16" s="789" t="str">
        <f>IF('Rework Cutter Entry'!O235&lt;&gt;"",'Rework Cutter Entry'!O235,"")</f>
        <v/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25">
      <c r="A17" s="2247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/>
      </c>
      <c r="M17" s="776" t="str">
        <f>IF('Rework Cutter Entry'!M236&lt;&gt;"",'Rework Cutter Entry'!M236,"")</f>
        <v/>
      </c>
      <c r="N17" s="776" t="str">
        <f>IF('Rework Cutter Entry'!N236&lt;&gt;"",'Rework Cutter Entry'!N236,"")</f>
        <v/>
      </c>
      <c r="O17" s="776" t="str">
        <f>IF('Rework Cutter Entry'!O236&lt;&gt;"",'Rework Cutter Entry'!O236,"")</f>
        <v/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25">
      <c r="A18" s="2247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/>
      </c>
      <c r="M18" s="776" t="str">
        <f>IF('Rework Cutter Entry'!M237&lt;&gt;"",'Rework Cutter Entry'!M237,"")</f>
        <v/>
      </c>
      <c r="N18" s="776" t="str">
        <f>IF('Rework Cutter Entry'!N237&lt;&gt;"",'Rework Cutter Entry'!N237,"")</f>
        <v/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25">
      <c r="A19" s="2247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>O</v>
      </c>
      <c r="J19" s="776" t="str">
        <f>IF('Rework Cutter Entry'!J238&lt;&gt;"",'Rework Cutter Entry'!J238,"")</f>
        <v>O</v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/>
      </c>
      <c r="M19" s="776" t="str">
        <f>IF('Rework Cutter Entry'!M238&lt;&gt;"",'Rework Cutter Entry'!M238,"")</f>
        <v/>
      </c>
      <c r="N19" s="776" t="str">
        <f>IF('Rework Cutter Entry'!N238&lt;&gt;"",'Rework Cutter Entry'!N238,"")</f>
        <v/>
      </c>
      <c r="O19" s="776" t="str">
        <f>IF('Rework Cutter Entry'!O238&lt;&gt;"",'Rework Cutter Entry'!O238,"")</f>
        <v/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25">
      <c r="A20" s="2247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/>
      </c>
      <c r="I20" s="776" t="str">
        <f>IF('Rework Cutter Entry'!I239&lt;&gt;"",'Rework Cutter Entry'!I239,"")</f>
        <v/>
      </c>
      <c r="J20" s="776" t="str">
        <f>IF('Rework Cutter Entry'!J239&lt;&gt;"",'Rework Cutter Entry'!J239,"")</f>
        <v/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/>
      </c>
      <c r="M20" s="776" t="str">
        <f>IF('Rework Cutter Entry'!M239&lt;&gt;"",'Rework Cutter Entry'!M239,"")</f>
        <v/>
      </c>
      <c r="N20" s="776" t="str">
        <f>IF('Rework Cutter Entry'!N239&lt;&gt;"",'Rework Cutter Entry'!N239,"")</f>
        <v/>
      </c>
      <c r="O20" s="776" t="str">
        <f>IF('Rework Cutter Entry'!O239&lt;&gt;"",'Rework Cutter Entry'!O239,"")</f>
        <v/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25">
      <c r="A21" s="2247"/>
      <c r="B21" s="755">
        <v>6</v>
      </c>
      <c r="C21" s="775" t="str">
        <f>IF('Rework Cutter Entry'!C240&lt;&gt;"",'Rework Cutter Entry'!C240,"")</f>
        <v/>
      </c>
      <c r="D21" s="776" t="str">
        <f>IF('Rework Cutter Entry'!D240&lt;&gt;"",'Rework Cutter Entry'!D240,"")</f>
        <v/>
      </c>
      <c r="E21" s="776" t="str">
        <f>IF('Rework Cutter Entry'!E240&lt;&gt;"",'Rework Cutter Entry'!E240,"")</f>
        <v/>
      </c>
      <c r="F21" s="776" t="str">
        <f>IF('Rework Cutter Entry'!F240&lt;&gt;"",'Rework Cutter Entry'!F240,"")</f>
        <v/>
      </c>
      <c r="G21" s="776" t="str">
        <f>IF('Rework Cutter Entry'!G240&lt;&gt;"",'Rework Cutter Entry'!G240,"")</f>
        <v/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/>
      </c>
      <c r="M21" s="776" t="str">
        <f>IF('Rework Cutter Entry'!M240&lt;&gt;"",'Rework Cutter Entry'!M240,"")</f>
        <v/>
      </c>
      <c r="N21" s="776" t="str">
        <f>IF('Rework Cutter Entry'!N240&lt;&gt;"",'Rework Cutter Entry'!N240,"")</f>
        <v/>
      </c>
      <c r="O21" s="776" t="str">
        <f>IF('Rework Cutter Entry'!O240&lt;&gt;"",'Rework Cutter Entry'!O240,"")</f>
        <v/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25">
      <c r="A22" s="2247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25">
      <c r="A23" s="2247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3">
      <c r="A24" s="2248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0999999999999996" customHeight="1" thickBot="1" x14ac:dyDescent="0.3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25">
      <c r="A26" s="1808" t="s">
        <v>1046</v>
      </c>
      <c r="B26" s="1801"/>
      <c r="C26" s="1801"/>
      <c r="D26" s="1801" t="s">
        <v>968</v>
      </c>
      <c r="E26" s="1801"/>
      <c r="F26" s="1801"/>
      <c r="G26" s="1801" t="s">
        <v>969</v>
      </c>
      <c r="H26" s="1801"/>
      <c r="I26" s="1801"/>
      <c r="J26" s="1801" t="s">
        <v>970</v>
      </c>
      <c r="K26" s="1801"/>
      <c r="L26" s="1801"/>
      <c r="M26" s="1801" t="s">
        <v>971</v>
      </c>
      <c r="N26" s="1801"/>
      <c r="O26" s="1801"/>
      <c r="P26" s="1801" t="s">
        <v>21</v>
      </c>
      <c r="Q26" s="1801"/>
      <c r="R26" s="1802"/>
      <c r="S26" s="449"/>
      <c r="T26" s="449"/>
      <c r="U26" s="449"/>
      <c r="V26" s="455"/>
      <c r="W26" s="452"/>
    </row>
    <row r="27" spans="1:24" ht="14.25" customHeight="1" thickBot="1" x14ac:dyDescent="0.3">
      <c r="A27" s="1813">
        <f>IF(COUNTIF($C$16:$X$24,"*R*"),COUNTIF($C$16:$X$24,"*R*"),0)</f>
        <v>0</v>
      </c>
      <c r="B27" s="1803"/>
      <c r="C27" s="1803"/>
      <c r="D27" s="1803">
        <f>IF(COUNTIF($C$16:$X$24,"*S*"),COUNTIF($C$16:$X$24,"*S*"),0)</f>
        <v>0</v>
      </c>
      <c r="E27" s="1803"/>
      <c r="F27" s="1803"/>
      <c r="G27" s="1803">
        <f>IF(COUNTIF($C$16:$X$24,"*O*"),COUNTIF($C$16:$X$24,"*O*"),0)</f>
        <v>33</v>
      </c>
      <c r="H27" s="1803"/>
      <c r="I27" s="1803"/>
      <c r="J27" s="1803">
        <f>IF(COUNTIF($C$16:$X$24,"*F*"),COUNTIF($C$16:$X$24,"*F*"),0)</f>
        <v>0</v>
      </c>
      <c r="K27" s="1803"/>
      <c r="L27" s="1803"/>
      <c r="M27" s="1803">
        <f>SUM(C34+C35+C36+C37+C38+C39+C40)</f>
        <v>0</v>
      </c>
      <c r="N27" s="1803"/>
      <c r="O27" s="1803"/>
      <c r="P27" s="1803">
        <f>SUM(A27+D27+G27+J27+M27)</f>
        <v>33</v>
      </c>
      <c r="Q27" s="1803"/>
      <c r="R27" s="1804"/>
      <c r="S27" s="455"/>
      <c r="T27" s="455"/>
      <c r="U27" s="455"/>
      <c r="V27" s="455"/>
      <c r="W27" s="455"/>
    </row>
    <row r="28" spans="1:24" ht="2.25" customHeight="1" x14ac:dyDescent="0.2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25">
      <c r="A29" s="2262" t="s">
        <v>19</v>
      </c>
      <c r="B29" s="2263"/>
      <c r="C29" s="2264"/>
      <c r="D29" s="2249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50"/>
      <c r="F29" s="2250"/>
      <c r="G29" s="2250"/>
      <c r="H29" s="2250"/>
      <c r="I29" s="2250"/>
      <c r="J29" s="2250"/>
      <c r="K29" s="2250"/>
      <c r="L29" s="2250"/>
      <c r="M29" s="2250"/>
      <c r="N29" s="2250"/>
      <c r="O29" s="2250"/>
      <c r="P29" s="2250"/>
      <c r="Q29" s="2250"/>
      <c r="R29" s="2250"/>
      <c r="S29" s="2250"/>
      <c r="T29" s="2250"/>
      <c r="U29" s="2250"/>
      <c r="V29" s="2250"/>
      <c r="W29" s="2250"/>
      <c r="X29" s="2251"/>
    </row>
    <row r="30" spans="1:24" ht="16.5" customHeight="1" thickBot="1" x14ac:dyDescent="0.3">
      <c r="A30" s="2265" t="str">
        <f>IF(Instructions!$L$1&lt;&gt;"",Instructions!$L$1,"")</f>
        <v/>
      </c>
      <c r="B30" s="2266"/>
      <c r="C30" s="2267"/>
      <c r="D30" s="2252"/>
      <c r="E30" s="1852"/>
      <c r="F30" s="1852"/>
      <c r="G30" s="1852"/>
      <c r="H30" s="1852"/>
      <c r="I30" s="1852"/>
      <c r="J30" s="1852"/>
      <c r="K30" s="1852"/>
      <c r="L30" s="1852"/>
      <c r="M30" s="1852"/>
      <c r="N30" s="1852"/>
      <c r="O30" s="1852"/>
      <c r="P30" s="1852"/>
      <c r="Q30" s="1852"/>
      <c r="R30" s="1852"/>
      <c r="S30" s="1852"/>
      <c r="T30" s="1852"/>
      <c r="U30" s="1852"/>
      <c r="V30" s="1852"/>
      <c r="W30" s="1852"/>
      <c r="X30" s="2253"/>
    </row>
    <row r="31" spans="1:24" ht="12.75" customHeight="1" thickBot="1" x14ac:dyDescent="0.3">
      <c r="A31" s="1673" t="s">
        <v>39</v>
      </c>
      <c r="B31" s="1644"/>
      <c r="C31" s="1644"/>
      <c r="D31" s="1644"/>
      <c r="E31" s="1644"/>
      <c r="F31" s="1644"/>
      <c r="G31" s="1644"/>
      <c r="H31" s="1644"/>
      <c r="I31" s="1644"/>
      <c r="J31" s="1644"/>
      <c r="K31" s="1644"/>
      <c r="L31" s="1644"/>
      <c r="M31" s="1644"/>
      <c r="N31" s="1644"/>
      <c r="O31" s="1644"/>
      <c r="P31" s="1644"/>
      <c r="Q31" s="1644"/>
      <c r="R31" s="1644"/>
      <c r="S31" s="1644"/>
      <c r="T31" s="1644"/>
      <c r="U31" s="1644"/>
      <c r="V31" s="1644"/>
      <c r="W31" s="1644"/>
      <c r="X31" s="1644"/>
    </row>
    <row r="32" spans="1:24" ht="8.25" customHeight="1" x14ac:dyDescent="0.25">
      <c r="A32" s="1659" t="s">
        <v>108</v>
      </c>
      <c r="B32" s="1657"/>
      <c r="C32" s="1657" t="s">
        <v>40</v>
      </c>
      <c r="D32" s="1657"/>
      <c r="E32" s="1657" t="s">
        <v>41</v>
      </c>
      <c r="F32" s="1657"/>
      <c r="G32" s="1657"/>
      <c r="H32" s="1657" t="s">
        <v>730</v>
      </c>
      <c r="I32" s="1657"/>
      <c r="J32" s="1657"/>
      <c r="K32" s="1657" t="s">
        <v>43</v>
      </c>
      <c r="L32" s="1657"/>
      <c r="M32" s="1657"/>
      <c r="N32" s="2256"/>
      <c r="O32" s="2258" t="s">
        <v>44</v>
      </c>
      <c r="P32" s="1661"/>
      <c r="Q32" s="1661"/>
      <c r="R32" s="1661"/>
      <c r="S32" s="1661"/>
      <c r="T32" s="1661"/>
      <c r="U32" s="1661"/>
      <c r="V32" s="1661"/>
      <c r="W32" s="1661"/>
      <c r="X32" s="1662"/>
    </row>
    <row r="33" spans="1:24" ht="8.25" customHeight="1" thickBot="1" x14ac:dyDescent="0.3">
      <c r="A33" s="2254"/>
      <c r="B33" s="2255"/>
      <c r="C33" s="2255"/>
      <c r="D33" s="2255"/>
      <c r="E33" s="2255"/>
      <c r="F33" s="2255"/>
      <c r="G33" s="2255"/>
      <c r="H33" s="2255"/>
      <c r="I33" s="2255"/>
      <c r="J33" s="2255"/>
      <c r="K33" s="2255"/>
      <c r="L33" s="2255"/>
      <c r="M33" s="2255"/>
      <c r="N33" s="2257"/>
      <c r="O33" s="2259"/>
      <c r="P33" s="2260"/>
      <c r="Q33" s="2260"/>
      <c r="R33" s="2260"/>
      <c r="S33" s="2260"/>
      <c r="T33" s="2260"/>
      <c r="U33" s="2260"/>
      <c r="V33" s="2260"/>
      <c r="W33" s="2260"/>
      <c r="X33" s="2261"/>
    </row>
    <row r="34" spans="1:24" ht="14.25" customHeight="1" x14ac:dyDescent="0.25">
      <c r="A34" s="2269">
        <f>IF(TRIM(H34)="","",IF(Data!CX60&gt;0,IF(Data!CX60&lt;&gt;"", Data!CX60, " ")," "))</f>
        <v>1</v>
      </c>
      <c r="B34" s="2270"/>
      <c r="C34" s="2271">
        <f>IF(COUNTIF($C$16:$X$24,"*X*1*"),COUNTIF($C$16:$X$24,"*X*1*"),0)+IF(COUNTIF($C$16:$X$24,"*L*1*"),COUNTIF($C$16:$X$24,"*L*1*"),0)</f>
        <v>0</v>
      </c>
      <c r="D34" s="2271"/>
      <c r="E34" s="2271">
        <f>IF(Data!GK2&gt;0,IF(Data!GK2&lt;&gt;"",Data!GK2," ")," ")</f>
        <v>1313</v>
      </c>
      <c r="F34" s="2271"/>
      <c r="G34" s="2271"/>
      <c r="H34" s="2271">
        <f>IF(Data!GG2&gt;0,IF(Data!GG2&lt;&gt;"",IF(Data!GG2&lt;&gt;"Add the cutter in list",Data!GG2," ")," "),"")</f>
        <v>1145493</v>
      </c>
      <c r="I34" s="2271"/>
      <c r="J34" s="2271"/>
      <c r="K34" s="2271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L34" s="2271"/>
      <c r="M34" s="2271"/>
      <c r="N34" s="2271"/>
      <c r="O34" s="1855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55"/>
      <c r="Q34" s="1855"/>
      <c r="R34" s="1855"/>
      <c r="S34" s="1855"/>
      <c r="T34" s="1855"/>
      <c r="U34" s="1855"/>
      <c r="V34" s="1855"/>
      <c r="W34" s="1855"/>
      <c r="X34" s="2272"/>
    </row>
    <row r="35" spans="1:24" ht="15" customHeight="1" x14ac:dyDescent="0.25">
      <c r="A35" s="1427">
        <f>IF(TRIM(H35)="","",IF(Data!CX61&gt;0,IF(Data!CX61&lt;&gt;"", Data!CX61, " ")," "))</f>
        <v>2</v>
      </c>
      <c r="B35" s="1420"/>
      <c r="C35" s="1775">
        <f>IF(COUNTIF($C$16:$X$24,"*X*2*"),COUNTIF($C$16:$X$24,"*X*2*"),0)+IF(COUNTIF($C$16:$X$24,"*L*2*"),COUNTIF($C$16:$X$24,"*L*2*"),0)</f>
        <v>0</v>
      </c>
      <c r="D35" s="1775"/>
      <c r="E35" s="1775">
        <f>IF(Data!GK3&gt;0,IF(Data!GK3&lt;&gt;"",Data!GK3," ")," ")</f>
        <v>1308</v>
      </c>
      <c r="F35" s="1775"/>
      <c r="G35" s="1775"/>
      <c r="H35" s="1775">
        <f>IF(Data!GG3&gt;0,IF(Data!GG3&lt;&gt;"",IF(Data!GG3&lt;&gt;"Add the cutter in list",Data!GG3," ")," "),"")</f>
        <v>418525</v>
      </c>
      <c r="I35" s="1775"/>
      <c r="J35" s="1775"/>
      <c r="K35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35" s="1775"/>
      <c r="M35" s="1775"/>
      <c r="N35" s="1775"/>
      <c r="O35" s="1775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75"/>
      <c r="Q35" s="1775"/>
      <c r="R35" s="1775"/>
      <c r="S35" s="1775"/>
      <c r="T35" s="1775"/>
      <c r="U35" s="1775"/>
      <c r="V35" s="1775"/>
      <c r="W35" s="1775"/>
      <c r="X35" s="2268"/>
    </row>
    <row r="36" spans="1:24" ht="15" customHeight="1" x14ac:dyDescent="0.25">
      <c r="A36" s="1427">
        <f>IF(TRIM(H36)="","",IF(Data!CX62&gt;0,IF(Data!CX62&lt;&gt;"", Data!CX62, " ")," "))</f>
        <v>3</v>
      </c>
      <c r="B36" s="1420"/>
      <c r="C36" s="1775">
        <f>IF(COUNTIF($C$16:$X$24,"*X*3*"),COUNTIF($C$16:$X$24,"*X*3*"),0)+IF(COUNTIF($C$16:$X$24,"*L*3*"),COUNTIF($C$16:$X$24,"*L*3*"),0)</f>
        <v>0</v>
      </c>
      <c r="D36" s="1775"/>
      <c r="E36" s="1775">
        <f>IF(Data!GK4&gt;0,IF(Data!GK4&lt;&gt;"",Data!GK4," ")," ")</f>
        <v>1313</v>
      </c>
      <c r="F36" s="1775"/>
      <c r="G36" s="1775"/>
      <c r="H36" s="1775">
        <f>IF(Data!GG4&gt;0,IF(Data!GG4&lt;&gt;"",IF(Data!GG4&lt;&gt;"Add the cutter in list",Data!GG4," ")," "),"")</f>
        <v>1209332</v>
      </c>
      <c r="I36" s="1775"/>
      <c r="J36" s="1775"/>
      <c r="K36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L36" s="1775"/>
      <c r="M36" s="1775"/>
      <c r="N36" s="1775"/>
      <c r="O36" s="1775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75"/>
      <c r="Q36" s="1775"/>
      <c r="R36" s="1775"/>
      <c r="S36" s="1775"/>
      <c r="T36" s="1775"/>
      <c r="U36" s="1775"/>
      <c r="V36" s="1775"/>
      <c r="W36" s="1775"/>
      <c r="X36" s="2268"/>
    </row>
    <row r="37" spans="1:24" ht="15" customHeight="1" x14ac:dyDescent="0.25">
      <c r="A37" s="1427">
        <f>IF(TRIM(H37)="","",IF(Data!CX63&gt;0,IF(Data!CX63&lt;&gt;"", Data!CX63, " ")," "))</f>
        <v>4</v>
      </c>
      <c r="B37" s="1420"/>
      <c r="C37" s="1775">
        <f>IF(COUNTIF($C$16:$X$24,"*X*4*"),COUNTIF($C$16:$X$24,"*X*4*"),0)+IF(COUNTIF($C$16:$X$24,"*L*4*"),COUNTIF($C$16:$X$24,"*L*4*"),0)</f>
        <v>0</v>
      </c>
      <c r="D37" s="1775"/>
      <c r="E37" s="1775">
        <f>IF(Data!GK5&gt;0,IF(Data!GK5&lt;&gt;"",Data!GK5," ")," ")</f>
        <v>1313</v>
      </c>
      <c r="F37" s="1775"/>
      <c r="G37" s="1775"/>
      <c r="H37" s="1775">
        <f>IF(Data!GG5&gt;0,IF(Data!GG5&lt;&gt;"",IF(Data!GG5&lt;&gt;"Add the cutter in list",Data!GG5," ")," "),"")</f>
        <v>1146346</v>
      </c>
      <c r="I37" s="1775"/>
      <c r="J37" s="1775"/>
      <c r="K37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L37" s="1775"/>
      <c r="M37" s="1775"/>
      <c r="N37" s="1775"/>
      <c r="O37" s="1775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P37" s="1775"/>
      <c r="Q37" s="1775"/>
      <c r="R37" s="1775"/>
      <c r="S37" s="1775"/>
      <c r="T37" s="1775"/>
      <c r="U37" s="1775"/>
      <c r="V37" s="1775"/>
      <c r="W37" s="1775"/>
      <c r="X37" s="2268"/>
    </row>
    <row r="38" spans="1:24" ht="15" customHeight="1" x14ac:dyDescent="0.25">
      <c r="A38" s="1427">
        <f>IF(TRIM(H38)="","",IF(Data!CX64&gt;0,IF(Data!CX64&lt;&gt;"", Data!CX64, " ")," "))</f>
        <v>5</v>
      </c>
      <c r="B38" s="1420"/>
      <c r="C38" s="1775">
        <f>IF(COUNTIF($C$16:$X$24,"*X*5*"),COUNTIF($C$16:$X$24,"*X*5*"),0)+IF(COUNTIF($C$16:$X$24,"*L*5*"),COUNTIF($C$16:$X$24,"*L*5*"),0)</f>
        <v>0</v>
      </c>
      <c r="D38" s="1775"/>
      <c r="E38" s="1775">
        <f>IF(Data!GK6&gt;0,IF(Data!GK6&lt;&gt;"",Data!GK6," ")," ")</f>
        <v>1313</v>
      </c>
      <c r="F38" s="1775"/>
      <c r="G38" s="1775"/>
      <c r="H38" s="1775">
        <f>IF(Data!GG6&gt;0,IF(Data!GG6&lt;&gt;"",IF(Data!GG6&lt;&gt;"Add the cutter in list",Data!GG6," ")," "),"")</f>
        <v>2001155</v>
      </c>
      <c r="I38" s="1775"/>
      <c r="J38" s="1775"/>
      <c r="K38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L38" s="1775"/>
      <c r="M38" s="1775"/>
      <c r="N38" s="1775"/>
      <c r="O38" s="1775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>To Replace Cutter # 3</v>
      </c>
      <c r="P38" s="1775"/>
      <c r="Q38" s="1775"/>
      <c r="R38" s="1775"/>
      <c r="S38" s="1775"/>
      <c r="T38" s="1775"/>
      <c r="U38" s="1775"/>
      <c r="V38" s="1775"/>
      <c r="W38" s="1775"/>
      <c r="X38" s="2268"/>
    </row>
    <row r="39" spans="1:24" ht="15" customHeight="1" x14ac:dyDescent="0.25">
      <c r="A39" s="1427" t="str">
        <f>IF(TRIM(H39)="","",IF(Data!CX65&gt;0,IF(Data!CX65&lt;&gt;"", Data!CX65, " ")," "))</f>
        <v/>
      </c>
      <c r="B39" s="1420"/>
      <c r="C39" s="1775">
        <f>IF(COUNTIF($C$16:$X$24,"*X*6*"),COUNTIF($C$16:$X$24,"*X*6*"),0)+IF(COUNTIF($C$16:$X$24,"*L*6*"),COUNTIF($C$16:$X$24,"*L*6*"),0)</f>
        <v>0</v>
      </c>
      <c r="D39" s="1775"/>
      <c r="E39" s="1775" t="str">
        <f>IF(Data!GK7&gt;0,IF(Data!GK7&lt;&gt;"",Data!GK7," ")," ")</f>
        <v xml:space="preserve"> </v>
      </c>
      <c r="F39" s="1775"/>
      <c r="G39" s="1775"/>
      <c r="H39" s="1775" t="str">
        <f>IF(Data!GG7&gt;0,IF(Data!GG7&lt;&gt;"",IF(Data!GG7&lt;&gt;"Add the cutter in list",Data!GG7," ")," "),"")</f>
        <v xml:space="preserve"> </v>
      </c>
      <c r="I39" s="1775"/>
      <c r="J39" s="1775"/>
      <c r="K39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75"/>
      <c r="M39" s="1775"/>
      <c r="N39" s="1775"/>
      <c r="O39" s="1775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75"/>
      <c r="Q39" s="1775"/>
      <c r="R39" s="1775"/>
      <c r="S39" s="1775"/>
      <c r="T39" s="1775"/>
      <c r="U39" s="1775"/>
      <c r="V39" s="1775"/>
      <c r="W39" s="1775"/>
      <c r="X39" s="2268"/>
    </row>
    <row r="40" spans="1:24" ht="15" customHeight="1" x14ac:dyDescent="0.25">
      <c r="A40" s="1427" t="str">
        <f>IF(TRIM(H40)="","",IF(Data!CX66&gt;0,IF(Data!CX66&lt;&gt;"", Data!CX66, " ")," "))</f>
        <v/>
      </c>
      <c r="B40" s="1420"/>
      <c r="C40" s="1775">
        <f>IF(COUNTIF($C$16:$X$24,"*X*7*"),COUNTIF($C$16:$X$24,"*X*7*"),0)+IF(COUNTIF($C$16:$X$24,"*L*7*"),COUNTIF($C$16:$X$24,"*L*7*"),0)</f>
        <v>0</v>
      </c>
      <c r="D40" s="1775"/>
      <c r="E40" s="1775" t="str">
        <f>IF(Data!GK8&gt;0,IF(Data!GK8&lt;&gt;"",Data!GK8," ")," ")</f>
        <v xml:space="preserve"> </v>
      </c>
      <c r="F40" s="1775"/>
      <c r="G40" s="1775"/>
      <c r="H40" s="1775" t="str">
        <f>IF(Data!GG8&gt;0,IF(Data!GG8&lt;&gt;"",IF(Data!GG8&lt;&gt;"Add the cutter in list",Data!GG8," ")," "),"")</f>
        <v xml:space="preserve"> </v>
      </c>
      <c r="I40" s="1775"/>
      <c r="J40" s="1775"/>
      <c r="K40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75"/>
      <c r="M40" s="1775"/>
      <c r="N40" s="1775"/>
      <c r="O40" s="1775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75"/>
      <c r="Q40" s="1775"/>
      <c r="R40" s="1775"/>
      <c r="S40" s="1775"/>
      <c r="T40" s="1775"/>
      <c r="U40" s="1775"/>
      <c r="V40" s="1775"/>
      <c r="W40" s="1775"/>
      <c r="X40" s="2268"/>
    </row>
    <row r="41" spans="1:24" ht="15" customHeight="1" x14ac:dyDescent="0.25">
      <c r="A41" s="1427" t="str">
        <f>IF(TRIM(H41)="","",IF(Data!CX67&gt;0,IF(Data!CX67&lt;&gt;"", Data!CX67, " ")," "))</f>
        <v/>
      </c>
      <c r="B41" s="1420"/>
      <c r="C41" s="1775">
        <f>IF(COUNTIF($C$16:$X$24,"*X*8*"),COUNTIF($C$16:$X$24,"*X*8*"),0)+IF(COUNTIF($C$16:$X$24,"*L*8*"),COUNTIF($C$16:$X$24,"*L*8*"),0)</f>
        <v>0</v>
      </c>
      <c r="D41" s="1775"/>
      <c r="E41" s="1775" t="str">
        <f>IF(Data!GK9&gt;0,IF(Data!GK9&lt;&gt;"",Data!GK9," ")," ")</f>
        <v xml:space="preserve"> </v>
      </c>
      <c r="F41" s="1775"/>
      <c r="G41" s="1775"/>
      <c r="H41" s="1775" t="str">
        <f>IF(Data!GG9&gt;0,IF(Data!GG9&lt;&gt;"",IF(Data!GG9&lt;&gt;"Add the cutter in list",Data!GG9," ")," "),"")</f>
        <v xml:space="preserve"> </v>
      </c>
      <c r="I41" s="1775"/>
      <c r="J41" s="1775"/>
      <c r="K41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75"/>
      <c r="M41" s="1775"/>
      <c r="N41" s="1775"/>
      <c r="O41" s="1775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75"/>
      <c r="Q41" s="1775"/>
      <c r="R41" s="1775"/>
      <c r="S41" s="1775"/>
      <c r="T41" s="1775"/>
      <c r="U41" s="1775"/>
      <c r="V41" s="1775"/>
      <c r="W41" s="1775"/>
      <c r="X41" s="2268"/>
    </row>
    <row r="42" spans="1:24" ht="15" customHeight="1" x14ac:dyDescent="0.25">
      <c r="A42" s="1427" t="str">
        <f>IF(TRIM(H42)="","",IF(Data!CX68&gt;0,IF(Data!CX68&lt;&gt;"", Data!CX68, " ")," "))</f>
        <v/>
      </c>
      <c r="B42" s="1420"/>
      <c r="C42" s="1775">
        <f>IF(COUNTIF($C$16:$X$24,"*X*9*"),COUNTIF($C$16:$X$24,"*X*9*"),0)+IF(COUNTIF($C$16:$X$24,"*L*9*"),COUNTIF($C$16:$X$24,"*L*9*"),0)</f>
        <v>0</v>
      </c>
      <c r="D42" s="1775"/>
      <c r="E42" s="1775" t="str">
        <f>IF(Data!GK10&gt;0,IF(Data!GK10&lt;&gt;"",Data!GK10," ")," ")</f>
        <v xml:space="preserve"> </v>
      </c>
      <c r="F42" s="1775"/>
      <c r="G42" s="1775"/>
      <c r="H42" s="1775" t="str">
        <f>IF(Data!GG10&gt;0,IF(Data!GG10&lt;&gt;"",IF(Data!GG10&lt;&gt;"Add the cutter in list",Data!GG10," ")," "),"")</f>
        <v xml:space="preserve"> </v>
      </c>
      <c r="I42" s="1775"/>
      <c r="J42" s="1775"/>
      <c r="K42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75"/>
      <c r="M42" s="1775"/>
      <c r="N42" s="1775"/>
      <c r="O42" s="1775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75"/>
      <c r="Q42" s="1775"/>
      <c r="R42" s="1775"/>
      <c r="S42" s="1775"/>
      <c r="T42" s="1775"/>
      <c r="U42" s="1775"/>
      <c r="V42" s="1775"/>
      <c r="W42" s="1775"/>
      <c r="X42" s="2268"/>
    </row>
    <row r="43" spans="1:24" ht="15" customHeight="1" thickBot="1" x14ac:dyDescent="0.3">
      <c r="A43" s="1425" t="str">
        <f>IF(TRIM(H43)="","",IF(Data!CX69&gt;0,IF(Data!CX69&lt;&gt;"", Data!CX69, " ")," "))</f>
        <v/>
      </c>
      <c r="B43" s="1426"/>
      <c r="C43" s="1823">
        <f>IF(COUNTIF($C$16:$X$24,"*X*10*"),COUNTIF($C$16:$X$24,"*X*10*"),0)+IF(COUNTIF($C$16:$X$24,"*L*10*"),COUNTIF($C$16:$X$24,"*L*10*"),0)</f>
        <v>0</v>
      </c>
      <c r="D43" s="1823"/>
      <c r="E43" s="1823" t="str">
        <f>IF(Data!GK11&gt;0,IF(Data!GK11&lt;&gt;"",Data!GK11," ")," ")</f>
        <v xml:space="preserve"> </v>
      </c>
      <c r="F43" s="1823"/>
      <c r="G43" s="1823"/>
      <c r="H43" s="1823" t="str">
        <f>IF(Data!GG11&gt;0,IF(Data!GG11&lt;&gt;"",IF(Data!GG11&lt;&gt;"Add the cutter in list",Data!GG11," ")," "),"")</f>
        <v xml:space="preserve"> </v>
      </c>
      <c r="I43" s="1823"/>
      <c r="J43" s="1823"/>
      <c r="K43" s="1823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823"/>
      <c r="M43" s="1823"/>
      <c r="N43" s="1823"/>
      <c r="O43" s="1823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823"/>
      <c r="Q43" s="1823"/>
      <c r="R43" s="1823"/>
      <c r="S43" s="1823"/>
      <c r="T43" s="1823"/>
      <c r="U43" s="1823"/>
      <c r="V43" s="1823"/>
      <c r="W43" s="1823"/>
      <c r="X43" s="2273"/>
    </row>
    <row r="44" spans="1:24" ht="3.75" customHeight="1" thickBot="1" x14ac:dyDescent="0.3"/>
    <row r="45" spans="1:24" s="439" customFormat="1" ht="16.5" customHeight="1" thickBot="1" x14ac:dyDescent="0.3">
      <c r="A45" s="2274" t="s">
        <v>1121</v>
      </c>
      <c r="B45" s="2275"/>
      <c r="C45" s="2275"/>
      <c r="D45" s="2275"/>
      <c r="E45" s="2275"/>
      <c r="F45" s="2275"/>
      <c r="G45" s="2275"/>
      <c r="H45" s="2275"/>
      <c r="I45" s="2275"/>
      <c r="J45" s="2275"/>
      <c r="K45" s="2275"/>
      <c r="L45" s="2275"/>
      <c r="M45" s="2275"/>
      <c r="N45" s="2275"/>
      <c r="O45" s="2275"/>
      <c r="P45" s="2275"/>
      <c r="Q45" s="2275"/>
      <c r="R45" s="2275"/>
      <c r="S45" s="2275"/>
      <c r="T45" s="2275"/>
      <c r="U45" s="2275"/>
      <c r="V45" s="2275"/>
      <c r="W45" s="2275"/>
      <c r="X45" s="2275"/>
    </row>
    <row r="46" spans="1:24" s="439" customFormat="1" ht="19.5" customHeight="1" x14ac:dyDescent="0.25">
      <c r="A46" s="2276" t="s">
        <v>1036</v>
      </c>
      <c r="B46" s="2277"/>
      <c r="C46" s="2277"/>
      <c r="D46" s="2277"/>
      <c r="E46" s="2277"/>
      <c r="F46" s="2277"/>
      <c r="G46" s="2277"/>
      <c r="H46" s="1859" t="s">
        <v>54</v>
      </c>
      <c r="I46" s="1859"/>
      <c r="J46" s="1859"/>
      <c r="K46" s="1859"/>
      <c r="L46" s="1859"/>
      <c r="M46" s="1859"/>
      <c r="N46" s="1859" t="s">
        <v>1035</v>
      </c>
      <c r="O46" s="1859"/>
      <c r="P46" s="1859"/>
      <c r="Q46" s="1859"/>
      <c r="R46" s="1859"/>
      <c r="S46" s="1859"/>
      <c r="T46" s="2278" t="s">
        <v>56</v>
      </c>
      <c r="U46" s="2278"/>
      <c r="V46" s="2278"/>
      <c r="W46" s="2278"/>
      <c r="X46" s="2278"/>
    </row>
    <row r="47" spans="1:24" s="439" customFormat="1" ht="19.5" customHeight="1" x14ac:dyDescent="0.25">
      <c r="A47" s="2279" t="s">
        <v>1029</v>
      </c>
      <c r="B47" s="2280"/>
      <c r="C47" s="2280"/>
      <c r="D47" s="2280"/>
      <c r="E47" s="2280"/>
      <c r="F47" s="2280"/>
      <c r="G47" s="2280"/>
      <c r="H47" s="1776" t="s">
        <v>57</v>
      </c>
      <c r="I47" s="1776"/>
      <c r="J47" s="1776"/>
      <c r="K47" s="1776"/>
      <c r="L47" s="1776"/>
      <c r="M47" s="1776"/>
      <c r="N47" s="1776" t="s">
        <v>58</v>
      </c>
      <c r="O47" s="1776"/>
      <c r="P47" s="1776"/>
      <c r="Q47" s="1776"/>
      <c r="R47" s="1776"/>
      <c r="S47" s="1776"/>
      <c r="T47" s="1776" t="s">
        <v>58</v>
      </c>
      <c r="U47" s="1776"/>
      <c r="V47" s="1776"/>
      <c r="W47" s="1776"/>
      <c r="X47" s="1776"/>
    </row>
    <row r="48" spans="1:24" s="439" customFormat="1" ht="19.5" customHeight="1" x14ac:dyDescent="0.25">
      <c r="A48" s="2279" t="s">
        <v>1030</v>
      </c>
      <c r="B48" s="2280"/>
      <c r="C48" s="2280"/>
      <c r="D48" s="2280"/>
      <c r="E48" s="2280"/>
      <c r="F48" s="2280"/>
      <c r="G48" s="2280"/>
      <c r="H48" s="1776"/>
      <c r="I48" s="1776"/>
      <c r="J48" s="1776"/>
      <c r="K48" s="1776"/>
      <c r="L48" s="1776"/>
      <c r="M48" s="1776"/>
      <c r="N48" s="1776"/>
      <c r="O48" s="1776"/>
      <c r="P48" s="1776"/>
      <c r="Q48" s="1776"/>
      <c r="R48" s="1776"/>
      <c r="S48" s="1776"/>
      <c r="T48" s="1776"/>
      <c r="U48" s="1776"/>
      <c r="V48" s="1776"/>
      <c r="W48" s="1776"/>
      <c r="X48" s="1776"/>
    </row>
    <row r="49" spans="1:24" s="439" customFormat="1" ht="19.5" customHeight="1" thickBot="1" x14ac:dyDescent="0.3">
      <c r="A49" s="2287" t="s">
        <v>1031</v>
      </c>
      <c r="B49" s="2285"/>
      <c r="C49" s="2285"/>
      <c r="D49" s="2285"/>
      <c r="E49" s="2285"/>
      <c r="F49" s="2285"/>
      <c r="G49" s="2285"/>
      <c r="H49" s="2286"/>
      <c r="I49" s="2286"/>
      <c r="J49" s="2286"/>
      <c r="K49" s="2286"/>
      <c r="L49" s="2286"/>
      <c r="M49" s="2286"/>
      <c r="N49" s="2286"/>
      <c r="O49" s="2286"/>
      <c r="P49" s="2286"/>
      <c r="Q49" s="2286"/>
      <c r="R49" s="2286"/>
      <c r="S49" s="2286"/>
      <c r="T49" s="2286"/>
      <c r="U49" s="2286"/>
      <c r="V49" s="2286"/>
      <c r="W49" s="2286"/>
      <c r="X49" s="2286"/>
    </row>
    <row r="50" spans="1:24" s="439" customFormat="1" ht="19.5" customHeight="1" x14ac:dyDescent="0.25">
      <c r="A50" s="2281" t="s">
        <v>59</v>
      </c>
      <c r="B50" s="2282"/>
      <c r="C50" s="2282"/>
      <c r="D50" s="2282"/>
      <c r="E50" s="2282"/>
      <c r="F50" s="2282"/>
      <c r="G50" s="2282"/>
      <c r="H50" s="1801"/>
      <c r="I50" s="1801"/>
      <c r="J50" s="1801"/>
      <c r="K50" s="1801"/>
      <c r="L50" s="1801"/>
      <c r="M50" s="1801"/>
      <c r="N50" s="2282" t="s">
        <v>60</v>
      </c>
      <c r="O50" s="2282"/>
      <c r="P50" s="2282"/>
      <c r="Q50" s="2282"/>
      <c r="R50" s="2282"/>
      <c r="S50" s="2282"/>
      <c r="T50" s="1801"/>
      <c r="U50" s="1801"/>
      <c r="V50" s="1801"/>
      <c r="W50" s="1801"/>
      <c r="X50" s="1801"/>
    </row>
    <row r="51" spans="1:24" s="439" customFormat="1" ht="19.5" customHeight="1" thickBot="1" x14ac:dyDescent="0.3">
      <c r="A51" s="2283" t="s">
        <v>61</v>
      </c>
      <c r="B51" s="2284"/>
      <c r="C51" s="2284"/>
      <c r="D51" s="2284"/>
      <c r="E51" s="2285"/>
      <c r="F51" s="2285"/>
      <c r="G51" s="2285"/>
      <c r="H51" s="2286"/>
      <c r="I51" s="2286"/>
      <c r="J51" s="2286"/>
      <c r="K51" s="2286"/>
      <c r="L51" s="2286"/>
      <c r="M51" s="2286"/>
      <c r="N51" s="2285" t="s">
        <v>62</v>
      </c>
      <c r="O51" s="2285"/>
      <c r="P51" s="2285"/>
      <c r="Q51" s="2285"/>
      <c r="R51" s="2285"/>
      <c r="S51" s="2285"/>
      <c r="T51" s="2286"/>
      <c r="U51" s="2286"/>
      <c r="V51" s="2286"/>
      <c r="W51" s="2286"/>
      <c r="X51" s="2286"/>
    </row>
    <row r="52" spans="1:24" s="439" customFormat="1" ht="19.5" customHeight="1" x14ac:dyDescent="0.25">
      <c r="A52" s="1834" t="s">
        <v>63</v>
      </c>
      <c r="B52" s="2305"/>
      <c r="C52" s="2305"/>
      <c r="D52" s="2306"/>
      <c r="E52" s="2281" t="s">
        <v>64</v>
      </c>
      <c r="F52" s="2282"/>
      <c r="G52" s="2282"/>
      <c r="H52" s="1801"/>
      <c r="I52" s="1801"/>
      <c r="J52" s="1801"/>
      <c r="K52" s="1801"/>
      <c r="L52" s="1801"/>
      <c r="M52" s="1801"/>
      <c r="N52" s="1801" t="s">
        <v>65</v>
      </c>
      <c r="O52" s="1801"/>
      <c r="P52" s="1801"/>
      <c r="Q52" s="1801"/>
      <c r="R52" s="1801"/>
      <c r="S52" s="1801"/>
      <c r="T52" s="2282" t="s">
        <v>36</v>
      </c>
      <c r="U52" s="2282"/>
      <c r="V52" s="1801"/>
      <c r="W52" s="1801"/>
      <c r="X52" s="1802"/>
    </row>
    <row r="53" spans="1:24" s="439" customFormat="1" ht="19.5" customHeight="1" x14ac:dyDescent="0.25">
      <c r="A53" s="2288" t="s">
        <v>952</v>
      </c>
      <c r="B53" s="2250"/>
      <c r="C53" s="2250"/>
      <c r="D53" s="2289"/>
      <c r="E53" s="2292" t="s">
        <v>67</v>
      </c>
      <c r="F53" s="2293"/>
      <c r="G53" s="2293"/>
      <c r="H53" s="2293"/>
      <c r="I53" s="2293"/>
      <c r="J53" s="2293"/>
      <c r="K53" s="2293"/>
      <c r="L53" s="2293"/>
      <c r="M53" s="2293"/>
      <c r="N53" s="2293"/>
      <c r="O53" s="2293"/>
      <c r="P53" s="2293"/>
      <c r="Q53" s="2293"/>
      <c r="R53" s="2293"/>
      <c r="S53" s="2293"/>
      <c r="T53" s="2293"/>
      <c r="U53" s="2293"/>
      <c r="V53" s="2293"/>
      <c r="W53" s="2293"/>
      <c r="X53" s="2294"/>
    </row>
    <row r="54" spans="1:24" s="439" customFormat="1" ht="19.5" customHeight="1" x14ac:dyDescent="0.25">
      <c r="A54" s="2290"/>
      <c r="B54" s="1643"/>
      <c r="C54" s="1643"/>
      <c r="D54" s="2291"/>
      <c r="E54" s="2295"/>
      <c r="F54" s="2296"/>
      <c r="G54" s="2296"/>
      <c r="H54" s="2296"/>
      <c r="I54" s="2296"/>
      <c r="J54" s="2296"/>
      <c r="K54" s="2296"/>
      <c r="L54" s="2296"/>
      <c r="M54" s="2296"/>
      <c r="N54" s="2296"/>
      <c r="O54" s="2296"/>
      <c r="P54" s="2296"/>
      <c r="Q54" s="2296"/>
      <c r="R54" s="2296"/>
      <c r="S54" s="2296"/>
      <c r="T54" s="2296"/>
      <c r="U54" s="2296"/>
      <c r="V54" s="2296"/>
      <c r="W54" s="2296"/>
      <c r="X54" s="2297"/>
    </row>
    <row r="55" spans="1:24" s="439" customFormat="1" ht="19.5" customHeight="1" thickBot="1" x14ac:dyDescent="0.3">
      <c r="A55" s="1851"/>
      <c r="B55" s="1852"/>
      <c r="C55" s="1852"/>
      <c r="D55" s="1853"/>
      <c r="E55" s="2298" t="s">
        <v>69</v>
      </c>
      <c r="F55" s="2299"/>
      <c r="G55" s="2299"/>
      <c r="H55" s="2299"/>
      <c r="I55" s="2299"/>
      <c r="J55" s="2299"/>
      <c r="K55" s="2300"/>
      <c r="L55" s="2301"/>
      <c r="M55" s="2302"/>
      <c r="N55" s="2302"/>
      <c r="O55" s="2302"/>
      <c r="P55" s="2302"/>
      <c r="Q55" s="2302"/>
      <c r="R55" s="2302"/>
      <c r="S55" s="2302"/>
      <c r="T55" s="2302"/>
      <c r="U55" s="2302"/>
      <c r="V55" s="2302"/>
      <c r="W55" s="2302"/>
      <c r="X55" s="2303"/>
    </row>
    <row r="56" spans="1:24" ht="5.25" customHeight="1" x14ac:dyDescent="0.2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00000000000001" customHeight="1" x14ac:dyDescent="0.25">
      <c r="O57" s="1629" t="s">
        <v>1045</v>
      </c>
      <c r="P57" s="1629"/>
      <c r="Q57" s="1629"/>
      <c r="R57" s="1629"/>
      <c r="S57" s="2304"/>
      <c r="T57" s="2304"/>
      <c r="U57" s="2304"/>
      <c r="V57" s="2304"/>
      <c r="W57" s="2304"/>
      <c r="X57" s="2304"/>
    </row>
    <row r="58" spans="1:24" ht="6" customHeight="1" x14ac:dyDescent="0.25"/>
    <row r="59" spans="1:24" hidden="1" x14ac:dyDescent="0.25"/>
    <row r="60" spans="1:24" hidden="1" x14ac:dyDescent="0.25"/>
    <row r="61" spans="1:24" ht="15.75" hidden="1" customHeight="1" x14ac:dyDescent="0.25">
      <c r="A61" s="2247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25">
      <c r="A62" s="2247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25">
      <c r="A63" s="2247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25">
      <c r="A64" s="2247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25">
      <c r="A65" s="2247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25">
      <c r="A66" s="2247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25">
      <c r="A67" s="2247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25">
      <c r="A68" s="2247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25">
      <c r="A69" s="2247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25"/>
    <row r="71" spans="1:24" hidden="1" x14ac:dyDescent="0.25"/>
    <row r="72" spans="1:24" hidden="1" x14ac:dyDescent="0.2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2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25"/>
  </sheetData>
  <sheetProtection formatCells="0" formatColumns="0" formatRows="0" insertColumns="0" insertRows="0" insertHyperlinks="0" deleteColumns="0" deleteRows="0" sort="0" autoFilter="0" pivotTables="0"/>
  <mergeCells count="152"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40625" defaultRowHeight="15" x14ac:dyDescent="0.25"/>
  <cols>
    <col min="1" max="1" width="3.7109375" customWidth="1"/>
    <col min="2" max="36" width="4" customWidth="1"/>
    <col min="37" max="37" width="2.5703125" customWidth="1"/>
    <col min="38" max="38" width="3" customWidth="1"/>
    <col min="39" max="40" width="3.140625" customWidth="1"/>
    <col min="140" max="140" width="9.140625" customWidth="1"/>
  </cols>
  <sheetData>
    <row r="1" spans="1:36" ht="17.25" customHeight="1" x14ac:dyDescent="0.25">
      <c r="A1" s="450"/>
      <c r="B1" s="450"/>
      <c r="D1" s="2307" t="s">
        <v>977</v>
      </c>
      <c r="E1" s="2308"/>
      <c r="F1" s="2308"/>
      <c r="G1" s="2308"/>
      <c r="H1" s="2308"/>
      <c r="I1" s="2308"/>
      <c r="J1" s="2308"/>
      <c r="K1" s="2308"/>
      <c r="L1" s="2308"/>
      <c r="M1" s="2308"/>
      <c r="N1" s="2308"/>
      <c r="O1" s="2308"/>
      <c r="P1" s="2308"/>
      <c r="Q1" s="2308"/>
      <c r="R1" s="2308"/>
      <c r="S1" s="2309"/>
      <c r="T1" s="1789" t="s">
        <v>1058</v>
      </c>
      <c r="U1" s="1555"/>
      <c r="V1" s="1555"/>
      <c r="W1" s="1555"/>
      <c r="X1" s="1555"/>
      <c r="Y1" s="1555"/>
      <c r="Z1" s="1555"/>
      <c r="AA1" s="1555"/>
      <c r="AB1" s="2313" t="s">
        <v>1040</v>
      </c>
      <c r="AC1" s="1795"/>
      <c r="AD1" s="1795"/>
      <c r="AE1" s="1795"/>
      <c r="AF1" s="1795"/>
      <c r="AG1" s="1795"/>
      <c r="AH1" s="1795"/>
      <c r="AI1" s="1795"/>
      <c r="AJ1" s="2314"/>
    </row>
    <row r="2" spans="1:36" ht="17.25" customHeight="1" thickBot="1" x14ac:dyDescent="0.3">
      <c r="A2" s="450"/>
      <c r="B2" s="450"/>
      <c r="C2" s="783"/>
      <c r="D2" s="2310"/>
      <c r="E2" s="2311"/>
      <c r="F2" s="2311"/>
      <c r="G2" s="2311"/>
      <c r="H2" s="2311"/>
      <c r="I2" s="2311"/>
      <c r="J2" s="2311"/>
      <c r="K2" s="2311"/>
      <c r="L2" s="2311"/>
      <c r="M2" s="2311"/>
      <c r="N2" s="2311"/>
      <c r="O2" s="2311"/>
      <c r="P2" s="2311"/>
      <c r="Q2" s="2311"/>
      <c r="R2" s="2311"/>
      <c r="S2" s="2312"/>
      <c r="T2" s="2315" t="s">
        <v>1580</v>
      </c>
      <c r="U2" s="1562"/>
      <c r="V2" s="1562"/>
      <c r="W2" s="1562"/>
      <c r="X2" s="1562"/>
      <c r="Y2" s="1562"/>
      <c r="Z2" s="1562"/>
      <c r="AA2" s="1562"/>
      <c r="AB2" s="2316" t="s">
        <v>1041</v>
      </c>
      <c r="AC2" s="1648"/>
      <c r="AD2" s="1648"/>
      <c r="AE2" s="1648"/>
      <c r="AF2" s="1648"/>
      <c r="AG2" s="1648"/>
      <c r="AH2" s="1648"/>
      <c r="AI2" s="1648"/>
      <c r="AJ2" s="1649"/>
    </row>
    <row r="3" spans="1:36" ht="15" customHeight="1" thickBot="1" x14ac:dyDescent="0.3">
      <c r="B3" s="456"/>
      <c r="C3" s="456"/>
      <c r="D3" s="1915" t="s">
        <v>1120</v>
      </c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E3" s="2242" t="s">
        <v>33</v>
      </c>
      <c r="AF3" s="2242"/>
      <c r="AG3" s="2242"/>
      <c r="AH3" s="1557">
        <f>IF(Data!B24&lt;&gt;"",Data!B24,IFERROR(VLOOKUP(Data!$B$7,Data!F63:G70,2,FALSE),""))</f>
        <v>960031408</v>
      </c>
      <c r="AI3" s="1627"/>
      <c r="AJ3" s="1558"/>
    </row>
    <row r="4" spans="1:36" ht="4.5" customHeight="1" thickBot="1" x14ac:dyDescent="0.3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240" t="s">
        <v>1044</v>
      </c>
      <c r="AE4" s="2240"/>
      <c r="AF4" s="2240"/>
      <c r="AG4" s="2240"/>
      <c r="AH4" s="449"/>
      <c r="AI4" s="449"/>
      <c r="AJ4" s="449"/>
    </row>
    <row r="5" spans="1:36" ht="15.75" customHeight="1" thickBot="1" x14ac:dyDescent="0.3">
      <c r="A5" s="2242" t="s">
        <v>27</v>
      </c>
      <c r="B5" s="2242"/>
      <c r="C5" s="2242"/>
      <c r="D5" s="2242"/>
      <c r="E5" s="224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20261004 </v>
      </c>
      <c r="F5" s="2244"/>
      <c r="G5" s="2244"/>
      <c r="H5" s="2245"/>
      <c r="I5" s="1527" t="s">
        <v>28</v>
      </c>
      <c r="J5" s="1523"/>
      <c r="K5" s="1523"/>
      <c r="L5" s="1524"/>
      <c r="M5" s="1557" t="str">
        <f>IF(Data!B2&lt;&gt;"", Data!B2, " ")</f>
        <v>14304769R1</v>
      </c>
      <c r="N5" s="1627"/>
      <c r="O5" s="1627"/>
      <c r="P5" s="1558"/>
      <c r="Q5" s="2242" t="s">
        <v>29</v>
      </c>
      <c r="R5" s="2242"/>
      <c r="S5" s="1557" t="str">
        <f>IF(LEN(Data!B3)&gt;3,IF(AND(Data!B43&lt;&gt;"",Data!B43&lt;&gt;"0 0/1"""),Data!B43,""),IF(Data!B3&lt;&gt;"",Data!B3&amp;"""",""))</f>
        <v>6 1/8"</v>
      </c>
      <c r="T5" s="1627"/>
      <c r="U5" s="1627"/>
      <c r="V5" s="1558"/>
      <c r="W5" s="2241" t="s">
        <v>30</v>
      </c>
      <c r="X5" s="2242"/>
      <c r="Y5" s="2242"/>
      <c r="Z5" s="1557" t="str">
        <f>IF(Data!B5&lt;&gt;"",Data!B5," ")</f>
        <v>1251085M</v>
      </c>
      <c r="AA5" s="1627"/>
      <c r="AB5" s="1627"/>
      <c r="AC5" s="1558"/>
      <c r="AD5" s="2240"/>
      <c r="AE5" s="2240"/>
      <c r="AF5" s="2240"/>
      <c r="AG5" s="2240"/>
      <c r="AH5" s="1654">
        <f>IF(Data!B6&lt;&gt;"",Data!B6," ")</f>
        <v>46035</v>
      </c>
      <c r="AI5" s="1655"/>
      <c r="AJ5" s="1656"/>
    </row>
    <row r="6" spans="1:36" ht="4.5" customHeight="1" thickBot="1" x14ac:dyDescent="0.3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240"/>
      <c r="AE6" s="2240"/>
      <c r="AF6" s="2240"/>
      <c r="AG6" s="2240"/>
      <c r="AH6" s="449"/>
      <c r="AI6" s="449"/>
      <c r="AJ6" s="449"/>
    </row>
    <row r="7" spans="1:36" ht="15.75" customHeight="1" thickBot="1" x14ac:dyDescent="0.3">
      <c r="A7" s="1523" t="s">
        <v>1034</v>
      </c>
      <c r="B7" s="1523"/>
      <c r="C7" s="1523"/>
      <c r="D7" s="1524"/>
      <c r="E7" s="1557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27"/>
      <c r="G7" s="1627"/>
      <c r="H7" s="1558"/>
      <c r="I7" s="1527" t="s">
        <v>1042</v>
      </c>
      <c r="J7" s="1523"/>
      <c r="K7" s="1523"/>
      <c r="L7" s="1524"/>
      <c r="M7" s="1557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27"/>
      <c r="O7" s="1627"/>
      <c r="P7" s="1558"/>
      <c r="Q7" s="2242" t="s">
        <v>31</v>
      </c>
      <c r="R7" s="2242"/>
      <c r="S7" s="1557" t="str">
        <f>IF(Data!B4&lt;&gt;"",Data!B4," ")</f>
        <v>HD54</v>
      </c>
      <c r="T7" s="1627"/>
      <c r="U7" s="1627"/>
      <c r="V7" s="1558"/>
      <c r="X7" s="1523" t="s">
        <v>32</v>
      </c>
      <c r="Y7" s="1524"/>
      <c r="Z7" s="1557" t="str">
        <f>IF(Data!B7&lt;&gt;"",Data!B7, " ")</f>
        <v>LSTK</v>
      </c>
      <c r="AA7" s="1627"/>
      <c r="AB7" s="1627"/>
      <c r="AC7" s="1558"/>
      <c r="AD7" s="1527" t="s">
        <v>1043</v>
      </c>
      <c r="AE7" s="1523"/>
      <c r="AF7" s="1523"/>
      <c r="AG7" s="1524"/>
      <c r="AH7" s="1557"/>
      <c r="AI7" s="1627"/>
      <c r="AJ7" s="1558"/>
    </row>
    <row r="8" spans="1:36" ht="4.5" customHeight="1" thickBot="1" x14ac:dyDescent="0.3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25">
      <c r="A9" s="1130"/>
      <c r="B9" s="2320"/>
      <c r="C9" s="1854" t="s">
        <v>17</v>
      </c>
      <c r="D9" s="1854"/>
      <c r="E9" s="1854"/>
      <c r="F9" s="1854"/>
      <c r="G9" s="1854"/>
      <c r="H9" s="1854"/>
      <c r="I9" s="1854"/>
      <c r="J9" s="1854"/>
      <c r="K9" s="1854"/>
      <c r="L9" s="1854"/>
      <c r="M9" s="1854"/>
      <c r="N9" s="1854"/>
      <c r="O9" s="1854"/>
      <c r="P9" s="1854"/>
      <c r="Q9" s="1854"/>
      <c r="R9" s="1854"/>
      <c r="S9" s="1854"/>
      <c r="T9" s="1854"/>
      <c r="U9" s="1854"/>
      <c r="V9" s="1854"/>
      <c r="W9" s="1854"/>
      <c r="X9" s="1854"/>
      <c r="Y9" s="1854"/>
      <c r="Z9" s="1854"/>
      <c r="AA9" s="1854"/>
      <c r="AB9" s="1854"/>
      <c r="AC9" s="1854"/>
      <c r="AD9" s="1854"/>
      <c r="AE9" s="1854"/>
      <c r="AF9" s="1854"/>
      <c r="AG9" s="1854"/>
      <c r="AH9" s="1854"/>
      <c r="AI9" s="1854"/>
      <c r="AJ9" s="1862"/>
    </row>
    <row r="10" spans="1:36" ht="12.75" customHeight="1" thickBot="1" x14ac:dyDescent="0.3">
      <c r="A10" s="2321"/>
      <c r="B10" s="1160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0a</v>
      </c>
      <c r="L10" s="797" t="str">
        <f>IF(Data!CA42&lt;&gt;"",Data!CA42,"")</f>
        <v>0a</v>
      </c>
      <c r="M10" s="797" t="str">
        <f>IF(Data!CB42&lt;&gt;"",Data!CB42,"")</f>
        <v>0a</v>
      </c>
      <c r="N10" s="797" t="str">
        <f>IF(Data!CC42&lt;&gt;"",Data!CC42,"")</f>
        <v>0a</v>
      </c>
      <c r="O10" s="797" t="str">
        <f>IF(Data!CD42&lt;&gt;"",Data!CD42,"")</f>
        <v>0a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25">
      <c r="A11" s="2246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/>
      </c>
      <c r="M11" s="789" t="str">
        <f>IF('Rework Cutter Entry'!M235&lt;&gt;"",'Rework Cutter Entry'!M235,"")</f>
        <v/>
      </c>
      <c r="N11" s="789" t="str">
        <f>IF('Rework Cutter Entry'!N235&lt;&gt;"",'Rework Cutter Entry'!N235,"")</f>
        <v/>
      </c>
      <c r="O11" s="789" t="str">
        <f>IF('Rework Cutter Entry'!O235&lt;&gt;"",'Rework Cutter Entry'!O235,"")</f>
        <v/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25">
      <c r="A12" s="2247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/>
      </c>
      <c r="M12" s="776" t="str">
        <f>IF('Rework Cutter Entry'!M236&lt;&gt;"",'Rework Cutter Entry'!M236,"")</f>
        <v/>
      </c>
      <c r="N12" s="776" t="str">
        <f>IF('Rework Cutter Entry'!N236&lt;&gt;"",'Rework Cutter Entry'!N236,"")</f>
        <v/>
      </c>
      <c r="O12" s="776" t="str">
        <f>IF('Rework Cutter Entry'!O236&lt;&gt;"",'Rework Cutter Entry'!O236,"")</f>
        <v/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25">
      <c r="A13" s="2247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/>
      </c>
      <c r="M13" s="776" t="str">
        <f>IF('Rework Cutter Entry'!M237&lt;&gt;"",'Rework Cutter Entry'!M237,"")</f>
        <v/>
      </c>
      <c r="N13" s="776" t="str">
        <f>IF('Rework Cutter Entry'!N237&lt;&gt;"",'Rework Cutter Entry'!N237,"")</f>
        <v/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25">
      <c r="A14" s="2247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>O</v>
      </c>
      <c r="J14" s="776" t="str">
        <f>IF('Rework Cutter Entry'!J238&lt;&gt;"",'Rework Cutter Entry'!J238,"")</f>
        <v>O</v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/>
      </c>
      <c r="M14" s="776" t="str">
        <f>IF('Rework Cutter Entry'!M238&lt;&gt;"",'Rework Cutter Entry'!M238,"")</f>
        <v/>
      </c>
      <c r="N14" s="776" t="str">
        <f>IF('Rework Cutter Entry'!N238&lt;&gt;"",'Rework Cutter Entry'!N238,"")</f>
        <v/>
      </c>
      <c r="O14" s="776" t="str">
        <f>IF('Rework Cutter Entry'!O238&lt;&gt;"",'Rework Cutter Entry'!O238,"")</f>
        <v/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25">
      <c r="A15" s="2247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/>
      </c>
      <c r="I15" s="776" t="str">
        <f>IF('Rework Cutter Entry'!I239&lt;&gt;"",'Rework Cutter Entry'!I239,"")</f>
        <v/>
      </c>
      <c r="J15" s="776" t="str">
        <f>IF('Rework Cutter Entry'!J239&lt;&gt;"",'Rework Cutter Entry'!J239,"")</f>
        <v/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/>
      </c>
      <c r="M15" s="776" t="str">
        <f>IF('Rework Cutter Entry'!M239&lt;&gt;"",'Rework Cutter Entry'!M239,"")</f>
        <v/>
      </c>
      <c r="N15" s="776" t="str">
        <f>IF('Rework Cutter Entry'!N239&lt;&gt;"",'Rework Cutter Entry'!N239,"")</f>
        <v/>
      </c>
      <c r="O15" s="776" t="str">
        <f>IF('Rework Cutter Entry'!O239&lt;&gt;"",'Rework Cutter Entry'!O239,"")</f>
        <v/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25">
      <c r="A16" s="2247"/>
      <c r="B16" s="800">
        <v>6</v>
      </c>
      <c r="C16" s="792" t="str">
        <f>IF('Rework Cutter Entry'!C240&lt;&gt;"",'Rework Cutter Entry'!C240,"")</f>
        <v/>
      </c>
      <c r="D16" s="776" t="str">
        <f>IF('Rework Cutter Entry'!D240&lt;&gt;"",'Rework Cutter Entry'!D240,"")</f>
        <v/>
      </c>
      <c r="E16" s="776" t="str">
        <f>IF('Rework Cutter Entry'!E240&lt;&gt;"",'Rework Cutter Entry'!E240,"")</f>
        <v/>
      </c>
      <c r="F16" s="776" t="str">
        <f>IF('Rework Cutter Entry'!F240&lt;&gt;"",'Rework Cutter Entry'!F240,"")</f>
        <v/>
      </c>
      <c r="G16" s="776" t="str">
        <f>IF('Rework Cutter Entry'!G240&lt;&gt;"",'Rework Cutter Entry'!G240,"")</f>
        <v/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/>
      </c>
      <c r="M16" s="776" t="str">
        <f>IF('Rework Cutter Entry'!M240&lt;&gt;"",'Rework Cutter Entry'!M240,"")</f>
        <v/>
      </c>
      <c r="N16" s="776" t="str">
        <f>IF('Rework Cutter Entry'!N240&lt;&gt;"",'Rework Cutter Entry'!N240,"")</f>
        <v/>
      </c>
      <c r="O16" s="776" t="str">
        <f>IF('Rework Cutter Entry'!O240&lt;&gt;"",'Rework Cutter Entry'!O240,"")</f>
        <v/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25">
      <c r="A17" s="2247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25">
      <c r="A18" s="2247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3">
      <c r="A19" s="2248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3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3">
      <c r="A21" s="1629" t="s">
        <v>20</v>
      </c>
      <c r="B21" s="1629"/>
      <c r="C21" s="1629"/>
      <c r="D21" s="2317">
        <f>IF(COUNTIF($C$11:$AJ$19,"*R*"),COUNTIF($C$11:$AJ$19,"*R*"),0)</f>
        <v>0</v>
      </c>
      <c r="E21" s="2318"/>
      <c r="F21" s="1629" t="s">
        <v>968</v>
      </c>
      <c r="G21" s="1629"/>
      <c r="H21" s="1629"/>
      <c r="I21" s="1856">
        <f>IF(COUNTIF($C$11:$AJ$19,"*S*"),COUNTIF($C$11:$AJ$19,"*S*"),0)</f>
        <v>0</v>
      </c>
      <c r="J21" s="1858"/>
      <c r="K21" s="1629" t="s">
        <v>969</v>
      </c>
      <c r="L21" s="1629"/>
      <c r="M21" s="1629"/>
      <c r="N21" s="2317">
        <f>IF(COUNTIF($C$11:$AJ$19,"*O*"),COUNTIF($C$11:$AJ$19,"*O*"),0)</f>
        <v>33</v>
      </c>
      <c r="O21" s="2318"/>
      <c r="P21" s="1629" t="s">
        <v>970</v>
      </c>
      <c r="Q21" s="1629"/>
      <c r="R21" s="1629"/>
      <c r="S21" s="1856">
        <f>IF(COUNTIF($C$11:$AJ$19,"*F*"),COUNTIF($C$11:$AJ$19,"*F*"),0)</f>
        <v>0</v>
      </c>
      <c r="T21" s="1858"/>
      <c r="U21" s="1629" t="s">
        <v>971</v>
      </c>
      <c r="V21" s="1629"/>
      <c r="W21" s="1629"/>
      <c r="X21" s="1629"/>
      <c r="Y21" s="2317">
        <f>SUM(D28+D29+D30+D31+D32+D33+D34)</f>
        <v>0</v>
      </c>
      <c r="Z21" s="2318"/>
      <c r="AB21" s="2319" t="s">
        <v>21</v>
      </c>
      <c r="AC21" s="2319"/>
      <c r="AD21" s="1856">
        <f>SUM(D21+I21+N21+S21+Y21)</f>
        <v>33</v>
      </c>
      <c r="AE21" s="1858"/>
    </row>
    <row r="22" spans="1:36" ht="4.5" customHeight="1" thickBot="1" x14ac:dyDescent="0.3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25">
      <c r="A23" s="1875" t="s">
        <v>19</v>
      </c>
      <c r="B23" s="1785"/>
      <c r="C23" s="1785"/>
      <c r="D23" s="1849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49"/>
      <c r="F23" s="1849"/>
      <c r="G23" s="1849"/>
      <c r="H23" s="1849"/>
      <c r="I23" s="1849"/>
      <c r="J23" s="1849"/>
      <c r="K23" s="1849"/>
      <c r="L23" s="1849"/>
      <c r="M23" s="1849"/>
      <c r="N23" s="1849"/>
      <c r="O23" s="1849"/>
      <c r="P23" s="1849"/>
      <c r="Q23" s="1849"/>
      <c r="R23" s="1849"/>
      <c r="S23" s="1849"/>
      <c r="T23" s="1849"/>
      <c r="U23" s="1849"/>
      <c r="V23" s="1849"/>
      <c r="W23" s="1849"/>
      <c r="X23" s="1849"/>
      <c r="Y23" s="1849"/>
      <c r="Z23" s="1849"/>
      <c r="AA23" s="1849"/>
      <c r="AB23" s="1849"/>
      <c r="AC23" s="1849"/>
      <c r="AD23" s="1849"/>
      <c r="AE23" s="1849"/>
      <c r="AF23" s="1849"/>
      <c r="AG23" s="1849"/>
      <c r="AH23" s="1849"/>
      <c r="AI23" s="1849"/>
      <c r="AJ23" s="1850"/>
    </row>
    <row r="24" spans="1:36" ht="14.25" customHeight="1" thickBot="1" x14ac:dyDescent="0.3">
      <c r="A24" s="1496" t="str">
        <f>IF(Instructions!$L$1&lt;&gt;"",Instructions!$L$1,"")</f>
        <v/>
      </c>
      <c r="B24" s="1497"/>
      <c r="C24" s="1497"/>
      <c r="D24" s="1852"/>
      <c r="E24" s="1852"/>
      <c r="F24" s="1852"/>
      <c r="G24" s="1852"/>
      <c r="H24" s="1852"/>
      <c r="I24" s="1852"/>
      <c r="J24" s="1852"/>
      <c r="K24" s="1852"/>
      <c r="L24" s="1852"/>
      <c r="M24" s="1852"/>
      <c r="N24" s="1852"/>
      <c r="O24" s="1852"/>
      <c r="P24" s="1852"/>
      <c r="Q24" s="1852"/>
      <c r="R24" s="1852"/>
      <c r="S24" s="1852"/>
      <c r="T24" s="1852"/>
      <c r="U24" s="1852"/>
      <c r="V24" s="1852"/>
      <c r="W24" s="1852"/>
      <c r="X24" s="1852"/>
      <c r="Y24" s="1852"/>
      <c r="Z24" s="1852"/>
      <c r="AA24" s="1852"/>
      <c r="AB24" s="1852"/>
      <c r="AC24" s="1852"/>
      <c r="AD24" s="1852"/>
      <c r="AE24" s="1852"/>
      <c r="AF24" s="1852"/>
      <c r="AG24" s="1852"/>
      <c r="AH24" s="1852"/>
      <c r="AI24" s="1852"/>
      <c r="AJ24" s="1853"/>
    </row>
    <row r="25" spans="1:36" ht="14.25" customHeight="1" thickBot="1" x14ac:dyDescent="0.3">
      <c r="A25" s="2322" t="s">
        <v>39</v>
      </c>
      <c r="B25" s="2323"/>
      <c r="C25" s="2323"/>
      <c r="D25" s="2323"/>
      <c r="E25" s="2323"/>
      <c r="F25" s="2323"/>
      <c r="G25" s="2323"/>
      <c r="H25" s="2323"/>
      <c r="I25" s="2323"/>
      <c r="J25" s="2323"/>
      <c r="K25" s="2323"/>
      <c r="L25" s="2323"/>
      <c r="M25" s="2323"/>
      <c r="N25" s="2323"/>
      <c r="O25" s="2323"/>
      <c r="P25" s="2323"/>
      <c r="Q25" s="2323"/>
      <c r="R25" s="2323"/>
      <c r="S25" s="2323"/>
      <c r="T25" s="2323"/>
      <c r="U25" s="2323"/>
      <c r="V25" s="2323"/>
      <c r="W25" s="2323"/>
      <c r="X25" s="2323"/>
      <c r="Y25" s="2323"/>
      <c r="Z25" s="2323"/>
      <c r="AA25" s="2323"/>
      <c r="AB25" s="2323"/>
      <c r="AC25" s="2323"/>
      <c r="AD25" s="2323"/>
      <c r="AE25" s="2323"/>
      <c r="AF25" s="2323"/>
      <c r="AG25" s="2323"/>
      <c r="AH25" s="2323"/>
      <c r="AI25" s="2323"/>
      <c r="AJ25" s="2324"/>
    </row>
    <row r="26" spans="1:36" ht="7.5" customHeight="1" x14ac:dyDescent="0.25">
      <c r="A26" s="1659" t="s">
        <v>108</v>
      </c>
      <c r="B26" s="1657"/>
      <c r="C26" s="1657"/>
      <c r="D26" s="1657" t="s">
        <v>40</v>
      </c>
      <c r="E26" s="1657"/>
      <c r="F26" s="1657"/>
      <c r="G26" s="1657"/>
      <c r="H26" s="1657" t="s">
        <v>41</v>
      </c>
      <c r="I26" s="1657"/>
      <c r="J26" s="1657"/>
      <c r="K26" s="1657"/>
      <c r="L26" s="1657"/>
      <c r="M26" s="1657" t="s">
        <v>730</v>
      </c>
      <c r="N26" s="1657"/>
      <c r="O26" s="1657"/>
      <c r="P26" s="1657"/>
      <c r="Q26" s="1657"/>
      <c r="R26" s="1657" t="s">
        <v>43</v>
      </c>
      <c r="S26" s="1657"/>
      <c r="T26" s="1657"/>
      <c r="U26" s="1657"/>
      <c r="V26" s="1657"/>
      <c r="W26" s="1657"/>
      <c r="X26" s="1657"/>
      <c r="Y26" s="1661" t="s">
        <v>44</v>
      </c>
      <c r="Z26" s="1661"/>
      <c r="AA26" s="1661"/>
      <c r="AB26" s="1661"/>
      <c r="AC26" s="1661"/>
      <c r="AD26" s="1661"/>
      <c r="AE26" s="1661"/>
      <c r="AF26" s="1661"/>
      <c r="AG26" s="1661"/>
      <c r="AH26" s="1661"/>
      <c r="AI26" s="1661"/>
      <c r="AJ26" s="1662"/>
    </row>
    <row r="27" spans="1:36" ht="7.5" customHeight="1" x14ac:dyDescent="0.25">
      <c r="A27" s="1660"/>
      <c r="B27" s="1658"/>
      <c r="C27" s="1658"/>
      <c r="D27" s="1658"/>
      <c r="E27" s="1658"/>
      <c r="F27" s="1658"/>
      <c r="G27" s="1658"/>
      <c r="H27" s="1658"/>
      <c r="I27" s="1658"/>
      <c r="J27" s="1658"/>
      <c r="K27" s="1658"/>
      <c r="L27" s="1658"/>
      <c r="M27" s="1658"/>
      <c r="N27" s="1658"/>
      <c r="O27" s="1658"/>
      <c r="P27" s="1658"/>
      <c r="Q27" s="1658"/>
      <c r="R27" s="1658"/>
      <c r="S27" s="1658"/>
      <c r="T27" s="1658"/>
      <c r="U27" s="1658"/>
      <c r="V27" s="1658"/>
      <c r="W27" s="1658"/>
      <c r="X27" s="1658"/>
      <c r="Y27" s="1463"/>
      <c r="Z27" s="1463"/>
      <c r="AA27" s="1463"/>
      <c r="AB27" s="1463"/>
      <c r="AC27" s="1463"/>
      <c r="AD27" s="1463"/>
      <c r="AE27" s="1463"/>
      <c r="AF27" s="1463"/>
      <c r="AG27" s="1463"/>
      <c r="AH27" s="1463"/>
      <c r="AI27" s="1463"/>
      <c r="AJ27" s="1663"/>
    </row>
    <row r="28" spans="1:36" ht="12.75" customHeight="1" x14ac:dyDescent="0.25">
      <c r="A28" s="1427">
        <f>IF(TRIM(M28)="","",IF(Data!CX60&gt;0,IF(Data!CX60&lt;&gt;"", Data!CX60, " ")," "))</f>
        <v>1</v>
      </c>
      <c r="B28" s="1420"/>
      <c r="C28" s="1420"/>
      <c r="D28" s="1775">
        <f>IF(COUNTIF($C$11:$AJ$19,"*X*1*"),COUNTIF($C$11:$AJ$19,"*X*1*"),0)+IF(COUNTIF($C$11:$AJ$19,"*L*1*"),COUNTIF($C$11:$AJ$19,"*L*1*"),0)</f>
        <v>0</v>
      </c>
      <c r="E28" s="1775"/>
      <c r="F28" s="1775"/>
      <c r="G28" s="1775"/>
      <c r="H28" s="1775">
        <f>IF(Data!GK2&gt;0,IF(Data!GK2&lt;&gt;"",Data!GK2," ")," ")</f>
        <v>1313</v>
      </c>
      <c r="I28" s="1775"/>
      <c r="J28" s="1775"/>
      <c r="K28" s="1775"/>
      <c r="L28" s="1775"/>
      <c r="M28" s="1775">
        <f>IF(Data!GG2&gt;0,IF(Data!GG2&lt;&gt;"",IF(Data!GG2&lt;&gt;"Add the cutter in list",Data!GG2," ")," "),"")</f>
        <v>1145493</v>
      </c>
      <c r="N28" s="1775"/>
      <c r="O28" s="1775"/>
      <c r="P28" s="1775"/>
      <c r="Q28" s="1775"/>
      <c r="R28" s="1775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CT427  0.010"</v>
      </c>
      <c r="S28" s="1775"/>
      <c r="T28" s="1775"/>
      <c r="U28" s="1775"/>
      <c r="V28" s="1775"/>
      <c r="W28" s="1775"/>
      <c r="X28" s="1775"/>
      <c r="Y28" s="1775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75"/>
      <c r="AA28" s="1775"/>
      <c r="AB28" s="1775"/>
      <c r="AC28" s="1775"/>
      <c r="AD28" s="1775"/>
      <c r="AE28" s="1775"/>
      <c r="AF28" s="1775"/>
      <c r="AG28" s="1775"/>
      <c r="AH28" s="1775"/>
      <c r="AI28" s="1775"/>
      <c r="AJ28" s="2268"/>
    </row>
    <row r="29" spans="1:36" ht="12.75" customHeight="1" x14ac:dyDescent="0.25">
      <c r="A29" s="1427">
        <f>IF(TRIM(M29)="","",IF(Data!CX61&gt;0,IF(Data!CX61&lt;&gt;"", Data!CX61, " ")," "))</f>
        <v>2</v>
      </c>
      <c r="B29" s="1420"/>
      <c r="C29" s="1420"/>
      <c r="D29" s="1775">
        <f>IF(COUNTIF($C$11:$AJ$19,"*X*2*"),COUNTIF($C$11:$AJ$19,"*X*2*"),0)+IF(COUNTIF($C$11:$AJ$19,"*L*2*"),COUNTIF($C$11:$AJ$19,"*L*2*"),0)</f>
        <v>0</v>
      </c>
      <c r="E29" s="1775"/>
      <c r="F29" s="1775"/>
      <c r="G29" s="1775"/>
      <c r="H29" s="1775">
        <f>IF(Data!GK3&gt;0,IF(Data!GK3&lt;&gt;"",Data!GK3," ")," ")</f>
        <v>1308</v>
      </c>
      <c r="I29" s="1775"/>
      <c r="J29" s="1775"/>
      <c r="K29" s="1775"/>
      <c r="L29" s="1775"/>
      <c r="M29" s="1775">
        <f>IF(Data!GG3&gt;0,IF(Data!GG3&lt;&gt;"",IF(Data!GG3&lt;&gt;"Add the cutter in list",Data!GG3," ")," "),"")</f>
        <v>418525</v>
      </c>
      <c r="N29" s="1775"/>
      <c r="O29" s="1775"/>
      <c r="P29" s="1775"/>
      <c r="Q29" s="1775"/>
      <c r="R29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S29" s="1775"/>
      <c r="T29" s="1775"/>
      <c r="U29" s="1775"/>
      <c r="V29" s="1775"/>
      <c r="W29" s="1775"/>
      <c r="X29" s="1775"/>
      <c r="Y29" s="1775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75"/>
      <c r="AA29" s="1775"/>
      <c r="AB29" s="1775"/>
      <c r="AC29" s="1775"/>
      <c r="AD29" s="1775"/>
      <c r="AE29" s="1775"/>
      <c r="AF29" s="1775"/>
      <c r="AG29" s="1775"/>
      <c r="AH29" s="1775"/>
      <c r="AI29" s="1775"/>
      <c r="AJ29" s="2268"/>
    </row>
    <row r="30" spans="1:36" ht="12.75" customHeight="1" x14ac:dyDescent="0.25">
      <c r="A30" s="1427">
        <f>IF(TRIM(M30)="","",IF(Data!CX62&gt;0,IF(Data!CX62&lt;&gt;"", Data!CX62, " ")," "))</f>
        <v>3</v>
      </c>
      <c r="B30" s="1420"/>
      <c r="C30" s="1420"/>
      <c r="D30" s="1775">
        <f>IF(COUNTIF($C$11:$AJ$19,"*X*3*"),COUNTIF($C$11:$AJ$19,"*X*3*"),0)+IF(COUNTIF($C$11:$AJ$19,"*L*3*"),COUNTIF($C$11:$AJ$19,"*L*3*"),0)</f>
        <v>0</v>
      </c>
      <c r="E30" s="1775"/>
      <c r="F30" s="1775"/>
      <c r="G30" s="1775"/>
      <c r="H30" s="1775">
        <f>IF(Data!GK4&gt;0,IF(Data!GK4&lt;&gt;"",Data!GK4," ")," ")</f>
        <v>1313</v>
      </c>
      <c r="I30" s="1775"/>
      <c r="J30" s="1775"/>
      <c r="K30" s="1775"/>
      <c r="L30" s="1775"/>
      <c r="M30" s="1775">
        <f>IF(Data!GG4&gt;0,IF(Data!GG4&lt;&gt;"",IF(Data!GG4&lt;&gt;"Add the cutter in list",Data!GG4," ")," "),"")</f>
        <v>1209332</v>
      </c>
      <c r="N30" s="1775"/>
      <c r="O30" s="1775"/>
      <c r="P30" s="1775"/>
      <c r="Q30" s="1775"/>
      <c r="R30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CT147G  U</v>
      </c>
      <c r="S30" s="1775"/>
      <c r="T30" s="1775"/>
      <c r="U30" s="1775"/>
      <c r="V30" s="1775"/>
      <c r="W30" s="1775"/>
      <c r="X30" s="1775"/>
      <c r="Y30" s="1775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75"/>
      <c r="AA30" s="1775"/>
      <c r="AB30" s="1775"/>
      <c r="AC30" s="1775"/>
      <c r="AD30" s="1775"/>
      <c r="AE30" s="1775"/>
      <c r="AF30" s="1775"/>
      <c r="AG30" s="1775"/>
      <c r="AH30" s="1775"/>
      <c r="AI30" s="1775"/>
      <c r="AJ30" s="2268"/>
    </row>
    <row r="31" spans="1:36" ht="12.75" customHeight="1" x14ac:dyDescent="0.25">
      <c r="A31" s="1427">
        <f>IF(TRIM(M31)="","",IF(Data!CX63&gt;0,IF(Data!CX63&lt;&gt;"", Data!CX63, " ")," "))</f>
        <v>4</v>
      </c>
      <c r="B31" s="1420"/>
      <c r="C31" s="1420"/>
      <c r="D31" s="1775">
        <f>IF(COUNTIF($C$11:$AJ$19,"*X*4*"),COUNTIF($C$11:$AJ$19,"*X*4*"),0)+IF(COUNTIF($C$11:$AJ$19,"*L*4*"),COUNTIF($C$11:$AJ$19,"*L*4*"),0)</f>
        <v>0</v>
      </c>
      <c r="E31" s="1775"/>
      <c r="F31" s="1775"/>
      <c r="G31" s="1775"/>
      <c r="H31" s="1775">
        <f>IF(Data!GK5&gt;0,IF(Data!GK5&lt;&gt;"",Data!GK5," ")," ")</f>
        <v>1313</v>
      </c>
      <c r="I31" s="1775"/>
      <c r="J31" s="1775"/>
      <c r="K31" s="1775"/>
      <c r="L31" s="1775"/>
      <c r="M31" s="1775">
        <f>IF(Data!GG5&gt;0,IF(Data!GG5&lt;&gt;"",IF(Data!GG5&lt;&gt;"Add the cutter in list",Data!GG5," ")," "),"")</f>
        <v>1146346</v>
      </c>
      <c r="N31" s="1775"/>
      <c r="O31" s="1775"/>
      <c r="P31" s="1775"/>
      <c r="Q31" s="1775"/>
      <c r="R31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CT418  18C-60</v>
      </c>
      <c r="S31" s="1775"/>
      <c r="T31" s="1775"/>
      <c r="U31" s="1775"/>
      <c r="V31" s="1775"/>
      <c r="W31" s="1775"/>
      <c r="X31" s="1775"/>
      <c r="Y31" s="1775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Z31" s="1775"/>
      <c r="AA31" s="1775"/>
      <c r="AB31" s="1775"/>
      <c r="AC31" s="1775"/>
      <c r="AD31" s="1775"/>
      <c r="AE31" s="1775"/>
      <c r="AF31" s="1775"/>
      <c r="AG31" s="1775"/>
      <c r="AH31" s="1775"/>
      <c r="AI31" s="1775"/>
      <c r="AJ31" s="2268"/>
    </row>
    <row r="32" spans="1:36" ht="12.75" customHeight="1" x14ac:dyDescent="0.25">
      <c r="A32" s="1427">
        <f>IF(TRIM(M32)="","",IF(Data!CX64&gt;0,IF(Data!CX64&lt;&gt;"", Data!CX64, " ")," "))</f>
        <v>5</v>
      </c>
      <c r="B32" s="1420"/>
      <c r="C32" s="1420"/>
      <c r="D32" s="1775">
        <f>IF(COUNTIF($C$11:$AJ$19,"*X*5*"),COUNTIF($C$11:$AJ$19,"*X*5*"),0)+IF(COUNTIF($C$11:$AJ$19,"*L*5*"),COUNTIF($C$11:$AJ$19,"*L*5*"),0)</f>
        <v>0</v>
      </c>
      <c r="E32" s="1775"/>
      <c r="F32" s="1775"/>
      <c r="G32" s="1775"/>
      <c r="H32" s="1775">
        <f>IF(Data!GK6&gt;0,IF(Data!GK6&lt;&gt;"",Data!GK6," ")," ")</f>
        <v>1313</v>
      </c>
      <c r="I32" s="1775"/>
      <c r="J32" s="1775"/>
      <c r="K32" s="1775"/>
      <c r="L32" s="1775"/>
      <c r="M32" s="1775">
        <f>IF(Data!GG6&gt;0,IF(Data!GG6&lt;&gt;"",IF(Data!GG6&lt;&gt;"Add the cutter in list",Data!GG6," ")," "),"")</f>
        <v>2001155</v>
      </c>
      <c r="N32" s="1775"/>
      <c r="O32" s="1775"/>
      <c r="P32" s="1775"/>
      <c r="Q32" s="1775"/>
      <c r="R32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CT179T  U-60</v>
      </c>
      <c r="S32" s="1775"/>
      <c r="T32" s="1775"/>
      <c r="U32" s="1775"/>
      <c r="V32" s="1775"/>
      <c r="W32" s="1775"/>
      <c r="X32" s="1775"/>
      <c r="Y32" s="1775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>To Replace Cutter # 3</v>
      </c>
      <c r="Z32" s="1775"/>
      <c r="AA32" s="1775"/>
      <c r="AB32" s="1775"/>
      <c r="AC32" s="1775"/>
      <c r="AD32" s="1775"/>
      <c r="AE32" s="1775"/>
      <c r="AF32" s="1775"/>
      <c r="AG32" s="1775"/>
      <c r="AH32" s="1775"/>
      <c r="AI32" s="1775"/>
      <c r="AJ32" s="2268"/>
    </row>
    <row r="33" spans="1:44" ht="12.75" customHeight="1" x14ac:dyDescent="0.25">
      <c r="A33" s="1427" t="str">
        <f>IF(TRIM(M33)="","",IF(Data!CX65&gt;0,IF(Data!CX65&lt;&gt;"", Data!CX65, " ")," "))</f>
        <v/>
      </c>
      <c r="B33" s="1420"/>
      <c r="C33" s="1420"/>
      <c r="D33" s="1775">
        <f>IF(COUNTIF($C$11:$AJ$19,"*X*6*"),COUNTIF($C$11:$AJ$19,"*X*6*"),0)+IF(COUNTIF($C$11:$AJ$19,"*L*6*"),COUNTIF($C$11:$AJ$19,"*L*6*"),0)</f>
        <v>0</v>
      </c>
      <c r="E33" s="1775"/>
      <c r="F33" s="1775"/>
      <c r="G33" s="1775"/>
      <c r="H33" s="1775" t="str">
        <f>IF(Data!GK7&gt;0,IF(Data!GK7&lt;&gt;"",Data!GK7," ")," ")</f>
        <v xml:space="preserve"> </v>
      </c>
      <c r="I33" s="1775"/>
      <c r="J33" s="1775"/>
      <c r="K33" s="1775"/>
      <c r="L33" s="1775"/>
      <c r="M33" s="1775" t="str">
        <f>IF(Data!GG7&gt;0,IF(Data!GG7&lt;&gt;"",IF(Data!GG7&lt;&gt;"Add the cutter in list",Data!GG7," ")," "),"")</f>
        <v xml:space="preserve"> </v>
      </c>
      <c r="N33" s="1775"/>
      <c r="O33" s="1775"/>
      <c r="P33" s="1775"/>
      <c r="Q33" s="1775"/>
      <c r="R33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75"/>
      <c r="T33" s="1775"/>
      <c r="U33" s="1775"/>
      <c r="V33" s="1775"/>
      <c r="W33" s="1775"/>
      <c r="X33" s="1775"/>
      <c r="Y33" s="1775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75"/>
      <c r="AA33" s="1775"/>
      <c r="AB33" s="1775"/>
      <c r="AC33" s="1775"/>
      <c r="AD33" s="1775"/>
      <c r="AE33" s="1775"/>
      <c r="AF33" s="1775"/>
      <c r="AG33" s="1775"/>
      <c r="AH33" s="1775"/>
      <c r="AI33" s="1775"/>
      <c r="AJ33" s="2268"/>
    </row>
    <row r="34" spans="1:44" ht="12.75" customHeight="1" x14ac:dyDescent="0.25">
      <c r="A34" s="1427" t="str">
        <f>IF(TRIM(M34)="","",IF(Data!CX66&gt;0,IF(Data!CX66&lt;&gt;"", Data!CX66, " ")," "))</f>
        <v/>
      </c>
      <c r="B34" s="1420"/>
      <c r="C34" s="1420"/>
      <c r="D34" s="1775">
        <f>IF(COUNTIF($C$11:$AJ$19,"*X*7*"),COUNTIF($C$11:$AJ$19,"*X*7*"),0)+IF(COUNTIF($C$11:$AJ$19,"*L*7*"),COUNTIF($C$11:$AJ$19,"*L*7*"),0)</f>
        <v>0</v>
      </c>
      <c r="E34" s="1775"/>
      <c r="F34" s="1775"/>
      <c r="G34" s="1775"/>
      <c r="H34" s="1775" t="str">
        <f>IF(Data!GK8&gt;0,IF(Data!GK8&lt;&gt;"",Data!GK8," ")," ")</f>
        <v xml:space="preserve"> </v>
      </c>
      <c r="I34" s="1775"/>
      <c r="J34" s="1775"/>
      <c r="K34" s="1775"/>
      <c r="L34" s="1775"/>
      <c r="M34" s="1775" t="str">
        <f>IF(Data!GG8&gt;0,IF(Data!GG8&lt;&gt;"",IF(Data!GG8&lt;&gt;"Add the cutter in list",Data!GG8," ")," "),"")</f>
        <v xml:space="preserve"> </v>
      </c>
      <c r="N34" s="1775"/>
      <c r="O34" s="1775"/>
      <c r="P34" s="1775"/>
      <c r="Q34" s="1775"/>
      <c r="R34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75"/>
      <c r="T34" s="1775"/>
      <c r="U34" s="1775"/>
      <c r="V34" s="1775"/>
      <c r="W34" s="1775"/>
      <c r="X34" s="1775"/>
      <c r="Y34" s="1775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75"/>
      <c r="AA34" s="1775"/>
      <c r="AB34" s="1775"/>
      <c r="AC34" s="1775"/>
      <c r="AD34" s="1775"/>
      <c r="AE34" s="1775"/>
      <c r="AF34" s="1775"/>
      <c r="AG34" s="1775"/>
      <c r="AH34" s="1775"/>
      <c r="AI34" s="1775"/>
      <c r="AJ34" s="2268"/>
    </row>
    <row r="35" spans="1:44" ht="12.75" customHeight="1" x14ac:dyDescent="0.25">
      <c r="A35" s="1427" t="str">
        <f>IF(TRIM(M35)="","",IF(Data!CX67&gt;0,IF(Data!CX67&lt;&gt;"", Data!CX67, " ")," "))</f>
        <v/>
      </c>
      <c r="B35" s="1420"/>
      <c r="C35" s="1420"/>
      <c r="D35" s="1775">
        <f>IF(COUNTIF($C$11:$AJ$19,"*X*8*"),COUNTIF($C$11:$AJ$19,"*X*8*"),0)+IF(COUNTIF($C$11:$AJ$19,"*L*8*"),COUNTIF($C$11:$AJ$19,"*L*8*"),0)</f>
        <v>0</v>
      </c>
      <c r="E35" s="1775"/>
      <c r="F35" s="1775"/>
      <c r="G35" s="1775"/>
      <c r="H35" s="1775" t="str">
        <f>IF(Data!GK9&gt;0,IF(Data!GK9&lt;&gt;"",Data!GK9," ")," ")</f>
        <v xml:space="preserve"> </v>
      </c>
      <c r="I35" s="1775"/>
      <c r="J35" s="1775"/>
      <c r="K35" s="1775"/>
      <c r="L35" s="1775"/>
      <c r="M35" s="1775" t="str">
        <f>IF(Data!GG9&gt;0,IF(Data!GG9&lt;&gt;"",IF(Data!GG9&lt;&gt;"Add the cutter in list",Data!GG9," ")," "),"")</f>
        <v xml:space="preserve"> </v>
      </c>
      <c r="N35" s="1775"/>
      <c r="O35" s="1775"/>
      <c r="P35" s="1775"/>
      <c r="Q35" s="1775"/>
      <c r="R35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75"/>
      <c r="T35" s="1775"/>
      <c r="U35" s="1775"/>
      <c r="V35" s="1775"/>
      <c r="W35" s="1775"/>
      <c r="X35" s="1775"/>
      <c r="Y35" s="1775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75"/>
      <c r="AA35" s="1775"/>
      <c r="AB35" s="1775"/>
      <c r="AC35" s="1775"/>
      <c r="AD35" s="1775"/>
      <c r="AE35" s="1775"/>
      <c r="AF35" s="1775"/>
      <c r="AG35" s="1775"/>
      <c r="AH35" s="1775"/>
      <c r="AI35" s="1775"/>
      <c r="AJ35" s="2268"/>
    </row>
    <row r="36" spans="1:44" ht="12.75" customHeight="1" x14ac:dyDescent="0.25">
      <c r="A36" s="1427" t="str">
        <f>IF(TRIM(M36)="","",IF(Data!CX68&gt;0,IF(Data!CX68&lt;&gt;"", Data!CX68, " ")," "))</f>
        <v/>
      </c>
      <c r="B36" s="1420"/>
      <c r="C36" s="1420"/>
      <c r="D36" s="1775">
        <f>IF(COUNTIF($C$11:$AJ$19,"*X*9*"),COUNTIF($C$11:$AJ$19,"*X*9*"),0)+IF(COUNTIF($C$11:$AJ$19,"*L*9*"),COUNTIF($C$11:$AJ$19,"*L*9*"),0)</f>
        <v>0</v>
      </c>
      <c r="E36" s="1775"/>
      <c r="F36" s="1775"/>
      <c r="G36" s="1775"/>
      <c r="H36" s="1775" t="str">
        <f>IF(Data!GK10&gt;0,IF(Data!GK10&lt;&gt;"",Data!GK10," ")," ")</f>
        <v xml:space="preserve"> </v>
      </c>
      <c r="I36" s="1775"/>
      <c r="J36" s="1775"/>
      <c r="K36" s="1775"/>
      <c r="L36" s="1775"/>
      <c r="M36" s="1775" t="str">
        <f>IF(Data!GG10&gt;0,IF(Data!GG10&lt;&gt;"",IF(Data!GG10&lt;&gt;"Add the cutter in list",Data!GG10," ")," "),"")</f>
        <v xml:space="preserve"> </v>
      </c>
      <c r="N36" s="1775"/>
      <c r="O36" s="1775"/>
      <c r="P36" s="1775"/>
      <c r="Q36" s="1775"/>
      <c r="R36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75"/>
      <c r="T36" s="1775"/>
      <c r="U36" s="1775"/>
      <c r="V36" s="1775"/>
      <c r="W36" s="1775"/>
      <c r="X36" s="1775"/>
      <c r="Y36" s="1775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75"/>
      <c r="AA36" s="1775"/>
      <c r="AB36" s="1775"/>
      <c r="AC36" s="1775"/>
      <c r="AD36" s="1775"/>
      <c r="AE36" s="1775"/>
      <c r="AF36" s="1775"/>
      <c r="AG36" s="1775"/>
      <c r="AH36" s="1775"/>
      <c r="AI36" s="1775"/>
      <c r="AJ36" s="2268"/>
    </row>
    <row r="37" spans="1:44" ht="12.75" customHeight="1" thickBot="1" x14ac:dyDescent="0.3">
      <c r="A37" s="1427" t="str">
        <f>IF(TRIM(M37)="","",IF(Data!CX69&gt;0,IF(Data!CX69&lt;&gt;"", Data!CX69, " ")," "))</f>
        <v/>
      </c>
      <c r="B37" s="1420"/>
      <c r="C37" s="1420"/>
      <c r="D37" s="1823">
        <f>IF(COUNTIF($C$11:$X$19,"*X*10*"),COUNTIF($C$11:$X$19,"*X*10*"),0)+IF(COUNTIF($C$11:$X$19,"*L*10*"),COUNTIF($C$11:$X$19,"*L*10*"),0)</f>
        <v>0</v>
      </c>
      <c r="E37" s="1823"/>
      <c r="F37" s="1823"/>
      <c r="G37" s="1823"/>
      <c r="H37" s="1775" t="str">
        <f>IF(Data!GK11&gt;0,IF(Data!GK11&lt;&gt;"",Data!GK11," ")," ")</f>
        <v xml:space="preserve"> </v>
      </c>
      <c r="I37" s="1775"/>
      <c r="J37" s="1775"/>
      <c r="K37" s="1775"/>
      <c r="L37" s="1775"/>
      <c r="M37" s="1775" t="str">
        <f>IF(Data!GG11&gt;0,IF(Data!GG11&lt;&gt;"",IF(Data!GG11&lt;&gt;"Add the cutter in list",Data!GG11," ")," "),"")</f>
        <v xml:space="preserve"> </v>
      </c>
      <c r="N37" s="1775"/>
      <c r="O37" s="1775"/>
      <c r="P37" s="1775"/>
      <c r="Q37" s="1775"/>
      <c r="R37" s="177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75"/>
      <c r="T37" s="1775"/>
      <c r="U37" s="1775"/>
      <c r="V37" s="1775"/>
      <c r="W37" s="1775"/>
      <c r="X37" s="1775"/>
      <c r="Y37" s="1775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75"/>
      <c r="AA37" s="1775"/>
      <c r="AB37" s="1775"/>
      <c r="AC37" s="1775"/>
      <c r="AD37" s="1775"/>
      <c r="AE37" s="1775"/>
      <c r="AF37" s="1775"/>
      <c r="AG37" s="1775"/>
      <c r="AH37" s="1775"/>
      <c r="AI37" s="1775"/>
      <c r="AJ37" s="2268"/>
    </row>
    <row r="38" spans="1:44" ht="3" customHeight="1" x14ac:dyDescent="0.2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3">
      <c r="A39" s="2325" t="s">
        <v>1121</v>
      </c>
      <c r="B39" s="2326"/>
      <c r="C39" s="2326"/>
      <c r="D39" s="2326"/>
      <c r="E39" s="2326"/>
      <c r="F39" s="2326"/>
      <c r="G39" s="2326"/>
      <c r="H39" s="2326"/>
      <c r="I39" s="2326"/>
      <c r="J39" s="2326"/>
      <c r="K39" s="2326"/>
      <c r="L39" s="2326"/>
      <c r="M39" s="2326"/>
      <c r="N39" s="2326"/>
      <c r="O39" s="2326"/>
      <c r="P39" s="2326"/>
      <c r="Q39" s="2326"/>
      <c r="R39" s="2326"/>
      <c r="S39" s="2326"/>
      <c r="T39" s="2326"/>
      <c r="U39" s="2326"/>
      <c r="V39" s="2326"/>
      <c r="W39" s="2326"/>
      <c r="X39" s="2326"/>
      <c r="Y39" s="2326"/>
      <c r="Z39" s="2326"/>
      <c r="AA39" s="2326"/>
      <c r="AB39" s="2326"/>
      <c r="AC39" s="2326"/>
      <c r="AD39" s="2326"/>
      <c r="AE39" s="2326"/>
      <c r="AF39" s="2326"/>
      <c r="AG39" s="2326"/>
      <c r="AH39" s="2326"/>
      <c r="AI39" s="2326"/>
      <c r="AJ39" s="2327"/>
    </row>
    <row r="40" spans="1:44" s="439" customFormat="1" ht="14.25" customHeight="1" x14ac:dyDescent="0.25">
      <c r="A40" s="2281" t="s">
        <v>1036</v>
      </c>
      <c r="B40" s="2282"/>
      <c r="C40" s="2282"/>
      <c r="D40" s="2282"/>
      <c r="E40" s="2282"/>
      <c r="F40" s="2282"/>
      <c r="G40" s="2282"/>
      <c r="H40" s="1801" t="s">
        <v>54</v>
      </c>
      <c r="I40" s="1801"/>
      <c r="J40" s="1801"/>
      <c r="K40" s="1801"/>
      <c r="L40" s="1801"/>
      <c r="M40" s="1801"/>
      <c r="N40" s="1801" t="s">
        <v>1035</v>
      </c>
      <c r="O40" s="1801"/>
      <c r="P40" s="1801"/>
      <c r="Q40" s="1801"/>
      <c r="R40" s="1801"/>
      <c r="S40" s="1801"/>
      <c r="T40" s="2328" t="s">
        <v>56</v>
      </c>
      <c r="U40" s="2328"/>
      <c r="V40" s="2328"/>
      <c r="W40" s="2328"/>
      <c r="X40" s="2329"/>
      <c r="Y40" s="1848" t="s">
        <v>952</v>
      </c>
      <c r="Z40" s="1849"/>
      <c r="AA40" s="1849"/>
      <c r="AB40" s="1849"/>
      <c r="AC40" s="1854"/>
      <c r="AD40" s="1854"/>
      <c r="AE40" s="1854"/>
      <c r="AF40" s="1854"/>
      <c r="AG40" s="1854"/>
      <c r="AH40" s="1854"/>
      <c r="AI40" s="1854"/>
      <c r="AJ40" s="1862"/>
      <c r="AR40"/>
    </row>
    <row r="41" spans="1:44" s="439" customFormat="1" ht="14.25" customHeight="1" x14ac:dyDescent="0.25">
      <c r="A41" s="2279" t="s">
        <v>1029</v>
      </c>
      <c r="B41" s="2280"/>
      <c r="C41" s="2280"/>
      <c r="D41" s="2280"/>
      <c r="E41" s="2280"/>
      <c r="F41" s="2280"/>
      <c r="G41" s="2280"/>
      <c r="H41" s="1776" t="s">
        <v>57</v>
      </c>
      <c r="I41" s="1776"/>
      <c r="J41" s="1776"/>
      <c r="K41" s="1776"/>
      <c r="L41" s="1776"/>
      <c r="M41" s="1776"/>
      <c r="N41" s="1776" t="s">
        <v>58</v>
      </c>
      <c r="O41" s="1776"/>
      <c r="P41" s="1776"/>
      <c r="Q41" s="1776"/>
      <c r="R41" s="1776"/>
      <c r="S41" s="1776"/>
      <c r="T41" s="1776" t="s">
        <v>58</v>
      </c>
      <c r="U41" s="1776"/>
      <c r="V41" s="1776"/>
      <c r="W41" s="1776"/>
      <c r="X41" s="1777"/>
      <c r="Y41" s="2334"/>
      <c r="Z41" s="2335"/>
      <c r="AA41" s="2335"/>
      <c r="AB41" s="2335"/>
      <c r="AC41" s="2236"/>
      <c r="AD41" s="2236"/>
      <c r="AE41" s="2236"/>
      <c r="AF41" s="2236"/>
      <c r="AG41" s="2236"/>
      <c r="AH41" s="2236"/>
      <c r="AI41" s="2236"/>
      <c r="AJ41" s="2336"/>
      <c r="AR41"/>
    </row>
    <row r="42" spans="1:44" s="439" customFormat="1" ht="14.25" customHeight="1" x14ac:dyDescent="0.25">
      <c r="A42" s="2279" t="s">
        <v>1030</v>
      </c>
      <c r="B42" s="2280"/>
      <c r="C42" s="2280"/>
      <c r="D42" s="2280"/>
      <c r="E42" s="2280"/>
      <c r="F42" s="2280"/>
      <c r="G42" s="2280"/>
      <c r="H42" s="1776"/>
      <c r="I42" s="1776"/>
      <c r="J42" s="1776"/>
      <c r="K42" s="1776"/>
      <c r="L42" s="1776"/>
      <c r="M42" s="1776"/>
      <c r="N42" s="1776"/>
      <c r="O42" s="1776"/>
      <c r="P42" s="1776"/>
      <c r="Q42" s="1776"/>
      <c r="R42" s="1776"/>
      <c r="S42" s="1776"/>
      <c r="T42" s="1776"/>
      <c r="U42" s="1776"/>
      <c r="V42" s="1776"/>
      <c r="W42" s="1776"/>
      <c r="X42" s="1777"/>
      <c r="Y42" s="2292" t="s">
        <v>67</v>
      </c>
      <c r="Z42" s="2293"/>
      <c r="AA42" s="2293"/>
      <c r="AB42" s="2293"/>
      <c r="AC42" s="2293"/>
      <c r="AD42" s="2293"/>
      <c r="AE42" s="2293"/>
      <c r="AF42" s="2293"/>
      <c r="AG42" s="2293"/>
      <c r="AH42" s="2293"/>
      <c r="AI42" s="2293"/>
      <c r="AJ42" s="2294"/>
      <c r="AR42"/>
    </row>
    <row r="43" spans="1:44" s="439" customFormat="1" ht="14.25" customHeight="1" x14ac:dyDescent="0.25">
      <c r="A43" s="2287" t="s">
        <v>1031</v>
      </c>
      <c r="B43" s="2285"/>
      <c r="C43" s="2285"/>
      <c r="D43" s="2285"/>
      <c r="E43" s="2285"/>
      <c r="F43" s="2285"/>
      <c r="G43" s="2285"/>
      <c r="H43" s="2286"/>
      <c r="I43" s="2286"/>
      <c r="J43" s="2286"/>
      <c r="K43" s="2286"/>
      <c r="L43" s="2286"/>
      <c r="M43" s="2286"/>
      <c r="N43" s="2286"/>
      <c r="O43" s="2286"/>
      <c r="P43" s="2286"/>
      <c r="Q43" s="2286"/>
      <c r="R43" s="2286"/>
      <c r="S43" s="2286"/>
      <c r="T43" s="2286"/>
      <c r="U43" s="2286"/>
      <c r="V43" s="2286"/>
      <c r="W43" s="2286"/>
      <c r="X43" s="2333"/>
      <c r="Y43" s="2330"/>
      <c r="Z43" s="2331"/>
      <c r="AA43" s="2331"/>
      <c r="AB43" s="2331"/>
      <c r="AC43" s="2331"/>
      <c r="AD43" s="2331"/>
      <c r="AE43" s="2331"/>
      <c r="AF43" s="2331"/>
      <c r="AG43" s="2331"/>
      <c r="AH43" s="2331"/>
      <c r="AI43" s="2331"/>
      <c r="AJ43" s="2332"/>
      <c r="AR43"/>
    </row>
    <row r="44" spans="1:44" s="439" customFormat="1" ht="14.25" customHeight="1" x14ac:dyDescent="0.25">
      <c r="A44" s="2279" t="s">
        <v>59</v>
      </c>
      <c r="B44" s="2280"/>
      <c r="C44" s="2280"/>
      <c r="D44" s="2280"/>
      <c r="E44" s="2280"/>
      <c r="F44" s="2280"/>
      <c r="G44" s="2280"/>
      <c r="H44" s="1776"/>
      <c r="I44" s="1776"/>
      <c r="J44" s="1776"/>
      <c r="K44" s="1776"/>
      <c r="L44" s="1776"/>
      <c r="M44" s="1776"/>
      <c r="N44" s="2280" t="s">
        <v>60</v>
      </c>
      <c r="O44" s="2280"/>
      <c r="P44" s="2280"/>
      <c r="Q44" s="2280"/>
      <c r="R44" s="2280"/>
      <c r="S44" s="2280"/>
      <c r="T44" s="1776"/>
      <c r="U44" s="1776"/>
      <c r="V44" s="1776"/>
      <c r="W44" s="1776"/>
      <c r="X44" s="1777"/>
      <c r="Y44" s="2295"/>
      <c r="Z44" s="2296"/>
      <c r="AA44" s="2296"/>
      <c r="AB44" s="2296"/>
      <c r="AC44" s="2296"/>
      <c r="AD44" s="2296"/>
      <c r="AE44" s="2296"/>
      <c r="AF44" s="2296"/>
      <c r="AG44" s="2296"/>
      <c r="AH44" s="2296"/>
      <c r="AI44" s="2296"/>
      <c r="AJ44" s="2297"/>
      <c r="AK44" s="787"/>
      <c r="AL44" s="787"/>
      <c r="AM44" s="787"/>
      <c r="AN44" s="787"/>
      <c r="AO44" s="787"/>
    </row>
    <row r="45" spans="1:44" s="439" customFormat="1" ht="14.25" customHeight="1" x14ac:dyDescent="0.25">
      <c r="A45" s="2287" t="s">
        <v>61</v>
      </c>
      <c r="B45" s="2285"/>
      <c r="C45" s="2285"/>
      <c r="D45" s="2285"/>
      <c r="E45" s="2285"/>
      <c r="F45" s="2285"/>
      <c r="G45" s="2285"/>
      <c r="H45" s="2286"/>
      <c r="I45" s="2286"/>
      <c r="J45" s="2286"/>
      <c r="K45" s="2286"/>
      <c r="L45" s="2286"/>
      <c r="M45" s="2286"/>
      <c r="N45" s="2285" t="s">
        <v>62</v>
      </c>
      <c r="O45" s="2285"/>
      <c r="P45" s="2285"/>
      <c r="Q45" s="2285"/>
      <c r="R45" s="2285"/>
      <c r="S45" s="2285"/>
      <c r="T45" s="2286"/>
      <c r="U45" s="2286"/>
      <c r="V45" s="2286"/>
      <c r="W45" s="2286"/>
      <c r="X45" s="2333"/>
      <c r="Y45" s="2288" t="s">
        <v>69</v>
      </c>
      <c r="Z45" s="2250"/>
      <c r="AA45" s="2250"/>
      <c r="AB45" s="2250"/>
      <c r="AC45" s="1776"/>
      <c r="AD45" s="1776"/>
      <c r="AE45" s="1776"/>
      <c r="AF45" s="1776"/>
      <c r="AG45" s="1776"/>
      <c r="AH45" s="1776"/>
      <c r="AI45" s="1776"/>
      <c r="AJ45" s="1777"/>
      <c r="AK45" s="787"/>
      <c r="AL45" s="787"/>
      <c r="AM45" s="787"/>
      <c r="AN45" s="787"/>
      <c r="AO45" s="787"/>
    </row>
    <row r="46" spans="1:44" s="439" customFormat="1" ht="14.25" customHeight="1" thickBot="1" x14ac:dyDescent="0.3">
      <c r="A46" s="1836" t="s">
        <v>63</v>
      </c>
      <c r="B46" s="1913"/>
      <c r="C46" s="1913"/>
      <c r="D46" s="1913"/>
      <c r="E46" s="2284" t="s">
        <v>64</v>
      </c>
      <c r="F46" s="2284"/>
      <c r="G46" s="2284"/>
      <c r="H46" s="1824"/>
      <c r="I46" s="1824"/>
      <c r="J46" s="1824"/>
      <c r="K46" s="1824"/>
      <c r="L46" s="1824"/>
      <c r="M46" s="1824"/>
      <c r="N46" s="1824" t="s">
        <v>65</v>
      </c>
      <c r="O46" s="1824"/>
      <c r="P46" s="1824"/>
      <c r="Q46" s="1824"/>
      <c r="R46" s="1824"/>
      <c r="S46" s="1824"/>
      <c r="T46" s="2284" t="s">
        <v>36</v>
      </c>
      <c r="U46" s="2284"/>
      <c r="V46" s="1824"/>
      <c r="W46" s="1824"/>
      <c r="X46" s="1825"/>
      <c r="Y46" s="1851"/>
      <c r="Z46" s="1852"/>
      <c r="AA46" s="1852"/>
      <c r="AB46" s="1852"/>
      <c r="AC46" s="1824"/>
      <c r="AD46" s="1824"/>
      <c r="AE46" s="1824"/>
      <c r="AF46" s="1824"/>
      <c r="AG46" s="1824"/>
      <c r="AH46" s="1824"/>
      <c r="AI46" s="1824"/>
      <c r="AJ46" s="1825"/>
    </row>
    <row r="47" spans="1:44" s="439" customFormat="1" ht="18.75" customHeight="1" x14ac:dyDescent="0.25">
      <c r="X47" s="2337" t="s">
        <v>1045</v>
      </c>
      <c r="Y47" s="2337"/>
      <c r="Z47" s="2337"/>
      <c r="AA47" s="2337"/>
      <c r="AB47" s="2337"/>
      <c r="AC47" s="2338"/>
      <c r="AD47" s="2338"/>
      <c r="AE47" s="2338"/>
      <c r="AF47" s="2338"/>
      <c r="AG47" s="2338"/>
      <c r="AH47" s="2338"/>
      <c r="AI47" s="2338"/>
      <c r="AJ47" s="2338"/>
    </row>
    <row r="48" spans="1:44" s="439" customFormat="1" ht="21.95" customHeight="1" x14ac:dyDescent="0.25"/>
    <row r="49" spans="1:24" s="439" customFormat="1" ht="21.95" customHeight="1" x14ac:dyDescent="0.25"/>
    <row r="50" spans="1:24" ht="6" customHeight="1" x14ac:dyDescent="0.2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00000000000001" customHeight="1" x14ac:dyDescent="0.25"/>
    <row r="52" spans="1:24" ht="6" customHeight="1" x14ac:dyDescent="0.25"/>
    <row r="54" spans="1:24" hidden="1" x14ac:dyDescent="0.25"/>
    <row r="55" spans="1:24" ht="15.75" hidden="1" customHeight="1" x14ac:dyDescent="0.25">
      <c r="A55" s="2247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25">
      <c r="A56" s="2247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25">
      <c r="A57" s="2247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25">
      <c r="A58" s="2247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25">
      <c r="A59" s="2247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25">
      <c r="A60" s="2247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25">
      <c r="A61" s="2247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25">
      <c r="A62" s="2247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25">
      <c r="A63" s="2247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25"/>
    <row r="65" spans="3:14" hidden="1" x14ac:dyDescent="0.25"/>
    <row r="66" spans="3:14" hidden="1" x14ac:dyDescent="0.2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2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25"/>
  </sheetData>
  <sheetProtection formatCells="0" formatColumns="0" formatRows="0" insertColumns="0" insertRows="0" insertHyperlinks="0" deleteColumns="0" deleteRows="0" sort="0" autoFilter="0" pivotTables="0"/>
  <mergeCells count="153"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5" x14ac:dyDescent="0.25"/>
  <cols>
    <col min="1" max="36" width="6" customWidth="1"/>
  </cols>
  <sheetData>
    <row r="1" spans="1:36" ht="24" thickBot="1" x14ac:dyDescent="0.3">
      <c r="A1" s="1190" t="s">
        <v>1916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2339">
        <v>1</v>
      </c>
      <c r="X1" s="2339"/>
      <c r="Y1" s="2339"/>
      <c r="Z1" s="2339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25">
      <c r="A2" s="1207"/>
      <c r="B2" s="1208"/>
      <c r="C2" s="1211" t="s">
        <v>17</v>
      </c>
      <c r="D2" s="1211"/>
      <c r="E2" s="1211"/>
      <c r="F2" s="1211"/>
      <c r="G2" s="1211"/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1"/>
      <c r="U2" s="1211"/>
      <c r="V2" s="1212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.75" thickBot="1" x14ac:dyDescent="0.3">
      <c r="A3" s="1209"/>
      <c r="B3" s="121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.25" x14ac:dyDescent="0.25">
      <c r="A4" s="1216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.25" x14ac:dyDescent="0.25">
      <c r="A5" s="1217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.25" x14ac:dyDescent="0.25">
      <c r="A6" s="1217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.25" x14ac:dyDescent="0.25">
      <c r="A7" s="1217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.25" x14ac:dyDescent="0.25">
      <c r="A8" s="1217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.25" x14ac:dyDescent="0.25">
      <c r="A9" s="1217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.25" x14ac:dyDescent="0.25">
      <c r="A10" s="1217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.25" x14ac:dyDescent="0.25">
      <c r="A11" s="1217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.25" x14ac:dyDescent="0.25">
      <c r="A12" s="1217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.25" x14ac:dyDescent="0.25">
      <c r="A13" s="1217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.25" x14ac:dyDescent="0.25">
      <c r="A14" s="1217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1" thickBot="1" x14ac:dyDescent="0.3">
      <c r="A15" s="1218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.75" thickBot="1" x14ac:dyDescent="0.3">
      <c r="A16" s="1195"/>
      <c r="B16" s="1225"/>
      <c r="C16" s="1225"/>
      <c r="D16" s="1225"/>
      <c r="E16" s="1225"/>
      <c r="F16" s="1225"/>
      <c r="G16" s="1225"/>
      <c r="H16" s="1225"/>
      <c r="I16" s="1225"/>
      <c r="J16" s="1225"/>
      <c r="K16" s="1225"/>
      <c r="L16" s="1225"/>
      <c r="M16" s="1225"/>
      <c r="N16" s="1225"/>
      <c r="O16" s="1225"/>
      <c r="P16" s="1225"/>
      <c r="Q16" s="1225"/>
      <c r="R16" s="1225"/>
      <c r="S16" s="1225"/>
      <c r="T16" s="1225"/>
      <c r="U16" s="1225"/>
      <c r="V16" s="1225"/>
      <c r="W16" s="1225"/>
      <c r="X16" s="1225"/>
      <c r="Y16" s="1225"/>
      <c r="Z16" s="1225"/>
      <c r="AA16" s="1225"/>
      <c r="AB16" s="1225"/>
      <c r="AC16" s="1225"/>
      <c r="AD16" s="1225"/>
      <c r="AE16" s="1225"/>
      <c r="AF16" s="1225"/>
      <c r="AG16" s="1225"/>
      <c r="AH16" s="1225"/>
      <c r="AI16" s="1225"/>
    </row>
    <row r="17" spans="1:36" ht="21" thickBot="1" x14ac:dyDescent="0.3">
      <c r="A17" s="1222" t="s">
        <v>797</v>
      </c>
      <c r="B17" s="1223"/>
      <c r="C17" s="1224"/>
      <c r="D17" s="1219"/>
      <c r="E17" s="1220"/>
      <c r="F17" s="1220"/>
      <c r="G17" s="1220"/>
      <c r="H17" s="1220"/>
      <c r="I17" s="1220"/>
      <c r="J17" s="1220"/>
      <c r="K17" s="1220"/>
      <c r="L17" s="1220"/>
      <c r="M17" s="1220"/>
      <c r="N17" s="1220"/>
      <c r="O17" s="1220"/>
      <c r="P17" s="1220"/>
      <c r="Q17" s="1220"/>
      <c r="R17" s="1220"/>
      <c r="S17" s="1220"/>
      <c r="T17" s="1220"/>
      <c r="U17" s="1220"/>
      <c r="V17" s="1220"/>
      <c r="W17" s="1220"/>
      <c r="X17" s="1220"/>
      <c r="Y17" s="1220"/>
      <c r="Z17" s="1220"/>
      <c r="AA17" s="1220"/>
      <c r="AB17" s="1220"/>
      <c r="AC17" s="1220"/>
      <c r="AD17" s="1220"/>
      <c r="AE17" s="1220"/>
      <c r="AF17" s="1220"/>
      <c r="AG17" s="1220"/>
      <c r="AH17" s="1220"/>
      <c r="AI17" s="1221"/>
    </row>
    <row r="22" spans="1:36" ht="24" thickBot="1" x14ac:dyDescent="0.3">
      <c r="A22" s="1190" t="s">
        <v>1917</v>
      </c>
      <c r="B22" s="1190"/>
      <c r="C22" s="1190"/>
      <c r="D22" s="1190"/>
      <c r="E22" s="1190"/>
      <c r="F22" s="1190"/>
      <c r="G22" s="1190"/>
      <c r="H22" s="1190"/>
      <c r="I22" s="1190"/>
      <c r="J22" s="1190"/>
      <c r="K22" s="1190"/>
      <c r="L22" s="1190"/>
      <c r="M22" s="1190"/>
      <c r="N22" s="1190"/>
      <c r="O22" s="1190"/>
      <c r="P22" s="1190"/>
      <c r="Q22" s="1190"/>
      <c r="R22" s="1190"/>
      <c r="S22" s="1190"/>
      <c r="T22" s="1190"/>
      <c r="U22" s="1190"/>
      <c r="V22" s="1190"/>
      <c r="W22" s="2339"/>
      <c r="X22" s="2339"/>
      <c r="Y22" s="2339"/>
      <c r="Z22" s="2339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25">
      <c r="A23" s="1207"/>
      <c r="B23" s="1208"/>
      <c r="C23" s="1211" t="s">
        <v>17</v>
      </c>
      <c r="D23" s="1211"/>
      <c r="E23" s="1211"/>
      <c r="F23" s="1211"/>
      <c r="G23" s="1211"/>
      <c r="H23" s="1211"/>
      <c r="I23" s="1211"/>
      <c r="J23" s="1211"/>
      <c r="K23" s="1211"/>
      <c r="L23" s="1211"/>
      <c r="M23" s="1211"/>
      <c r="N23" s="1211"/>
      <c r="O23" s="1211"/>
      <c r="P23" s="1211"/>
      <c r="Q23" s="1211"/>
      <c r="R23" s="1211"/>
      <c r="S23" s="1211"/>
      <c r="T23" s="1211"/>
      <c r="U23" s="1211"/>
      <c r="V23" s="1212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.75" thickBot="1" x14ac:dyDescent="0.3">
      <c r="A24" s="1209"/>
      <c r="B24" s="1210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.25" x14ac:dyDescent="0.25">
      <c r="A25" s="1216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.25" x14ac:dyDescent="0.25">
      <c r="A26" s="1217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.25" x14ac:dyDescent="0.25">
      <c r="A27" s="1217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.25" x14ac:dyDescent="0.25">
      <c r="A28" s="1217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.25" x14ac:dyDescent="0.25">
      <c r="A29" s="1217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.25" x14ac:dyDescent="0.25">
      <c r="A30" s="1217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.25" x14ac:dyDescent="0.25">
      <c r="A31" s="1217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.25" x14ac:dyDescent="0.25">
      <c r="A32" s="1217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.25" x14ac:dyDescent="0.25">
      <c r="A33" s="1217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.25" x14ac:dyDescent="0.25">
      <c r="A34" s="1217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.25" x14ac:dyDescent="0.25">
      <c r="A35" s="1217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1" thickBot="1" x14ac:dyDescent="0.3">
      <c r="A36" s="1218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.75" thickBot="1" x14ac:dyDescent="0.3">
      <c r="A37" s="1195"/>
      <c r="B37" s="1225"/>
      <c r="C37" s="1225"/>
      <c r="D37" s="1225"/>
      <c r="E37" s="1225"/>
      <c r="F37" s="1225"/>
      <c r="G37" s="1225"/>
      <c r="H37" s="1225"/>
      <c r="I37" s="1225"/>
      <c r="J37" s="1225"/>
      <c r="K37" s="1225"/>
      <c r="L37" s="1225"/>
      <c r="M37" s="1225"/>
      <c r="N37" s="1225"/>
      <c r="O37" s="1225"/>
      <c r="P37" s="1225"/>
      <c r="Q37" s="1225"/>
      <c r="R37" s="1225"/>
      <c r="S37" s="1225"/>
      <c r="T37" s="1225"/>
      <c r="U37" s="1225"/>
      <c r="V37" s="1225"/>
      <c r="W37" s="1225"/>
      <c r="X37" s="1225"/>
      <c r="Y37" s="1225"/>
      <c r="Z37" s="1225"/>
      <c r="AA37" s="1225"/>
      <c r="AB37" s="1225"/>
      <c r="AC37" s="1225"/>
      <c r="AD37" s="1225"/>
      <c r="AE37" s="1225"/>
      <c r="AF37" s="1225"/>
      <c r="AG37" s="1225"/>
      <c r="AH37" s="1225"/>
      <c r="AI37" s="1225"/>
    </row>
    <row r="38" spans="1:36" ht="21" thickBot="1" x14ac:dyDescent="0.3">
      <c r="A38" s="1222" t="s">
        <v>797</v>
      </c>
      <c r="B38" s="1223"/>
      <c r="C38" s="1224"/>
      <c r="D38" s="1219"/>
      <c r="E38" s="1220"/>
      <c r="F38" s="1220"/>
      <c r="G38" s="1220"/>
      <c r="H38" s="1220"/>
      <c r="I38" s="1220"/>
      <c r="J38" s="1220"/>
      <c r="K38" s="1220"/>
      <c r="L38" s="1220"/>
      <c r="M38" s="1220"/>
      <c r="N38" s="1220"/>
      <c r="O38" s="1220"/>
      <c r="P38" s="1220"/>
      <c r="Q38" s="1220"/>
      <c r="R38" s="1220"/>
      <c r="S38" s="1220"/>
      <c r="T38" s="1220"/>
      <c r="U38" s="1220"/>
      <c r="V38" s="1220"/>
      <c r="W38" s="1220"/>
      <c r="X38" s="1220"/>
      <c r="Y38" s="1220"/>
      <c r="Z38" s="1220"/>
      <c r="AA38" s="1220"/>
      <c r="AB38" s="1220"/>
      <c r="AC38" s="1220"/>
      <c r="AD38" s="1220"/>
      <c r="AE38" s="1220"/>
      <c r="AF38" s="1220"/>
      <c r="AG38" s="1220"/>
      <c r="AH38" s="1220"/>
      <c r="AI38" s="1221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40625" defaultRowHeight="12.75" x14ac:dyDescent="0.2"/>
  <cols>
    <col min="1" max="1" width="4.85546875" style="539" customWidth="1"/>
    <col min="2" max="2" width="11.7109375" style="539" customWidth="1"/>
    <col min="3" max="3" width="6.7109375" style="539" customWidth="1"/>
    <col min="4" max="4" width="7.85546875" style="539" customWidth="1"/>
    <col min="5" max="5" width="6.28515625" style="539" customWidth="1"/>
    <col min="6" max="7" width="7.85546875" style="539" customWidth="1"/>
    <col min="8" max="8" width="4.7109375" style="539" customWidth="1"/>
    <col min="9" max="9" width="8.140625" style="539" customWidth="1"/>
    <col min="10" max="10" width="8.5703125" style="539" customWidth="1"/>
    <col min="11" max="11" width="18.42578125" style="539" customWidth="1"/>
    <col min="12" max="16384" width="9.140625" style="539"/>
  </cols>
  <sheetData>
    <row r="1" spans="1:12" ht="24.95" customHeight="1" x14ac:dyDescent="0.2"/>
    <row r="2" spans="1:12" ht="24.95" customHeight="1" x14ac:dyDescent="0.2">
      <c r="C2" s="2354" t="s">
        <v>22</v>
      </c>
      <c r="D2" s="2354"/>
      <c r="E2" s="2354"/>
      <c r="F2" s="2354"/>
      <c r="G2" s="2354"/>
      <c r="H2" s="2354"/>
      <c r="I2" s="2354"/>
      <c r="J2" s="2354"/>
      <c r="K2" s="2354"/>
      <c r="L2" s="2354"/>
    </row>
    <row r="3" spans="1:12" ht="18" customHeight="1" x14ac:dyDescent="0.2">
      <c r="C3" s="2355" t="s">
        <v>1146</v>
      </c>
      <c r="D3" s="2355"/>
      <c r="E3" s="2355"/>
      <c r="F3" s="2355"/>
      <c r="G3" s="2356" t="s">
        <v>1147</v>
      </c>
      <c r="H3" s="2356"/>
      <c r="I3" s="2356"/>
      <c r="J3" s="2356"/>
      <c r="K3" s="2356" t="s">
        <v>1148</v>
      </c>
      <c r="L3" s="2356"/>
    </row>
    <row r="4" spans="1:12" ht="18" customHeight="1" x14ac:dyDescent="0.2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00000000000001" customHeight="1" x14ac:dyDescent="0.2"/>
    <row r="7" spans="1:12" ht="12" customHeight="1" x14ac:dyDescent="0.2"/>
    <row r="8" spans="1:12" s="542" customFormat="1" ht="20.100000000000001" customHeight="1" x14ac:dyDescent="0.25"/>
    <row r="9" spans="1:12" s="542" customFormat="1" ht="20.100000000000001" customHeight="1" x14ac:dyDescent="0.25">
      <c r="A9" s="2354" t="s">
        <v>1151</v>
      </c>
      <c r="B9" s="2354"/>
      <c r="C9" s="2354"/>
      <c r="D9" s="2354"/>
      <c r="E9" s="2354"/>
      <c r="F9" s="2354"/>
      <c r="G9" s="2354"/>
      <c r="H9" s="2354"/>
      <c r="I9" s="2354"/>
      <c r="J9" s="2354"/>
      <c r="K9" s="2354"/>
      <c r="L9" s="2354"/>
    </row>
    <row r="10" spans="1:12" s="542" customFormat="1" ht="20.100000000000001" customHeight="1" x14ac:dyDescent="0.2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00000000000001" customHeight="1" x14ac:dyDescent="0.25">
      <c r="A11" s="2340" t="s">
        <v>1152</v>
      </c>
      <c r="B11" s="2340"/>
      <c r="C11" s="2346" t="str">
        <f>IF(Data!B7="SAUDI ARAMCO","ARAMCO Warehouse","HDBS warehouse")</f>
        <v>HDBS warehouse</v>
      </c>
      <c r="D11" s="2347"/>
      <c r="E11" s="2347"/>
      <c r="F11" s="543"/>
      <c r="G11" s="2348" t="s">
        <v>1153</v>
      </c>
      <c r="H11" s="2348"/>
      <c r="I11" s="2348"/>
      <c r="J11" s="2349"/>
      <c r="K11" s="2351">
        <f>IF(Data!B1&lt;&gt;"", Data!B1, " ")</f>
        <v>20261004</v>
      </c>
      <c r="L11" s="2351"/>
    </row>
    <row r="12" spans="1:12" s="542" customFormat="1" ht="20.100000000000001" customHeight="1" x14ac:dyDescent="0.25">
      <c r="A12" s="2340" t="s">
        <v>1154</v>
      </c>
      <c r="B12" s="2340"/>
      <c r="C12" s="2346"/>
      <c r="D12" s="2347"/>
      <c r="E12" s="2347"/>
      <c r="F12" s="543"/>
      <c r="G12" s="2348" t="s">
        <v>1155</v>
      </c>
      <c r="H12" s="2348"/>
      <c r="I12" s="2348"/>
      <c r="J12" s="2349"/>
      <c r="K12" s="2350"/>
      <c r="L12" s="2351"/>
    </row>
    <row r="13" spans="1:12" s="542" customFormat="1" ht="20.100000000000001" customHeight="1" x14ac:dyDescent="0.25">
      <c r="A13" s="2340" t="s">
        <v>1156</v>
      </c>
      <c r="B13" s="2340"/>
      <c r="C13" s="2346" t="str">
        <f>IF(Data!B7="AL KHOBAR","ARAMCO Warehouse","SAIHAT")</f>
        <v>SAIHAT</v>
      </c>
      <c r="D13" s="2347"/>
      <c r="E13" s="2347"/>
      <c r="F13" s="543"/>
      <c r="G13" s="2348" t="s">
        <v>1157</v>
      </c>
      <c r="H13" s="2348"/>
      <c r="I13" s="2348"/>
      <c r="J13" s="2349"/>
      <c r="K13" s="2352" t="str">
        <f>IF(Data!B23&lt;&gt;"",Data!B23, " ")</f>
        <v xml:space="preserve"> </v>
      </c>
      <c r="L13" s="2353"/>
    </row>
    <row r="14" spans="1:12" ht="15.75" x14ac:dyDescent="0.2">
      <c r="A14" s="2340" t="s">
        <v>1158</v>
      </c>
      <c r="B14" s="2340"/>
      <c r="C14" s="2346" t="s">
        <v>1148</v>
      </c>
      <c r="D14" s="2347"/>
      <c r="E14" s="2347"/>
      <c r="F14" s="543"/>
      <c r="G14" s="2348" t="s">
        <v>1159</v>
      </c>
      <c r="H14" s="2348"/>
      <c r="I14" s="2348"/>
      <c r="J14" s="2349"/>
      <c r="K14" s="2351"/>
      <c r="L14" s="2351"/>
    </row>
    <row r="15" spans="1:12" ht="24.95" customHeight="1" x14ac:dyDescent="0.2">
      <c r="A15" s="2340" t="s">
        <v>1160</v>
      </c>
      <c r="B15" s="2340"/>
      <c r="C15" s="2346" t="str">
        <f>IF(Data!B16&lt;&gt;"", Data!B16, " ")</f>
        <v>LSTK</v>
      </c>
      <c r="D15" s="2347"/>
      <c r="E15" s="2347"/>
      <c r="F15" s="543"/>
      <c r="G15" s="2348" t="s">
        <v>1161</v>
      </c>
      <c r="H15" s="2348"/>
      <c r="I15" s="2348"/>
      <c r="J15" s="2349"/>
      <c r="K15" s="2351"/>
      <c r="L15" s="2351"/>
    </row>
    <row r="16" spans="1:12" ht="24.95" customHeight="1" x14ac:dyDescent="0.2">
      <c r="A16" s="2340" t="s">
        <v>1162</v>
      </c>
      <c r="B16" s="2340"/>
      <c r="C16" s="2346"/>
      <c r="D16" s="2347"/>
      <c r="E16" s="2347"/>
      <c r="F16" s="543"/>
      <c r="G16" s="2348" t="s">
        <v>1163</v>
      </c>
      <c r="H16" s="2348"/>
      <c r="I16" s="2348"/>
      <c r="J16" s="2349"/>
      <c r="K16" s="2350"/>
      <c r="L16" s="2351"/>
    </row>
    <row r="17" spans="1:12" ht="24.95" customHeight="1" x14ac:dyDescent="0.2"/>
    <row r="18" spans="1:12" ht="24.95" customHeight="1" x14ac:dyDescent="0.2">
      <c r="A18" s="544" t="s">
        <v>1164</v>
      </c>
      <c r="B18" s="544" t="s">
        <v>1165</v>
      </c>
      <c r="C18" s="2341" t="s">
        <v>1166</v>
      </c>
      <c r="D18" s="2341"/>
      <c r="E18" s="544" t="s">
        <v>1167</v>
      </c>
      <c r="F18" s="2341" t="s">
        <v>1168</v>
      </c>
      <c r="G18" s="2341"/>
      <c r="H18" s="2341" t="s">
        <v>1169</v>
      </c>
      <c r="I18" s="2341"/>
      <c r="J18" s="2341"/>
      <c r="K18" s="2341" t="s">
        <v>995</v>
      </c>
      <c r="L18" s="2341"/>
    </row>
    <row r="19" spans="1:12" ht="24.95" customHeight="1" x14ac:dyDescent="0.2">
      <c r="A19" s="544">
        <v>1</v>
      </c>
      <c r="B19" s="545" t="str">
        <f>IF(Data!B3&lt;&gt;"", Data!B3&amp;"""", " ")</f>
        <v>6.125"</v>
      </c>
      <c r="C19" s="2343" t="str">
        <f>IF(Data!B4&lt;&gt;"", Data!B4, " ")</f>
        <v>HD54</v>
      </c>
      <c r="D19" s="2344"/>
      <c r="E19" s="544">
        <v>1</v>
      </c>
      <c r="F19" s="2343" t="str">
        <f>IF(Data!B2&lt;&gt;"", Data!B2, " ")</f>
        <v>14304769R1</v>
      </c>
      <c r="G19" s="2344"/>
      <c r="H19" s="2343">
        <f>IF(Data!B1&lt;&gt;"", Data!B1, " ")</f>
        <v>20261004</v>
      </c>
      <c r="I19" s="2345"/>
      <c r="J19" s="2344"/>
      <c r="K19" s="2343" t="str">
        <f>IF(Data!L5&lt;&gt;"","Scrap",IF(Data!L2&lt;&gt;"","Rerun","Repaired"))</f>
        <v>Repaired</v>
      </c>
      <c r="L19" s="2344"/>
    </row>
    <row r="20" spans="1:12" ht="24.95" customHeight="1" x14ac:dyDescent="0.2">
      <c r="A20" s="544">
        <v>2</v>
      </c>
      <c r="B20" s="544"/>
      <c r="C20" s="2343"/>
      <c r="D20" s="2344"/>
      <c r="E20" s="544"/>
      <c r="F20" s="2343"/>
      <c r="G20" s="2344"/>
      <c r="H20" s="2343"/>
      <c r="I20" s="2345"/>
      <c r="J20" s="2344"/>
      <c r="K20" s="2343"/>
      <c r="L20" s="2344"/>
    </row>
    <row r="21" spans="1:12" ht="24.95" customHeight="1" x14ac:dyDescent="0.2">
      <c r="A21" s="544">
        <v>3</v>
      </c>
      <c r="B21" s="544"/>
      <c r="C21" s="2343"/>
      <c r="D21" s="2344"/>
      <c r="E21" s="544"/>
      <c r="F21" s="2343"/>
      <c r="G21" s="2344"/>
      <c r="H21" s="2343"/>
      <c r="I21" s="2345"/>
      <c r="J21" s="2344"/>
      <c r="K21" s="2343"/>
      <c r="L21" s="2344"/>
    </row>
    <row r="22" spans="1:12" ht="24.95" customHeight="1" x14ac:dyDescent="0.2">
      <c r="A22" s="544">
        <v>4</v>
      </c>
      <c r="B22" s="544"/>
      <c r="C22" s="2343"/>
      <c r="D22" s="2344"/>
      <c r="E22" s="544"/>
      <c r="F22" s="2343"/>
      <c r="G22" s="2344"/>
      <c r="H22" s="2343"/>
      <c r="I22" s="2345"/>
      <c r="J22" s="2344"/>
      <c r="K22" s="2343"/>
      <c r="L22" s="2344"/>
    </row>
    <row r="23" spans="1:12" ht="24.95" customHeight="1" x14ac:dyDescent="0.2">
      <c r="A23" s="544">
        <v>5</v>
      </c>
      <c r="B23" s="544"/>
      <c r="C23" s="2343"/>
      <c r="D23" s="2344"/>
      <c r="E23" s="544"/>
      <c r="F23" s="2343"/>
      <c r="G23" s="2344"/>
      <c r="H23" s="2343"/>
      <c r="I23" s="2345"/>
      <c r="J23" s="2344"/>
      <c r="K23" s="2343"/>
      <c r="L23" s="2344"/>
    </row>
    <row r="24" spans="1:12" ht="24.95" customHeight="1" x14ac:dyDescent="0.2">
      <c r="A24" s="544">
        <v>6</v>
      </c>
      <c r="B24" s="544"/>
      <c r="C24" s="2343"/>
      <c r="D24" s="2344"/>
      <c r="E24" s="544"/>
      <c r="F24" s="2343"/>
      <c r="G24" s="2344"/>
      <c r="H24" s="2343"/>
      <c r="I24" s="2345"/>
      <c r="J24" s="2344"/>
      <c r="K24" s="2343"/>
      <c r="L24" s="2344"/>
    </row>
    <row r="25" spans="1:12" ht="24.95" customHeight="1" x14ac:dyDescent="0.2">
      <c r="A25" s="544">
        <v>7</v>
      </c>
      <c r="B25" s="544"/>
      <c r="C25" s="2343"/>
      <c r="D25" s="2344"/>
      <c r="E25" s="544"/>
      <c r="F25" s="2343"/>
      <c r="G25" s="2344"/>
      <c r="H25" s="2343"/>
      <c r="I25" s="2345"/>
      <c r="J25" s="2344"/>
      <c r="K25" s="2343"/>
      <c r="L25" s="2344"/>
    </row>
    <row r="26" spans="1:12" ht="24.95" customHeight="1" x14ac:dyDescent="0.2">
      <c r="A26" s="544">
        <v>8</v>
      </c>
      <c r="B26" s="544"/>
      <c r="C26" s="2343"/>
      <c r="D26" s="2344"/>
      <c r="E26" s="544"/>
      <c r="F26" s="2343"/>
      <c r="G26" s="2344"/>
      <c r="H26" s="2343"/>
      <c r="I26" s="2345"/>
      <c r="J26" s="2344"/>
      <c r="K26" s="2343"/>
      <c r="L26" s="2344"/>
    </row>
    <row r="27" spans="1:12" s="542" customFormat="1" ht="24.95" customHeight="1" x14ac:dyDescent="0.25">
      <c r="A27" s="544">
        <v>9</v>
      </c>
      <c r="B27" s="544"/>
      <c r="C27" s="2343"/>
      <c r="D27" s="2344"/>
      <c r="E27" s="544"/>
      <c r="F27" s="2343"/>
      <c r="G27" s="2344"/>
      <c r="H27" s="2343"/>
      <c r="I27" s="2345"/>
      <c r="J27" s="2344"/>
      <c r="K27" s="2343"/>
      <c r="L27" s="2344"/>
    </row>
    <row r="28" spans="1:12" s="542" customFormat="1" ht="24.95" customHeight="1" x14ac:dyDescent="0.25">
      <c r="A28" s="544">
        <v>10</v>
      </c>
      <c r="B28" s="544"/>
      <c r="C28" s="2343"/>
      <c r="D28" s="2344"/>
      <c r="E28" s="544"/>
      <c r="F28" s="2343"/>
      <c r="G28" s="2344"/>
      <c r="H28" s="2343"/>
      <c r="I28" s="2345"/>
      <c r="J28" s="2344"/>
      <c r="K28" s="2343"/>
      <c r="L28" s="2344"/>
    </row>
    <row r="29" spans="1:12" ht="24.95" customHeight="1" x14ac:dyDescent="0.2"/>
    <row r="30" spans="1:12" ht="24.95" customHeight="1" x14ac:dyDescent="0.2">
      <c r="A30" s="2340" t="s">
        <v>1170</v>
      </c>
      <c r="B30" s="2340"/>
      <c r="C30" s="2340"/>
      <c r="D30" s="2341"/>
      <c r="E30" s="2341"/>
      <c r="F30" s="2341"/>
      <c r="G30" s="2341"/>
      <c r="H30" s="542"/>
      <c r="I30" s="2340" t="s">
        <v>1171</v>
      </c>
      <c r="J30" s="2340"/>
      <c r="K30" s="2342"/>
      <c r="L30" s="2342"/>
    </row>
    <row r="31" spans="1:12" ht="24.95" customHeight="1" x14ac:dyDescent="0.2">
      <c r="A31" s="2340" t="s">
        <v>1172</v>
      </c>
      <c r="B31" s="2340"/>
      <c r="C31" s="2340"/>
      <c r="D31" s="2341"/>
      <c r="E31" s="2341"/>
      <c r="F31" s="2341"/>
      <c r="G31" s="2341"/>
      <c r="H31" s="542"/>
      <c r="I31" s="2340" t="s">
        <v>1173</v>
      </c>
      <c r="J31" s="2340"/>
      <c r="K31" s="2341"/>
      <c r="L31" s="2341"/>
    </row>
  </sheetData>
  <mergeCells count="81">
    <mergeCell ref="A11:B11"/>
    <mergeCell ref="C11:E11"/>
    <mergeCell ref="G11:J11"/>
    <mergeCell ref="K11:L11"/>
    <mergeCell ref="C2:L2"/>
    <mergeCell ref="C3:F3"/>
    <mergeCell ref="G3:J3"/>
    <mergeCell ref="K3:L3"/>
    <mergeCell ref="A9:L9"/>
    <mergeCell ref="A12:B12"/>
    <mergeCell ref="C12:E12"/>
    <mergeCell ref="G12:J12"/>
    <mergeCell ref="K12:L12"/>
    <mergeCell ref="A13:B13"/>
    <mergeCell ref="C13:E13"/>
    <mergeCell ref="G13:J13"/>
    <mergeCell ref="K13:L13"/>
    <mergeCell ref="A14:B14"/>
    <mergeCell ref="C14:E14"/>
    <mergeCell ref="G14:J14"/>
    <mergeCell ref="K14:L14"/>
    <mergeCell ref="A15:B15"/>
    <mergeCell ref="C15:E15"/>
    <mergeCell ref="G15:J15"/>
    <mergeCell ref="K15:L15"/>
    <mergeCell ref="A16:B16"/>
    <mergeCell ref="C16:E16"/>
    <mergeCell ref="G16:J16"/>
    <mergeCell ref="K16:L16"/>
    <mergeCell ref="C18:D18"/>
    <mergeCell ref="F18:G18"/>
    <mergeCell ref="H18:J18"/>
    <mergeCell ref="K18:L18"/>
    <mergeCell ref="C19:D19"/>
    <mergeCell ref="F19:G19"/>
    <mergeCell ref="H19:J19"/>
    <mergeCell ref="K19:L19"/>
    <mergeCell ref="C20:D20"/>
    <mergeCell ref="F20:G20"/>
    <mergeCell ref="H20:J20"/>
    <mergeCell ref="K20:L20"/>
    <mergeCell ref="C21:D21"/>
    <mergeCell ref="F21:G21"/>
    <mergeCell ref="H21:J21"/>
    <mergeCell ref="K21:L21"/>
    <mergeCell ref="C22:D22"/>
    <mergeCell ref="F22:G22"/>
    <mergeCell ref="H22:J22"/>
    <mergeCell ref="K22:L22"/>
    <mergeCell ref="C23:D23"/>
    <mergeCell ref="F23:G23"/>
    <mergeCell ref="H23:J23"/>
    <mergeCell ref="K23:L23"/>
    <mergeCell ref="C24:D24"/>
    <mergeCell ref="F24:G24"/>
    <mergeCell ref="H24:J24"/>
    <mergeCell ref="K24:L24"/>
    <mergeCell ref="C25:D25"/>
    <mergeCell ref="F25:G25"/>
    <mergeCell ref="H25:J25"/>
    <mergeCell ref="K25:L25"/>
    <mergeCell ref="C26:D26"/>
    <mergeCell ref="F26:G26"/>
    <mergeCell ref="H26:J26"/>
    <mergeCell ref="K26:L26"/>
    <mergeCell ref="C27:D27"/>
    <mergeCell ref="F27:G27"/>
    <mergeCell ref="H27:J27"/>
    <mergeCell ref="K27:L27"/>
    <mergeCell ref="C28:D28"/>
    <mergeCell ref="F28:G28"/>
    <mergeCell ref="H28:J28"/>
    <mergeCell ref="K28:L28"/>
    <mergeCell ref="A30:C30"/>
    <mergeCell ref="D30:G30"/>
    <mergeCell ref="I30:J30"/>
    <mergeCell ref="K30:L30"/>
    <mergeCell ref="A31:C31"/>
    <mergeCell ref="D31:G31"/>
    <mergeCell ref="I31:J31"/>
    <mergeCell ref="K31:L31"/>
  </mergeCells>
  <pageMargins left="0.25" right="0" top="0.25" bottom="0.25" header="0.05" footer="0.05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F8" sqref="F8"/>
    </sheetView>
  </sheetViews>
  <sheetFormatPr defaultRowHeight="15" x14ac:dyDescent="0.25"/>
  <cols>
    <col min="1" max="2" width="6.85546875" customWidth="1"/>
    <col min="3" max="4" width="4.85546875" customWidth="1"/>
    <col min="5" max="5" width="5.42578125" customWidth="1"/>
    <col min="6" max="7" width="4.85546875" customWidth="1"/>
    <col min="8" max="8" width="5.42578125" customWidth="1"/>
    <col min="9" max="10" width="4.85546875" customWidth="1"/>
    <col min="11" max="11" width="8" customWidth="1"/>
    <col min="12" max="13" width="4.85546875" customWidth="1"/>
    <col min="14" max="14" width="8" customWidth="1"/>
    <col min="15" max="15" width="10" customWidth="1"/>
  </cols>
  <sheetData>
    <row r="1" spans="1:35" s="491" customFormat="1" ht="21.75" customHeight="1" x14ac:dyDescent="0.3">
      <c r="A1" s="924"/>
      <c r="B1" s="924"/>
      <c r="C1" s="2357" t="s">
        <v>22</v>
      </c>
      <c r="D1" s="2357"/>
      <c r="E1" s="2357"/>
      <c r="F1" s="2357"/>
      <c r="G1" s="2357"/>
      <c r="H1" s="2357"/>
      <c r="I1" s="2357"/>
      <c r="J1" s="2357"/>
      <c r="K1" s="2357"/>
      <c r="L1" s="2357"/>
      <c r="M1" s="2357"/>
      <c r="N1" s="2357"/>
      <c r="O1" s="2357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25">
      <c r="B2" s="926"/>
      <c r="C2" s="2358" t="s">
        <v>1067</v>
      </c>
      <c r="D2" s="2358"/>
      <c r="E2" s="2358"/>
      <c r="F2" s="2358"/>
      <c r="G2" s="2358"/>
      <c r="H2" s="2358"/>
      <c r="I2" s="2358"/>
      <c r="J2" s="2358"/>
      <c r="K2" s="2358"/>
      <c r="L2" s="2358"/>
      <c r="M2" s="2358"/>
      <c r="N2" s="2358"/>
      <c r="O2" s="2358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25">
      <c r="A3" s="927" t="s">
        <v>23</v>
      </c>
      <c r="B3" s="927"/>
      <c r="C3" s="1942" t="s">
        <v>1910</v>
      </c>
      <c r="D3" s="1942"/>
      <c r="E3" s="1942"/>
      <c r="F3" s="1942"/>
      <c r="G3" s="1942"/>
      <c r="H3" s="2378"/>
      <c r="I3" s="929"/>
      <c r="J3" s="2379" t="s">
        <v>1913</v>
      </c>
      <c r="K3" s="1942"/>
      <c r="L3" s="1942"/>
      <c r="M3" s="1942"/>
      <c r="N3" s="1942" t="s">
        <v>1914</v>
      </c>
      <c r="O3" s="1942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2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3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2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25">
      <c r="A7" s="28" t="s">
        <v>1915</v>
      </c>
      <c r="B7" s="1160">
        <f>IF(Data!B1&lt;&gt;"", Data!B1, " ")</f>
        <v>20261004</v>
      </c>
      <c r="C7" s="1160"/>
      <c r="D7" s="1160"/>
      <c r="E7" t="s">
        <v>1895</v>
      </c>
      <c r="F7" s="1931" t="str">
        <f>IF(LEN(Data!B3)&gt;3,IF(AND(Data!B43&lt;&gt;"",Data!B43&lt;&gt;"0 0/1"""),Data!B43,""),IF(Data!B3&lt;&gt;"",Data!B3&amp;"""",""))</f>
        <v>6 1/8"</v>
      </c>
      <c r="G7" s="1931"/>
      <c r="H7" t="s">
        <v>1896</v>
      </c>
      <c r="I7" s="1931" t="str">
        <f>IF(Data!B4&lt;&gt;"",Data!B4," ")</f>
        <v>HD54</v>
      </c>
      <c r="J7" s="1931"/>
      <c r="K7" t="s">
        <v>1897</v>
      </c>
      <c r="L7" s="1931" t="str">
        <f>IF(Data!B2&lt;&gt;"", Data!B2, " ")</f>
        <v>14304769R1</v>
      </c>
      <c r="M7" s="1931"/>
      <c r="N7" t="s">
        <v>1898</v>
      </c>
      <c r="O7" s="922"/>
    </row>
    <row r="8" spans="1:35" ht="8.25" customHeight="1" thickBot="1" x14ac:dyDescent="0.3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25">
      <c r="A9" s="2372" t="s">
        <v>1884</v>
      </c>
      <c r="B9" s="2372"/>
      <c r="C9" s="2372"/>
      <c r="D9" s="2372"/>
      <c r="E9" s="2372"/>
      <c r="F9" s="2372"/>
      <c r="G9" s="2372"/>
      <c r="H9" s="2372"/>
      <c r="I9" s="2372"/>
      <c r="J9" s="2372"/>
      <c r="K9" s="2372"/>
      <c r="L9" s="2372"/>
      <c r="M9" s="2372"/>
      <c r="N9" s="2372"/>
      <c r="O9" s="2372"/>
    </row>
    <row r="10" spans="1:35" ht="20.25" customHeight="1" x14ac:dyDescent="0.25">
      <c r="A10" s="2369" t="s">
        <v>1885</v>
      </c>
      <c r="B10" s="2370"/>
      <c r="C10" s="2370"/>
      <c r="D10" s="2370"/>
      <c r="E10" s="2371"/>
      <c r="F10" s="2369" t="s">
        <v>1886</v>
      </c>
      <c r="G10" s="2371"/>
      <c r="H10" s="2369" t="s">
        <v>1887</v>
      </c>
      <c r="I10" s="2371"/>
      <c r="J10" s="2369" t="s">
        <v>44</v>
      </c>
      <c r="K10" s="2370"/>
      <c r="L10" s="2370"/>
      <c r="M10" s="2370"/>
      <c r="N10" s="2370"/>
      <c r="O10" s="2371"/>
    </row>
    <row r="11" spans="1:35" ht="20.25" customHeight="1" x14ac:dyDescent="0.25">
      <c r="A11" s="2362" t="s">
        <v>1888</v>
      </c>
      <c r="B11" s="2363"/>
      <c r="C11" s="2363"/>
      <c r="D11" s="2363"/>
      <c r="E11" s="2364"/>
      <c r="F11" s="1641"/>
      <c r="G11" s="1642"/>
      <c r="H11" s="1641"/>
      <c r="I11" s="1642"/>
      <c r="J11" s="1641"/>
      <c r="K11" s="2365"/>
      <c r="L11" s="2365"/>
      <c r="M11" s="2365"/>
      <c r="N11" s="2365"/>
      <c r="O11" s="1642"/>
    </row>
    <row r="12" spans="1:35" ht="20.25" customHeight="1" x14ac:dyDescent="0.25">
      <c r="A12" s="2362" t="s">
        <v>1889</v>
      </c>
      <c r="B12" s="2363"/>
      <c r="C12" s="2363"/>
      <c r="D12" s="2363"/>
      <c r="E12" s="2364"/>
      <c r="F12" s="1641"/>
      <c r="G12" s="1642"/>
      <c r="H12" s="1641"/>
      <c r="I12" s="1642"/>
      <c r="J12" s="1641"/>
      <c r="K12" s="2365"/>
      <c r="L12" s="2365"/>
      <c r="M12" s="2365"/>
      <c r="N12" s="2365"/>
      <c r="O12" s="1642"/>
    </row>
    <row r="13" spans="1:35" ht="20.25" customHeight="1" x14ac:dyDescent="0.25">
      <c r="A13" s="2362" t="s">
        <v>1890</v>
      </c>
      <c r="B13" s="2363"/>
      <c r="C13" s="2363"/>
      <c r="D13" s="2363"/>
      <c r="E13" s="2364"/>
      <c r="F13" s="1641"/>
      <c r="G13" s="1642"/>
      <c r="H13" s="1641"/>
      <c r="I13" s="1642"/>
      <c r="J13" s="1641"/>
      <c r="K13" s="2365"/>
      <c r="L13" s="2365"/>
      <c r="M13" s="2365"/>
      <c r="N13" s="2365"/>
      <c r="O13" s="1642"/>
    </row>
    <row r="14" spans="1:35" ht="20.25" customHeight="1" x14ac:dyDescent="0.25">
      <c r="A14" s="2362" t="s">
        <v>1891</v>
      </c>
      <c r="B14" s="2363"/>
      <c r="C14" s="2363"/>
      <c r="D14" s="2363"/>
      <c r="E14" s="2364"/>
      <c r="F14" s="1641"/>
      <c r="G14" s="1642"/>
      <c r="H14" s="1641"/>
      <c r="I14" s="1642"/>
      <c r="J14" s="1641"/>
      <c r="K14" s="2365"/>
      <c r="L14" s="2365"/>
      <c r="M14" s="2365"/>
      <c r="N14" s="2365"/>
      <c r="O14" s="1642"/>
    </row>
    <row r="15" spans="1:35" ht="20.25" customHeight="1" x14ac:dyDescent="0.25">
      <c r="A15" s="2362" t="s">
        <v>1892</v>
      </c>
      <c r="B15" s="2363"/>
      <c r="C15" s="2363"/>
      <c r="D15" s="2363"/>
      <c r="E15" s="2364"/>
      <c r="F15" s="1641"/>
      <c r="G15" s="1642"/>
      <c r="H15" s="1641"/>
      <c r="I15" s="1642"/>
      <c r="J15" s="1641"/>
      <c r="K15" s="2365"/>
      <c r="L15" s="2365"/>
      <c r="M15" s="2365"/>
      <c r="N15" s="2365"/>
      <c r="O15" s="1642"/>
    </row>
    <row r="16" spans="1:35" ht="20.25" customHeight="1" x14ac:dyDescent="0.25">
      <c r="A16" s="2362" t="s">
        <v>1899</v>
      </c>
      <c r="B16" s="2363"/>
      <c r="C16" s="2363"/>
      <c r="D16" s="2363"/>
      <c r="E16" s="2364"/>
      <c r="F16" s="1641"/>
      <c r="G16" s="1642"/>
      <c r="H16" s="1641"/>
      <c r="I16" s="1642"/>
      <c r="J16" s="1641"/>
      <c r="K16" s="2365"/>
      <c r="L16" s="2365"/>
      <c r="M16" s="2365"/>
      <c r="N16" s="2365"/>
      <c r="O16" s="1642"/>
    </row>
    <row r="17" spans="1:15" x14ac:dyDescent="0.25">
      <c r="A17" s="2373"/>
      <c r="B17" s="2373"/>
      <c r="C17" s="2373"/>
      <c r="D17" s="2373"/>
      <c r="E17" s="2373"/>
      <c r="F17" s="2373"/>
      <c r="G17" s="2373"/>
      <c r="H17" s="2373"/>
      <c r="I17" s="2373"/>
      <c r="J17" s="2373"/>
      <c r="K17" s="2373"/>
      <c r="L17" s="2373"/>
      <c r="M17" s="2373"/>
      <c r="N17" s="2373"/>
      <c r="O17" s="2373"/>
    </row>
    <row r="18" spans="1:15" ht="15.75" x14ac:dyDescent="0.25">
      <c r="A18" s="2377" t="s">
        <v>1905</v>
      </c>
      <c r="B18" s="2377"/>
      <c r="C18" s="2377"/>
      <c r="G18" s="1160" t="s">
        <v>1906</v>
      </c>
      <c r="H18" s="1160"/>
      <c r="K18" s="1160" t="s">
        <v>1907</v>
      </c>
      <c r="L18" s="1160"/>
    </row>
    <row r="19" spans="1:15" ht="15.75" x14ac:dyDescent="0.25">
      <c r="A19" s="915"/>
      <c r="B19" s="915"/>
      <c r="G19" s="805"/>
      <c r="H19" s="805"/>
      <c r="K19" s="805"/>
      <c r="L19" s="805"/>
    </row>
    <row r="20" spans="1:15" ht="19.5" customHeight="1" x14ac:dyDescent="0.25">
      <c r="A20" s="2374" t="s">
        <v>1893</v>
      </c>
      <c r="B20" s="2374"/>
      <c r="C20" s="2374"/>
      <c r="D20" s="2374"/>
      <c r="E20" s="2374"/>
      <c r="F20" s="2376" t="s">
        <v>1908</v>
      </c>
      <c r="G20" s="2376"/>
      <c r="H20" s="2376"/>
      <c r="I20" s="2376"/>
      <c r="J20" s="2376"/>
      <c r="K20" s="2376"/>
      <c r="L20" s="2375" t="s">
        <v>1900</v>
      </c>
      <c r="M20" s="2375"/>
      <c r="N20" s="1931"/>
      <c r="O20" s="1931"/>
    </row>
    <row r="21" spans="1:15" ht="19.5" customHeight="1" x14ac:dyDescent="0.25">
      <c r="A21" s="2374"/>
      <c r="B21" s="2374"/>
      <c r="C21" s="2374"/>
      <c r="D21" s="2374"/>
      <c r="E21" s="2374"/>
      <c r="F21" s="2376" t="s">
        <v>1909</v>
      </c>
      <c r="G21" s="2376"/>
      <c r="H21" s="2376"/>
      <c r="I21" s="2376"/>
      <c r="J21" s="2376"/>
      <c r="K21" s="2376"/>
      <c r="L21" s="2375" t="s">
        <v>1079</v>
      </c>
      <c r="M21" s="2375"/>
      <c r="N21" s="2365"/>
      <c r="O21" s="2365"/>
    </row>
    <row r="24" spans="1:15" ht="24" customHeight="1" x14ac:dyDescent="0.25">
      <c r="A24" s="2372" t="s">
        <v>1894</v>
      </c>
      <c r="B24" s="2372"/>
      <c r="C24" s="2372"/>
      <c r="D24" s="2372"/>
      <c r="E24" s="2372"/>
      <c r="F24" s="2372"/>
      <c r="G24" s="2372"/>
      <c r="H24" s="2372"/>
      <c r="I24" s="2372"/>
      <c r="J24" s="2372"/>
      <c r="K24" s="2372"/>
      <c r="L24" s="2372"/>
      <c r="M24" s="2372"/>
      <c r="N24" s="2372"/>
      <c r="O24" s="2372"/>
    </row>
    <row r="25" spans="1:15" ht="20.25" customHeight="1" x14ac:dyDescent="0.25">
      <c r="A25" s="2369" t="s">
        <v>1885</v>
      </c>
      <c r="B25" s="2370"/>
      <c r="C25" s="2370"/>
      <c r="D25" s="2370"/>
      <c r="E25" s="2371"/>
      <c r="F25" s="2369" t="s">
        <v>1886</v>
      </c>
      <c r="G25" s="2371"/>
      <c r="H25" s="2369" t="s">
        <v>1887</v>
      </c>
      <c r="I25" s="2371"/>
      <c r="J25" s="2369" t="s">
        <v>44</v>
      </c>
      <c r="K25" s="2370"/>
      <c r="L25" s="2370"/>
      <c r="M25" s="2370"/>
      <c r="N25" s="2370"/>
      <c r="O25" s="2371"/>
    </row>
    <row r="26" spans="1:15" ht="20.25" customHeight="1" x14ac:dyDescent="0.25">
      <c r="A26" s="2362" t="s">
        <v>1888</v>
      </c>
      <c r="B26" s="2363"/>
      <c r="C26" s="2363"/>
      <c r="D26" s="2363"/>
      <c r="E26" s="2364"/>
      <c r="F26" s="1641"/>
      <c r="G26" s="1642"/>
      <c r="H26" s="1641"/>
      <c r="I26" s="1642"/>
      <c r="J26" s="1641"/>
      <c r="K26" s="2365"/>
      <c r="L26" s="2365"/>
      <c r="M26" s="2365"/>
      <c r="N26" s="2365"/>
      <c r="O26" s="1642"/>
    </row>
    <row r="27" spans="1:15" ht="20.25" customHeight="1" x14ac:dyDescent="0.25">
      <c r="A27" s="2362" t="s">
        <v>1889</v>
      </c>
      <c r="B27" s="2363"/>
      <c r="C27" s="2363"/>
      <c r="D27" s="2363"/>
      <c r="E27" s="2364"/>
      <c r="F27" s="1641"/>
      <c r="G27" s="1642"/>
      <c r="H27" s="1641"/>
      <c r="I27" s="1642"/>
      <c r="J27" s="1641"/>
      <c r="K27" s="2365"/>
      <c r="L27" s="2365"/>
      <c r="M27" s="2365"/>
      <c r="N27" s="2365"/>
      <c r="O27" s="1642"/>
    </row>
    <row r="28" spans="1:15" ht="20.25" customHeight="1" x14ac:dyDescent="0.25">
      <c r="A28" s="2362" t="s">
        <v>1890</v>
      </c>
      <c r="B28" s="2363"/>
      <c r="C28" s="2363"/>
      <c r="D28" s="2363"/>
      <c r="E28" s="2364"/>
      <c r="F28" s="1641"/>
      <c r="G28" s="1642"/>
      <c r="H28" s="1641"/>
      <c r="I28" s="1642"/>
      <c r="J28" s="1641"/>
      <c r="K28" s="2365"/>
      <c r="L28" s="2365"/>
      <c r="M28" s="2365"/>
      <c r="N28" s="2365"/>
      <c r="O28" s="1642"/>
    </row>
    <row r="29" spans="1:15" ht="20.25" customHeight="1" x14ac:dyDescent="0.25">
      <c r="A29" s="2362" t="s">
        <v>1891</v>
      </c>
      <c r="B29" s="2363"/>
      <c r="C29" s="2363"/>
      <c r="D29" s="2363"/>
      <c r="E29" s="2364"/>
      <c r="F29" s="1641"/>
      <c r="G29" s="1642"/>
      <c r="H29" s="1641"/>
      <c r="I29" s="1642"/>
      <c r="J29" s="1641"/>
      <c r="K29" s="2365"/>
      <c r="L29" s="2365"/>
      <c r="M29" s="2365"/>
      <c r="N29" s="2365"/>
      <c r="O29" s="1642"/>
    </row>
    <row r="30" spans="1:15" ht="20.25" customHeight="1" x14ac:dyDescent="0.25">
      <c r="A30" s="2362" t="s">
        <v>1892</v>
      </c>
      <c r="B30" s="2363"/>
      <c r="C30" s="2363"/>
      <c r="D30" s="2363"/>
      <c r="E30" s="2364"/>
      <c r="F30" s="1641"/>
      <c r="G30" s="1642"/>
      <c r="H30" s="1641"/>
      <c r="I30" s="1642"/>
      <c r="J30" s="1641"/>
      <c r="K30" s="2365"/>
      <c r="L30" s="2365"/>
      <c r="M30" s="2365"/>
      <c r="N30" s="2365"/>
      <c r="O30" s="1642"/>
    </row>
    <row r="31" spans="1:15" ht="20.25" customHeight="1" x14ac:dyDescent="0.25">
      <c r="A31" s="2362" t="s">
        <v>1899</v>
      </c>
      <c r="B31" s="2363"/>
      <c r="C31" s="2363"/>
      <c r="D31" s="2363"/>
      <c r="E31" s="2364"/>
      <c r="F31" s="1641"/>
      <c r="G31" s="1642"/>
      <c r="H31" s="1641"/>
      <c r="I31" s="1642"/>
      <c r="J31" s="1641"/>
      <c r="K31" s="2365"/>
      <c r="L31" s="2365"/>
      <c r="M31" s="2365"/>
      <c r="N31" s="2365"/>
      <c r="O31" s="1642"/>
    </row>
    <row r="33" spans="1:15" ht="9.75" customHeight="1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25">
      <c r="A34" s="916" t="s">
        <v>1901</v>
      </c>
      <c r="B34" s="917"/>
      <c r="O34" s="155"/>
    </row>
    <row r="35" spans="1:15" ht="7.5" customHeight="1" x14ac:dyDescent="0.25">
      <c r="A35" s="916"/>
      <c r="B35" s="917"/>
      <c r="O35" s="155"/>
    </row>
    <row r="36" spans="1:15" x14ac:dyDescent="0.25">
      <c r="A36" s="2359" t="s">
        <v>1902</v>
      </c>
      <c r="B36" s="2360"/>
      <c r="C36" s="2360"/>
      <c r="D36" s="2360"/>
      <c r="E36" s="2360"/>
      <c r="F36" s="2360"/>
      <c r="G36" s="2360"/>
      <c r="H36" s="2360"/>
      <c r="I36" s="2360"/>
      <c r="J36" s="2360"/>
      <c r="K36" s="2360"/>
      <c r="L36" s="2360"/>
      <c r="M36" s="2360"/>
      <c r="N36" s="2360"/>
      <c r="O36" s="2361"/>
    </row>
    <row r="37" spans="1:15" x14ac:dyDescent="0.25">
      <c r="A37" s="2359"/>
      <c r="B37" s="2360"/>
      <c r="C37" s="2360"/>
      <c r="D37" s="2360"/>
      <c r="E37" s="2360"/>
      <c r="F37" s="2360"/>
      <c r="G37" s="2360"/>
      <c r="H37" s="2360"/>
      <c r="I37" s="2360"/>
      <c r="J37" s="2360"/>
      <c r="K37" s="2360"/>
      <c r="L37" s="2360"/>
      <c r="M37" s="2360"/>
      <c r="N37" s="2360"/>
      <c r="O37" s="2361"/>
    </row>
    <row r="38" spans="1:15" x14ac:dyDescent="0.2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25">
      <c r="A39" s="2367" t="s">
        <v>1903</v>
      </c>
      <c r="B39" s="2368"/>
      <c r="C39" s="2368"/>
      <c r="D39" s="2368"/>
      <c r="E39" s="1931"/>
      <c r="F39" s="1931"/>
      <c r="G39" s="1931"/>
      <c r="H39" s="1931"/>
      <c r="I39" s="1160" t="s">
        <v>1904</v>
      </c>
      <c r="J39" s="1160"/>
      <c r="K39" s="157"/>
      <c r="L39" s="157"/>
      <c r="M39" s="157"/>
      <c r="N39" s="157"/>
      <c r="O39" s="155"/>
    </row>
    <row r="40" spans="1:15" ht="21" customHeight="1" x14ac:dyDescent="0.25">
      <c r="A40" s="921" t="s">
        <v>1079</v>
      </c>
      <c r="B40" s="2366"/>
      <c r="C40" s="2366"/>
      <c r="D40" s="2366"/>
      <c r="E40" s="2366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25">
      <c r="A41" s="914"/>
      <c r="B41" s="914"/>
    </row>
  </sheetData>
  <mergeCells count="83"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  <mergeCell ref="F12:G12"/>
    <mergeCell ref="H12:I12"/>
    <mergeCell ref="J12:O12"/>
    <mergeCell ref="A13:E13"/>
    <mergeCell ref="F13:G13"/>
    <mergeCell ref="H13:I13"/>
    <mergeCell ref="J13:O13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F27:G27"/>
    <mergeCell ref="H27:I27"/>
    <mergeCell ref="J27:O27"/>
    <mergeCell ref="A25:E25"/>
    <mergeCell ref="F25:G25"/>
    <mergeCell ref="H25:I25"/>
    <mergeCell ref="J25:O25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5" x14ac:dyDescent="0.25"/>
  <cols>
    <col min="1" max="1" width="5.140625" customWidth="1"/>
    <col min="2" max="189" width="0.7109375" customWidth="1"/>
    <col min="190" max="190" width="7.5703125" customWidth="1"/>
  </cols>
  <sheetData>
    <row r="1" spans="1:200" ht="30" customHeight="1" x14ac:dyDescent="0.25"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2386">
        <f>IF(Data!$B$1&lt;&gt;"", Data!$B$1, " ")</f>
        <v>20261004</v>
      </c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  <c r="AD1" s="2386"/>
      <c r="AE1" s="2386"/>
      <c r="AF1" s="2386"/>
      <c r="AG1" s="2386"/>
      <c r="AH1" s="2386"/>
      <c r="AI1" s="2386"/>
      <c r="AJ1" s="2386"/>
      <c r="AK1" s="2386"/>
      <c r="AL1" s="2386"/>
      <c r="AM1" s="2386"/>
      <c r="AN1" s="2386"/>
      <c r="AO1" s="2386"/>
      <c r="AP1" s="2386"/>
      <c r="AQ1" s="2386"/>
      <c r="AR1" s="2386"/>
      <c r="AS1" s="2386"/>
      <c r="AT1" s="2386"/>
      <c r="AU1" s="2386"/>
      <c r="AV1" s="2386"/>
      <c r="AW1" s="2386"/>
      <c r="AX1" s="2386"/>
      <c r="AY1" s="2386"/>
      <c r="AZ1" s="2386"/>
      <c r="BA1" s="2386"/>
      <c r="BB1" s="2386"/>
      <c r="BC1" s="2386"/>
      <c r="BD1" s="2386"/>
      <c r="BE1" s="2386"/>
      <c r="BF1" s="2386"/>
      <c r="BG1" s="2386"/>
      <c r="BH1" s="2386"/>
      <c r="BI1" s="2386" t="str">
        <f>IF(Data!$B$2&lt;&gt;"", Data!$B$2, " ")</f>
        <v>14304769R1</v>
      </c>
      <c r="BJ1" s="2386"/>
      <c r="BK1" s="2386"/>
      <c r="BL1" s="2386"/>
      <c r="BM1" s="2386"/>
      <c r="BN1" s="2386"/>
      <c r="BO1" s="2386"/>
      <c r="BP1" s="2386"/>
      <c r="BQ1" s="2386"/>
      <c r="BR1" s="2386"/>
      <c r="BS1" s="2386"/>
      <c r="BT1" s="2386"/>
      <c r="BU1" s="2386"/>
      <c r="BV1" s="2386"/>
      <c r="BW1" s="2386"/>
      <c r="BX1" s="2386"/>
      <c r="BY1" s="2386"/>
      <c r="BZ1" s="2386"/>
      <c r="CA1" s="2386"/>
      <c r="CB1" s="2386"/>
      <c r="CC1" s="2386"/>
      <c r="CD1" s="2386"/>
      <c r="CE1" s="2386"/>
      <c r="CF1" s="2386"/>
      <c r="CG1" s="2386"/>
      <c r="CH1" s="2386"/>
      <c r="CI1" s="2386"/>
      <c r="CJ1" s="2386"/>
      <c r="CK1" s="2386"/>
      <c r="CL1" s="2386"/>
      <c r="CM1" s="2386"/>
      <c r="CN1" s="2386"/>
      <c r="CO1" s="2386"/>
      <c r="CP1" s="2386"/>
      <c r="CQ1" s="2386"/>
      <c r="CR1" s="2386"/>
      <c r="CS1" s="2386"/>
      <c r="CT1" s="2386"/>
      <c r="CU1" s="2386"/>
      <c r="CV1" s="2386"/>
      <c r="CW1" s="2386"/>
      <c r="CX1" s="2386"/>
      <c r="CY1" s="2386"/>
      <c r="CZ1" s="2386"/>
      <c r="DA1" s="2386"/>
      <c r="DB1" s="2386"/>
      <c r="DC1" s="2386"/>
      <c r="DD1" s="2386"/>
      <c r="DE1" s="2386"/>
      <c r="DF1" s="2386"/>
      <c r="DG1" s="2386"/>
      <c r="DH1" s="2386"/>
      <c r="DI1" s="2386"/>
      <c r="DJ1" s="2386" t="str">
        <f>IF(Data!$B$4&lt;&gt;"",Data!$B$4," ")</f>
        <v>HD54</v>
      </c>
      <c r="DK1" s="2386"/>
      <c r="DL1" s="2386"/>
      <c r="DM1" s="2386"/>
      <c r="DN1" s="2386"/>
      <c r="DO1" s="2386"/>
      <c r="DP1" s="2386"/>
      <c r="DQ1" s="2386"/>
      <c r="DR1" s="2386"/>
      <c r="DS1" s="2386"/>
      <c r="DT1" s="2386"/>
      <c r="DU1" s="2386"/>
      <c r="DV1" s="2386"/>
      <c r="DW1" s="2386"/>
      <c r="DX1" s="2386"/>
      <c r="DY1" s="2386"/>
      <c r="DZ1" s="2386"/>
      <c r="EA1" s="2386"/>
      <c r="EB1" s="2386"/>
      <c r="EC1" s="2386"/>
      <c r="ED1" s="2386"/>
      <c r="EE1" s="2386"/>
      <c r="EF1" s="2386"/>
      <c r="EG1" s="2386"/>
      <c r="EH1" s="2386"/>
      <c r="EI1" s="2386"/>
      <c r="EJ1" s="2386"/>
      <c r="EK1" s="2386"/>
      <c r="EL1" s="2386"/>
      <c r="EM1" s="2386"/>
      <c r="EN1" s="2386"/>
      <c r="EO1" s="2386"/>
      <c r="EP1" s="2386" t="str">
        <f>IF(LEN(Data!B3)&gt;3,IF(AND(Data!B43&lt;&gt;"",Data!B43&lt;&gt;"0 0/1"""),Data!B43,""),IF(Data!B3&lt;&gt;"",Data!B3&amp;"""",""))</f>
        <v>6 1/8"</v>
      </c>
      <c r="EQ1" s="2386"/>
      <c r="ER1" s="2386"/>
      <c r="ES1" s="2386"/>
      <c r="ET1" s="2386"/>
      <c r="EU1" s="2386"/>
      <c r="EV1" s="2386"/>
      <c r="EW1" s="2386"/>
      <c r="EX1" s="2386"/>
      <c r="EY1" s="2386"/>
      <c r="EZ1" s="2386"/>
      <c r="FA1" s="2386"/>
      <c r="FB1" s="2386"/>
      <c r="FC1" s="2386"/>
      <c r="FD1" s="2386"/>
      <c r="FE1" s="2386"/>
      <c r="FF1" s="2386"/>
      <c r="FG1" s="2386"/>
      <c r="FH1" s="2386"/>
      <c r="FI1" s="2386"/>
      <c r="FJ1" s="2386"/>
      <c r="FK1" s="2386"/>
      <c r="FL1" s="2386"/>
      <c r="FM1" s="2386"/>
      <c r="FN1" s="2386"/>
      <c r="FO1" s="2386"/>
      <c r="FP1" s="2386"/>
      <c r="FQ1" s="2386"/>
      <c r="FR1" s="2386"/>
      <c r="FS1" s="2386"/>
      <c r="FT1" s="2386"/>
      <c r="FU1" s="2386"/>
      <c r="FV1" s="1160"/>
      <c r="FW1" s="1160"/>
      <c r="FX1" s="1160"/>
      <c r="FY1" s="1160"/>
      <c r="FZ1" s="1160"/>
      <c r="GA1" s="1160"/>
      <c r="GB1" s="1160"/>
      <c r="GC1" s="1160"/>
      <c r="GD1" s="1160"/>
      <c r="GE1" s="1160"/>
      <c r="GF1" s="1160"/>
      <c r="GG1" s="1160"/>
    </row>
    <row r="2" spans="1:200" ht="31.5" customHeight="1" x14ac:dyDescent="0.2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0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0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0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160"/>
      <c r="FW2" s="1160"/>
      <c r="FX2" s="1160"/>
      <c r="FY2" s="1160"/>
      <c r="FZ2" s="1160"/>
      <c r="GA2" s="1160"/>
      <c r="GB2" s="1160"/>
      <c r="GC2" s="1160"/>
      <c r="GD2" s="1160"/>
      <c r="GE2" s="1160"/>
      <c r="GF2" s="1160"/>
      <c r="GG2" s="1160"/>
      <c r="GH2" s="139"/>
    </row>
    <row r="3" spans="1:200" ht="44.25" customHeight="1" x14ac:dyDescent="0.25">
      <c r="A3" s="338">
        <v>1</v>
      </c>
      <c r="B3" s="2387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3" s="2387"/>
      <c r="D3" s="2387"/>
      <c r="E3" s="2387"/>
      <c r="F3" s="2387"/>
      <c r="G3" s="2387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S3" s="2387"/>
      <c r="T3" s="2387"/>
      <c r="U3" s="2387"/>
      <c r="V3" s="2387"/>
      <c r="W3" s="2387"/>
      <c r="X3" s="2387"/>
      <c r="Y3" s="2387"/>
      <c r="Z3" s="2387"/>
      <c r="AA3" s="2387"/>
      <c r="AB3" s="2387"/>
      <c r="AC3" s="2387"/>
      <c r="AD3" s="2387"/>
      <c r="AE3" s="2387"/>
      <c r="AF3" s="2387"/>
      <c r="AG3" s="2387"/>
      <c r="AH3" s="2387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AI3" s="2387"/>
      <c r="AJ3" s="2387"/>
      <c r="AK3" s="2387"/>
      <c r="AL3" s="2387"/>
      <c r="AM3" s="2387"/>
      <c r="AN3" s="2387"/>
      <c r="AO3" s="2387"/>
      <c r="AP3" s="2387"/>
      <c r="AQ3" s="2387"/>
      <c r="AR3" s="2387"/>
      <c r="AS3" s="2387"/>
      <c r="AT3" s="2387"/>
      <c r="AU3" s="2387"/>
      <c r="AV3" s="2387"/>
      <c r="AW3" s="2387"/>
      <c r="AX3" s="2387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Y3" s="2387"/>
      <c r="AZ3" s="2387"/>
      <c r="BA3" s="2387"/>
      <c r="BB3" s="2387"/>
      <c r="BC3" s="2387"/>
      <c r="BD3" s="2387"/>
      <c r="BE3" s="2387"/>
      <c r="BF3" s="2387"/>
      <c r="BG3" s="2387"/>
      <c r="BH3" s="2387"/>
      <c r="BI3" s="2387"/>
      <c r="BJ3" s="2387"/>
      <c r="BK3" s="2387"/>
      <c r="BL3" s="2387"/>
      <c r="BM3" s="2387"/>
      <c r="BN3" s="2387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BO3" s="2387"/>
      <c r="BP3" s="2387"/>
      <c r="BQ3" s="2387"/>
      <c r="BR3" s="2387"/>
      <c r="BS3" s="2387"/>
      <c r="BT3" s="2387"/>
      <c r="BU3" s="2387"/>
      <c r="BV3" s="2387"/>
      <c r="BW3" s="2387"/>
      <c r="BX3" s="2387"/>
      <c r="BY3" s="2387"/>
      <c r="BZ3" s="2387"/>
      <c r="CA3" s="2387"/>
      <c r="CB3" s="2387"/>
      <c r="CC3" s="2387"/>
      <c r="CD3" s="2387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O</v>
      </c>
      <c r="CE3" s="2387"/>
      <c r="CF3" s="2387"/>
      <c r="CG3" s="2387"/>
      <c r="CH3" s="2387"/>
      <c r="CI3" s="2387"/>
      <c r="CJ3" s="2387"/>
      <c r="CK3" s="2387"/>
      <c r="CL3" s="2387"/>
      <c r="CM3" s="2387"/>
      <c r="CN3" s="2387"/>
      <c r="CO3" s="2387"/>
      <c r="CP3" s="2387"/>
      <c r="CQ3" s="2387"/>
      <c r="CR3" s="2387"/>
      <c r="CS3" s="2387"/>
      <c r="CT3" s="2387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O</v>
      </c>
      <c r="CU3" s="2387"/>
      <c r="CV3" s="2387"/>
      <c r="CW3" s="2387"/>
      <c r="CX3" s="2387"/>
      <c r="CY3" s="2387"/>
      <c r="CZ3" s="2387"/>
      <c r="DA3" s="2387"/>
      <c r="DB3" s="2387"/>
      <c r="DC3" s="2387"/>
      <c r="DD3" s="2387"/>
      <c r="DE3" s="2387"/>
      <c r="DF3" s="2387"/>
      <c r="DG3" s="2387"/>
      <c r="DH3" s="2387"/>
      <c r="DI3" s="2387"/>
      <c r="DJ3" s="2387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O</v>
      </c>
      <c r="DK3" s="2387"/>
      <c r="DL3" s="2387"/>
      <c r="DM3" s="2387"/>
      <c r="DN3" s="2387"/>
      <c r="DO3" s="2387"/>
      <c r="DP3" s="2387"/>
      <c r="DQ3" s="2387"/>
      <c r="DR3" s="2387"/>
      <c r="DS3" s="2387"/>
      <c r="DT3" s="2387"/>
      <c r="DU3" s="2387"/>
      <c r="DV3" s="2387"/>
      <c r="DW3" s="2387"/>
      <c r="DX3" s="2387"/>
      <c r="DY3" s="2387"/>
      <c r="DZ3" s="2387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7"/>
      <c r="EB3" s="2387"/>
      <c r="EC3" s="2387"/>
      <c r="ED3" s="2387"/>
      <c r="EE3" s="2387"/>
      <c r="EF3" s="2387"/>
      <c r="EG3" s="2387"/>
      <c r="EH3" s="2387"/>
      <c r="EI3" s="2387"/>
      <c r="EJ3" s="2387"/>
      <c r="EK3" s="2387"/>
      <c r="EL3" s="2387"/>
      <c r="EM3" s="2387"/>
      <c r="EN3" s="2387"/>
      <c r="EO3" s="2387"/>
      <c r="EP3" s="2387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EQ3" s="2387"/>
      <c r="ER3" s="2387"/>
      <c r="ES3" s="2387"/>
      <c r="ET3" s="2387"/>
      <c r="EU3" s="2387"/>
      <c r="EV3" s="2387"/>
      <c r="EW3" s="2387"/>
      <c r="EX3" s="2387"/>
      <c r="EY3" s="2387"/>
      <c r="EZ3" s="2387"/>
      <c r="FA3" s="2387"/>
      <c r="FB3" s="2387"/>
      <c r="FC3" s="2387"/>
      <c r="FD3" s="2387"/>
      <c r="FE3" s="2387"/>
      <c r="FF3" s="2387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FG3" s="2387"/>
      <c r="FH3" s="2387"/>
      <c r="FI3" s="2387"/>
      <c r="FJ3" s="2387"/>
      <c r="FK3" s="2387"/>
      <c r="FL3" s="2387"/>
      <c r="FM3" s="2387"/>
      <c r="FN3" s="2387"/>
      <c r="FO3" s="2387"/>
      <c r="FP3" s="2387"/>
      <c r="FQ3" s="2387"/>
      <c r="FR3" s="2387"/>
      <c r="FS3" s="2387"/>
      <c r="FT3" s="2387"/>
      <c r="FU3" s="2387"/>
      <c r="FV3" s="1160"/>
      <c r="FW3" s="1160"/>
      <c r="FX3" s="1160"/>
      <c r="FY3" s="1160"/>
      <c r="FZ3" s="1160"/>
      <c r="GA3" s="1160"/>
      <c r="GB3" s="1160"/>
      <c r="GC3" s="1160"/>
      <c r="GD3" s="1160"/>
      <c r="GE3" s="1160"/>
      <c r="GF3" s="1160"/>
      <c r="GG3" s="1160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25">
      <c r="A4" s="338">
        <v>2</v>
      </c>
      <c r="B4" s="2387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4" s="2387"/>
      <c r="D4" s="2387"/>
      <c r="E4" s="2387"/>
      <c r="F4" s="2387"/>
      <c r="G4" s="2387"/>
      <c r="H4" s="2387"/>
      <c r="I4" s="2387"/>
      <c r="J4" s="2387"/>
      <c r="K4" s="2387"/>
      <c r="L4" s="2387"/>
      <c r="M4" s="2387"/>
      <c r="N4" s="2387"/>
      <c r="O4" s="2387"/>
      <c r="P4" s="2387"/>
      <c r="Q4" s="2387"/>
      <c r="R4" s="2387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S4" s="2387"/>
      <c r="T4" s="2387"/>
      <c r="U4" s="2387"/>
      <c r="V4" s="2387"/>
      <c r="W4" s="2387"/>
      <c r="X4" s="2387"/>
      <c r="Y4" s="2387"/>
      <c r="Z4" s="2387"/>
      <c r="AA4" s="2387"/>
      <c r="AB4" s="2387"/>
      <c r="AC4" s="2387"/>
      <c r="AD4" s="2387"/>
      <c r="AE4" s="2387"/>
      <c r="AF4" s="2387"/>
      <c r="AG4" s="2387"/>
      <c r="AH4" s="2387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O</v>
      </c>
      <c r="AI4" s="2387"/>
      <c r="AJ4" s="2387"/>
      <c r="AK4" s="2387"/>
      <c r="AL4" s="2387"/>
      <c r="AM4" s="2387"/>
      <c r="AN4" s="2387"/>
      <c r="AO4" s="2387"/>
      <c r="AP4" s="2387"/>
      <c r="AQ4" s="2387"/>
      <c r="AR4" s="2387"/>
      <c r="AS4" s="2387"/>
      <c r="AT4" s="2387"/>
      <c r="AU4" s="2387"/>
      <c r="AV4" s="2387"/>
      <c r="AW4" s="2387"/>
      <c r="AX4" s="2387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O</v>
      </c>
      <c r="AY4" s="2387"/>
      <c r="AZ4" s="2387"/>
      <c r="BA4" s="2387"/>
      <c r="BB4" s="2387"/>
      <c r="BC4" s="2387"/>
      <c r="BD4" s="2387"/>
      <c r="BE4" s="2387"/>
      <c r="BF4" s="2387"/>
      <c r="BG4" s="2387"/>
      <c r="BH4" s="2387"/>
      <c r="BI4" s="2387"/>
      <c r="BJ4" s="2387"/>
      <c r="BK4" s="2387"/>
      <c r="BL4" s="2387"/>
      <c r="BM4" s="2387"/>
      <c r="BN4" s="2387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O</v>
      </c>
      <c r="BO4" s="2387"/>
      <c r="BP4" s="2387"/>
      <c r="BQ4" s="2387"/>
      <c r="BR4" s="2387"/>
      <c r="BS4" s="2387"/>
      <c r="BT4" s="2387"/>
      <c r="BU4" s="2387"/>
      <c r="BV4" s="2387"/>
      <c r="BW4" s="2387"/>
      <c r="BX4" s="2387"/>
      <c r="BY4" s="2387"/>
      <c r="BZ4" s="2387"/>
      <c r="CA4" s="2387"/>
      <c r="CB4" s="2387"/>
      <c r="CC4" s="2387"/>
      <c r="CD4" s="2387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7"/>
      <c r="CF4" s="2387"/>
      <c r="CG4" s="2387"/>
      <c r="CH4" s="2387"/>
      <c r="CI4" s="2387"/>
      <c r="CJ4" s="2387"/>
      <c r="CK4" s="2387"/>
      <c r="CL4" s="2387"/>
      <c r="CM4" s="2387"/>
      <c r="CN4" s="2387"/>
      <c r="CO4" s="2387"/>
      <c r="CP4" s="2387"/>
      <c r="CQ4" s="2387"/>
      <c r="CR4" s="2387"/>
      <c r="CS4" s="2387"/>
      <c r="CT4" s="2387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7"/>
      <c r="CV4" s="2387"/>
      <c r="CW4" s="2387"/>
      <c r="CX4" s="2387"/>
      <c r="CY4" s="2387"/>
      <c r="CZ4" s="2387"/>
      <c r="DA4" s="2387"/>
      <c r="DB4" s="2387"/>
      <c r="DC4" s="2387"/>
      <c r="DD4" s="2387"/>
      <c r="DE4" s="2387"/>
      <c r="DF4" s="2387"/>
      <c r="DG4" s="2387"/>
      <c r="DH4" s="2387"/>
      <c r="DI4" s="2387"/>
      <c r="DJ4" s="2387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7"/>
      <c r="DL4" s="2387"/>
      <c r="DM4" s="2387"/>
      <c r="DN4" s="2387"/>
      <c r="DO4" s="2387"/>
      <c r="DP4" s="2387"/>
      <c r="DQ4" s="2387"/>
      <c r="DR4" s="2387"/>
      <c r="DS4" s="2387"/>
      <c r="DT4" s="2387"/>
      <c r="DU4" s="2387"/>
      <c r="DV4" s="2387"/>
      <c r="DW4" s="2387"/>
      <c r="DX4" s="2387"/>
      <c r="DY4" s="2387"/>
      <c r="DZ4" s="2387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7"/>
      <c r="EB4" s="2387"/>
      <c r="EC4" s="2387"/>
      <c r="ED4" s="2387"/>
      <c r="EE4" s="2387"/>
      <c r="EF4" s="2387"/>
      <c r="EG4" s="2387"/>
      <c r="EH4" s="2387"/>
      <c r="EI4" s="2387"/>
      <c r="EJ4" s="2387"/>
      <c r="EK4" s="2387"/>
      <c r="EL4" s="2387"/>
      <c r="EM4" s="2387"/>
      <c r="EN4" s="2387"/>
      <c r="EO4" s="2387"/>
      <c r="EP4" s="2387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EQ4" s="2387"/>
      <c r="ER4" s="2387"/>
      <c r="ES4" s="2387"/>
      <c r="ET4" s="2387"/>
      <c r="EU4" s="2387"/>
      <c r="EV4" s="2387"/>
      <c r="EW4" s="2387"/>
      <c r="EX4" s="2387"/>
      <c r="EY4" s="2387"/>
      <c r="EZ4" s="2387"/>
      <c r="FA4" s="2387"/>
      <c r="FB4" s="2387"/>
      <c r="FC4" s="2387"/>
      <c r="FD4" s="2387"/>
      <c r="FE4" s="2387"/>
      <c r="FF4" s="2387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FG4" s="2387"/>
      <c r="FH4" s="2387"/>
      <c r="FI4" s="2387"/>
      <c r="FJ4" s="2387"/>
      <c r="FK4" s="2387"/>
      <c r="FL4" s="2387"/>
      <c r="FM4" s="2387"/>
      <c r="FN4" s="2387"/>
      <c r="FO4" s="2387"/>
      <c r="FP4" s="2387"/>
      <c r="FQ4" s="2387"/>
      <c r="FR4" s="2387"/>
      <c r="FS4" s="2387"/>
      <c r="FT4" s="2387"/>
      <c r="FU4" s="2387"/>
      <c r="FV4" s="1160"/>
      <c r="FW4" s="1160"/>
      <c r="FX4" s="1160"/>
      <c r="FY4" s="1160"/>
      <c r="FZ4" s="1160"/>
      <c r="GA4" s="1160"/>
      <c r="GB4" s="1160"/>
      <c r="GC4" s="1160"/>
      <c r="GD4" s="1160"/>
      <c r="GE4" s="1160"/>
      <c r="GF4" s="1160"/>
      <c r="GG4" s="1160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25">
      <c r="A5" s="338">
        <v>3</v>
      </c>
      <c r="B5" s="2387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5" s="2387"/>
      <c r="D5" s="2387"/>
      <c r="E5" s="2387"/>
      <c r="F5" s="2387"/>
      <c r="G5" s="2387"/>
      <c r="H5" s="2387"/>
      <c r="I5" s="2387"/>
      <c r="J5" s="2387"/>
      <c r="K5" s="2387"/>
      <c r="L5" s="2387"/>
      <c r="M5" s="2387"/>
      <c r="N5" s="2387"/>
      <c r="O5" s="2387"/>
      <c r="P5" s="2387"/>
      <c r="Q5" s="2387"/>
      <c r="R5" s="2387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O</v>
      </c>
      <c r="S5" s="2387"/>
      <c r="T5" s="2387"/>
      <c r="U5" s="2387"/>
      <c r="V5" s="2387"/>
      <c r="W5" s="2387"/>
      <c r="X5" s="2387"/>
      <c r="Y5" s="2387"/>
      <c r="Z5" s="2387"/>
      <c r="AA5" s="2387"/>
      <c r="AB5" s="2387"/>
      <c r="AC5" s="2387"/>
      <c r="AD5" s="2387"/>
      <c r="AE5" s="2387"/>
      <c r="AF5" s="2387"/>
      <c r="AG5" s="2387"/>
      <c r="AH5" s="2387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AI5" s="2387"/>
      <c r="AJ5" s="2387"/>
      <c r="AK5" s="2387"/>
      <c r="AL5" s="2387"/>
      <c r="AM5" s="2387"/>
      <c r="AN5" s="2387"/>
      <c r="AO5" s="2387"/>
      <c r="AP5" s="2387"/>
      <c r="AQ5" s="2387"/>
      <c r="AR5" s="2387"/>
      <c r="AS5" s="2387"/>
      <c r="AT5" s="2387"/>
      <c r="AU5" s="2387"/>
      <c r="AV5" s="2387"/>
      <c r="AW5" s="2387"/>
      <c r="AX5" s="2387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AY5" s="2387"/>
      <c r="AZ5" s="2387"/>
      <c r="BA5" s="2387"/>
      <c r="BB5" s="2387"/>
      <c r="BC5" s="2387"/>
      <c r="BD5" s="2387"/>
      <c r="BE5" s="2387"/>
      <c r="BF5" s="2387"/>
      <c r="BG5" s="2387"/>
      <c r="BH5" s="2387"/>
      <c r="BI5" s="2387"/>
      <c r="BJ5" s="2387"/>
      <c r="BK5" s="2387"/>
      <c r="BL5" s="2387"/>
      <c r="BM5" s="2387"/>
      <c r="BN5" s="2387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O</v>
      </c>
      <c r="BO5" s="2387"/>
      <c r="BP5" s="2387"/>
      <c r="BQ5" s="2387"/>
      <c r="BR5" s="2387"/>
      <c r="BS5" s="2387"/>
      <c r="BT5" s="2387"/>
      <c r="BU5" s="2387"/>
      <c r="BV5" s="2387"/>
      <c r="BW5" s="2387"/>
      <c r="BX5" s="2387"/>
      <c r="BY5" s="2387"/>
      <c r="BZ5" s="2387"/>
      <c r="CA5" s="2387"/>
      <c r="CB5" s="2387"/>
      <c r="CC5" s="2387"/>
      <c r="CD5" s="2387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O</v>
      </c>
      <c r="CE5" s="2387"/>
      <c r="CF5" s="2387"/>
      <c r="CG5" s="2387"/>
      <c r="CH5" s="2387"/>
      <c r="CI5" s="2387"/>
      <c r="CJ5" s="2387"/>
      <c r="CK5" s="2387"/>
      <c r="CL5" s="2387"/>
      <c r="CM5" s="2387"/>
      <c r="CN5" s="2387"/>
      <c r="CO5" s="2387"/>
      <c r="CP5" s="2387"/>
      <c r="CQ5" s="2387"/>
      <c r="CR5" s="2387"/>
      <c r="CS5" s="2387"/>
      <c r="CT5" s="2387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O</v>
      </c>
      <c r="CU5" s="2387"/>
      <c r="CV5" s="2387"/>
      <c r="CW5" s="2387"/>
      <c r="CX5" s="2387"/>
      <c r="CY5" s="2387"/>
      <c r="CZ5" s="2387"/>
      <c r="DA5" s="2387"/>
      <c r="DB5" s="2387"/>
      <c r="DC5" s="2387"/>
      <c r="DD5" s="2387"/>
      <c r="DE5" s="2387"/>
      <c r="DF5" s="2387"/>
      <c r="DG5" s="2387"/>
      <c r="DH5" s="2387"/>
      <c r="DI5" s="2387"/>
      <c r="DJ5" s="2387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7"/>
      <c r="DL5" s="2387"/>
      <c r="DM5" s="2387"/>
      <c r="DN5" s="2387"/>
      <c r="DO5" s="2387"/>
      <c r="DP5" s="2387"/>
      <c r="DQ5" s="2387"/>
      <c r="DR5" s="2387"/>
      <c r="DS5" s="2387"/>
      <c r="DT5" s="2387"/>
      <c r="DU5" s="2387"/>
      <c r="DV5" s="2387"/>
      <c r="DW5" s="2387"/>
      <c r="DX5" s="2387"/>
      <c r="DY5" s="2387"/>
      <c r="DZ5" s="2387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7"/>
      <c r="EB5" s="2387"/>
      <c r="EC5" s="2387"/>
      <c r="ED5" s="2387"/>
      <c r="EE5" s="2387"/>
      <c r="EF5" s="2387"/>
      <c r="EG5" s="2387"/>
      <c r="EH5" s="2387"/>
      <c r="EI5" s="2387"/>
      <c r="EJ5" s="2387"/>
      <c r="EK5" s="2387"/>
      <c r="EL5" s="2387"/>
      <c r="EM5" s="2387"/>
      <c r="EN5" s="2387"/>
      <c r="EO5" s="2387"/>
      <c r="EP5" s="2387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EQ5" s="2387"/>
      <c r="ER5" s="2387"/>
      <c r="ES5" s="2387"/>
      <c r="ET5" s="2387"/>
      <c r="EU5" s="2387"/>
      <c r="EV5" s="2387"/>
      <c r="EW5" s="2387"/>
      <c r="EX5" s="2387"/>
      <c r="EY5" s="2387"/>
      <c r="EZ5" s="2387"/>
      <c r="FA5" s="2387"/>
      <c r="FB5" s="2387"/>
      <c r="FC5" s="2387"/>
      <c r="FD5" s="2387"/>
      <c r="FE5" s="2387"/>
      <c r="FF5" s="2387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FG5" s="2387"/>
      <c r="FH5" s="2387"/>
      <c r="FI5" s="2387"/>
      <c r="FJ5" s="2387"/>
      <c r="FK5" s="2387"/>
      <c r="FL5" s="2387"/>
      <c r="FM5" s="2387"/>
      <c r="FN5" s="2387"/>
      <c r="FO5" s="2387"/>
      <c r="FP5" s="2387"/>
      <c r="FQ5" s="2387"/>
      <c r="FR5" s="2387"/>
      <c r="FS5" s="2387"/>
      <c r="FT5" s="2387"/>
      <c r="FU5" s="2387"/>
      <c r="FV5" s="1160"/>
      <c r="FW5" s="1160"/>
      <c r="FX5" s="1160"/>
      <c r="FY5" s="1160"/>
      <c r="FZ5" s="1160"/>
      <c r="GA5" s="1160"/>
      <c r="GB5" s="1160"/>
      <c r="GC5" s="1160"/>
      <c r="GD5" s="1160"/>
      <c r="GE5" s="1160"/>
      <c r="GF5" s="1160"/>
      <c r="GG5" s="1160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25">
      <c r="A6" s="338">
        <v>4</v>
      </c>
      <c r="B6" s="2387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6" s="2387"/>
      <c r="D6" s="2387"/>
      <c r="E6" s="2387"/>
      <c r="F6" s="2387"/>
      <c r="G6" s="2387"/>
      <c r="H6" s="2387"/>
      <c r="I6" s="2387"/>
      <c r="J6" s="2387"/>
      <c r="K6" s="2387"/>
      <c r="L6" s="2387"/>
      <c r="M6" s="2387"/>
      <c r="N6" s="2387"/>
      <c r="O6" s="2387"/>
      <c r="P6" s="2387"/>
      <c r="Q6" s="2387"/>
      <c r="R6" s="2387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S6" s="2387"/>
      <c r="T6" s="2387"/>
      <c r="U6" s="2387"/>
      <c r="V6" s="2387"/>
      <c r="W6" s="2387"/>
      <c r="X6" s="2387"/>
      <c r="Y6" s="2387"/>
      <c r="Z6" s="2387"/>
      <c r="AA6" s="2387"/>
      <c r="AB6" s="2387"/>
      <c r="AC6" s="2387"/>
      <c r="AD6" s="2387"/>
      <c r="AE6" s="2387"/>
      <c r="AF6" s="2387"/>
      <c r="AG6" s="2387"/>
      <c r="AH6" s="2387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O</v>
      </c>
      <c r="AI6" s="2387"/>
      <c r="AJ6" s="2387"/>
      <c r="AK6" s="2387"/>
      <c r="AL6" s="2387"/>
      <c r="AM6" s="2387"/>
      <c r="AN6" s="2387"/>
      <c r="AO6" s="2387"/>
      <c r="AP6" s="2387"/>
      <c r="AQ6" s="2387"/>
      <c r="AR6" s="2387"/>
      <c r="AS6" s="2387"/>
      <c r="AT6" s="2387"/>
      <c r="AU6" s="2387"/>
      <c r="AV6" s="2387"/>
      <c r="AW6" s="2387"/>
      <c r="AX6" s="2387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S</v>
      </c>
      <c r="AY6" s="2387"/>
      <c r="AZ6" s="2387"/>
      <c r="BA6" s="2387"/>
      <c r="BB6" s="2387"/>
      <c r="BC6" s="2387"/>
      <c r="BD6" s="2387"/>
      <c r="BE6" s="2387"/>
      <c r="BF6" s="2387"/>
      <c r="BG6" s="2387"/>
      <c r="BH6" s="2387"/>
      <c r="BI6" s="2387"/>
      <c r="BJ6" s="2387"/>
      <c r="BK6" s="2387"/>
      <c r="BL6" s="2387"/>
      <c r="BM6" s="2387"/>
      <c r="BN6" s="2387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O</v>
      </c>
      <c r="BO6" s="2387"/>
      <c r="BP6" s="2387"/>
      <c r="BQ6" s="2387"/>
      <c r="BR6" s="2387"/>
      <c r="BS6" s="2387"/>
      <c r="BT6" s="2387"/>
      <c r="BU6" s="2387"/>
      <c r="BV6" s="2387"/>
      <c r="BW6" s="2387"/>
      <c r="BX6" s="2387"/>
      <c r="BY6" s="2387"/>
      <c r="BZ6" s="2387"/>
      <c r="CA6" s="2387"/>
      <c r="CB6" s="2387"/>
      <c r="CC6" s="2387"/>
      <c r="CD6" s="2387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O</v>
      </c>
      <c r="CE6" s="2387"/>
      <c r="CF6" s="2387"/>
      <c r="CG6" s="2387"/>
      <c r="CH6" s="2387"/>
      <c r="CI6" s="2387"/>
      <c r="CJ6" s="2387"/>
      <c r="CK6" s="2387"/>
      <c r="CL6" s="2387"/>
      <c r="CM6" s="2387"/>
      <c r="CN6" s="2387"/>
      <c r="CO6" s="2387"/>
      <c r="CP6" s="2387"/>
      <c r="CQ6" s="2387"/>
      <c r="CR6" s="2387"/>
      <c r="CS6" s="2387"/>
      <c r="CT6" s="2387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O</v>
      </c>
      <c r="CU6" s="2387"/>
      <c r="CV6" s="2387"/>
      <c r="CW6" s="2387"/>
      <c r="CX6" s="2387"/>
      <c r="CY6" s="2387"/>
      <c r="CZ6" s="2387"/>
      <c r="DA6" s="2387"/>
      <c r="DB6" s="2387"/>
      <c r="DC6" s="2387"/>
      <c r="DD6" s="2387"/>
      <c r="DE6" s="2387"/>
      <c r="DF6" s="2387"/>
      <c r="DG6" s="2387"/>
      <c r="DH6" s="2387"/>
      <c r="DI6" s="2387"/>
      <c r="DJ6" s="2387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O</v>
      </c>
      <c r="DK6" s="2387"/>
      <c r="DL6" s="2387"/>
      <c r="DM6" s="2387"/>
      <c r="DN6" s="2387"/>
      <c r="DO6" s="2387"/>
      <c r="DP6" s="2387"/>
      <c r="DQ6" s="2387"/>
      <c r="DR6" s="2387"/>
      <c r="DS6" s="2387"/>
      <c r="DT6" s="2387"/>
      <c r="DU6" s="2387"/>
      <c r="DV6" s="2387"/>
      <c r="DW6" s="2387"/>
      <c r="DX6" s="2387"/>
      <c r="DY6" s="2387"/>
      <c r="DZ6" s="2387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7"/>
      <c r="EB6" s="2387"/>
      <c r="EC6" s="2387"/>
      <c r="ED6" s="2387"/>
      <c r="EE6" s="2387"/>
      <c r="EF6" s="2387"/>
      <c r="EG6" s="2387"/>
      <c r="EH6" s="2387"/>
      <c r="EI6" s="2387"/>
      <c r="EJ6" s="2387"/>
      <c r="EK6" s="2387"/>
      <c r="EL6" s="2387"/>
      <c r="EM6" s="2387"/>
      <c r="EN6" s="2387"/>
      <c r="EO6" s="2387"/>
      <c r="EP6" s="2387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EQ6" s="2387"/>
      <c r="ER6" s="2387"/>
      <c r="ES6" s="2387"/>
      <c r="ET6" s="2387"/>
      <c r="EU6" s="2387"/>
      <c r="EV6" s="2387"/>
      <c r="EW6" s="2387"/>
      <c r="EX6" s="2387"/>
      <c r="EY6" s="2387"/>
      <c r="EZ6" s="2387"/>
      <c r="FA6" s="2387"/>
      <c r="FB6" s="2387"/>
      <c r="FC6" s="2387"/>
      <c r="FD6" s="2387"/>
      <c r="FE6" s="2387"/>
      <c r="FF6" s="2387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FG6" s="2387"/>
      <c r="FH6" s="2387"/>
      <c r="FI6" s="2387"/>
      <c r="FJ6" s="2387"/>
      <c r="FK6" s="2387"/>
      <c r="FL6" s="2387"/>
      <c r="FM6" s="2387"/>
      <c r="FN6" s="2387"/>
      <c r="FO6" s="2387"/>
      <c r="FP6" s="2387"/>
      <c r="FQ6" s="2387"/>
      <c r="FR6" s="2387"/>
      <c r="FS6" s="2387"/>
      <c r="FT6" s="2387"/>
      <c r="FU6" s="2387"/>
      <c r="FV6" s="1160"/>
      <c r="FW6" s="1160"/>
      <c r="FX6" s="1160"/>
      <c r="FY6" s="1160"/>
      <c r="FZ6" s="1160"/>
      <c r="GA6" s="1160"/>
      <c r="GB6" s="1160"/>
      <c r="GC6" s="1160"/>
      <c r="GD6" s="1160"/>
      <c r="GE6" s="1160"/>
      <c r="GF6" s="1160"/>
      <c r="GG6" s="1160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25">
      <c r="A7" s="338">
        <v>5</v>
      </c>
      <c r="B7" s="2387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7" s="2387"/>
      <c r="D7" s="2387"/>
      <c r="E7" s="2387"/>
      <c r="F7" s="2387"/>
      <c r="G7" s="2387"/>
      <c r="H7" s="2387"/>
      <c r="I7" s="2387"/>
      <c r="J7" s="2387"/>
      <c r="K7" s="2387"/>
      <c r="L7" s="2387"/>
      <c r="M7" s="2387"/>
      <c r="N7" s="2387"/>
      <c r="O7" s="2387"/>
      <c r="P7" s="2387"/>
      <c r="Q7" s="2387"/>
      <c r="R7" s="2387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7"/>
      <c r="T7" s="2387"/>
      <c r="U7" s="2387"/>
      <c r="V7" s="2387"/>
      <c r="W7" s="2387"/>
      <c r="X7" s="2387"/>
      <c r="Y7" s="2387"/>
      <c r="Z7" s="2387"/>
      <c r="AA7" s="2387"/>
      <c r="AB7" s="2387"/>
      <c r="AC7" s="2387"/>
      <c r="AD7" s="2387"/>
      <c r="AE7" s="2387"/>
      <c r="AF7" s="2387"/>
      <c r="AG7" s="2387"/>
      <c r="AH7" s="2387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O</v>
      </c>
      <c r="AI7" s="2387"/>
      <c r="AJ7" s="2387"/>
      <c r="AK7" s="2387"/>
      <c r="AL7" s="2387"/>
      <c r="AM7" s="2387"/>
      <c r="AN7" s="2387"/>
      <c r="AO7" s="2387"/>
      <c r="AP7" s="2387"/>
      <c r="AQ7" s="2387"/>
      <c r="AR7" s="2387"/>
      <c r="AS7" s="2387"/>
      <c r="AT7" s="2387"/>
      <c r="AU7" s="2387"/>
      <c r="AV7" s="2387"/>
      <c r="AW7" s="2387"/>
      <c r="AX7" s="2387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O</v>
      </c>
      <c r="AY7" s="2387"/>
      <c r="AZ7" s="2387"/>
      <c r="BA7" s="2387"/>
      <c r="BB7" s="2387"/>
      <c r="BC7" s="2387"/>
      <c r="BD7" s="2387"/>
      <c r="BE7" s="2387"/>
      <c r="BF7" s="2387"/>
      <c r="BG7" s="2387"/>
      <c r="BH7" s="2387"/>
      <c r="BI7" s="2387"/>
      <c r="BJ7" s="2387"/>
      <c r="BK7" s="2387"/>
      <c r="BL7" s="2387"/>
      <c r="BM7" s="2387"/>
      <c r="BN7" s="2387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O</v>
      </c>
      <c r="BO7" s="2387"/>
      <c r="BP7" s="2387"/>
      <c r="BQ7" s="2387"/>
      <c r="BR7" s="2387"/>
      <c r="BS7" s="2387"/>
      <c r="BT7" s="2387"/>
      <c r="BU7" s="2387"/>
      <c r="BV7" s="2387"/>
      <c r="BW7" s="2387"/>
      <c r="BX7" s="2387"/>
      <c r="BY7" s="2387"/>
      <c r="BZ7" s="2387"/>
      <c r="CA7" s="2387"/>
      <c r="CB7" s="2387"/>
      <c r="CC7" s="2387"/>
      <c r="CD7" s="2387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CE7" s="2387"/>
      <c r="CF7" s="2387"/>
      <c r="CG7" s="2387"/>
      <c r="CH7" s="2387"/>
      <c r="CI7" s="2387"/>
      <c r="CJ7" s="2387"/>
      <c r="CK7" s="2387"/>
      <c r="CL7" s="2387"/>
      <c r="CM7" s="2387"/>
      <c r="CN7" s="2387"/>
      <c r="CO7" s="2387"/>
      <c r="CP7" s="2387"/>
      <c r="CQ7" s="2387"/>
      <c r="CR7" s="2387"/>
      <c r="CS7" s="2387"/>
      <c r="CT7" s="2387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CU7" s="2387"/>
      <c r="CV7" s="2387"/>
      <c r="CW7" s="2387"/>
      <c r="CX7" s="2387"/>
      <c r="CY7" s="2387"/>
      <c r="CZ7" s="2387"/>
      <c r="DA7" s="2387"/>
      <c r="DB7" s="2387"/>
      <c r="DC7" s="2387"/>
      <c r="DD7" s="2387"/>
      <c r="DE7" s="2387"/>
      <c r="DF7" s="2387"/>
      <c r="DG7" s="2387"/>
      <c r="DH7" s="2387"/>
      <c r="DI7" s="2387"/>
      <c r="DJ7" s="2387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DK7" s="2387"/>
      <c r="DL7" s="2387"/>
      <c r="DM7" s="2387"/>
      <c r="DN7" s="2387"/>
      <c r="DO7" s="2387"/>
      <c r="DP7" s="2387"/>
      <c r="DQ7" s="2387"/>
      <c r="DR7" s="2387"/>
      <c r="DS7" s="2387"/>
      <c r="DT7" s="2387"/>
      <c r="DU7" s="2387"/>
      <c r="DV7" s="2387"/>
      <c r="DW7" s="2387"/>
      <c r="DX7" s="2387"/>
      <c r="DY7" s="2387"/>
      <c r="DZ7" s="2387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7"/>
      <c r="EB7" s="2387"/>
      <c r="EC7" s="2387"/>
      <c r="ED7" s="2387"/>
      <c r="EE7" s="2387"/>
      <c r="EF7" s="2387"/>
      <c r="EG7" s="2387"/>
      <c r="EH7" s="2387"/>
      <c r="EI7" s="2387"/>
      <c r="EJ7" s="2387"/>
      <c r="EK7" s="2387"/>
      <c r="EL7" s="2387"/>
      <c r="EM7" s="2387"/>
      <c r="EN7" s="2387"/>
      <c r="EO7" s="2387"/>
      <c r="EP7" s="2387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EQ7" s="2387"/>
      <c r="ER7" s="2387"/>
      <c r="ES7" s="2387"/>
      <c r="ET7" s="2387"/>
      <c r="EU7" s="2387"/>
      <c r="EV7" s="2387"/>
      <c r="EW7" s="2387"/>
      <c r="EX7" s="2387"/>
      <c r="EY7" s="2387"/>
      <c r="EZ7" s="2387"/>
      <c r="FA7" s="2387"/>
      <c r="FB7" s="2387"/>
      <c r="FC7" s="2387"/>
      <c r="FD7" s="2387"/>
      <c r="FE7" s="2387"/>
      <c r="FF7" s="2387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FG7" s="2387"/>
      <c r="FH7" s="2387"/>
      <c r="FI7" s="2387"/>
      <c r="FJ7" s="2387"/>
      <c r="FK7" s="2387"/>
      <c r="FL7" s="2387"/>
      <c r="FM7" s="2387"/>
      <c r="FN7" s="2387"/>
      <c r="FO7" s="2387"/>
      <c r="FP7" s="2387"/>
      <c r="FQ7" s="2387"/>
      <c r="FR7" s="2387"/>
      <c r="FS7" s="2387"/>
      <c r="FT7" s="2387"/>
      <c r="FU7" s="2387"/>
      <c r="FV7" s="1160"/>
      <c r="FW7" s="1160"/>
      <c r="FX7" s="1160"/>
      <c r="FY7" s="1160"/>
      <c r="FZ7" s="1160"/>
      <c r="GA7" s="1160"/>
      <c r="GB7" s="1160"/>
      <c r="GC7" s="1160"/>
      <c r="GD7" s="1160"/>
      <c r="GE7" s="1160"/>
      <c r="GF7" s="1160"/>
      <c r="GG7" s="1160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25">
      <c r="A8" s="338">
        <v>6</v>
      </c>
      <c r="B8" s="2387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8" s="2387"/>
      <c r="D8" s="2387"/>
      <c r="E8" s="2387"/>
      <c r="F8" s="2387"/>
      <c r="G8" s="2387"/>
      <c r="H8" s="2387"/>
      <c r="I8" s="2387"/>
      <c r="J8" s="2387"/>
      <c r="K8" s="2387"/>
      <c r="L8" s="2387"/>
      <c r="M8" s="2387"/>
      <c r="N8" s="2387"/>
      <c r="O8" s="2387"/>
      <c r="P8" s="2387"/>
      <c r="Q8" s="2387"/>
      <c r="R8" s="2387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S8" s="2387"/>
      <c r="T8" s="2387"/>
      <c r="U8" s="2387"/>
      <c r="V8" s="2387"/>
      <c r="W8" s="2387"/>
      <c r="X8" s="2387"/>
      <c r="Y8" s="2387"/>
      <c r="Z8" s="2387"/>
      <c r="AA8" s="2387"/>
      <c r="AB8" s="2387"/>
      <c r="AC8" s="2387"/>
      <c r="AD8" s="2387"/>
      <c r="AE8" s="2387"/>
      <c r="AF8" s="2387"/>
      <c r="AG8" s="2387"/>
      <c r="AH8" s="2387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AI8" s="2387"/>
      <c r="AJ8" s="2387"/>
      <c r="AK8" s="2387"/>
      <c r="AL8" s="2387"/>
      <c r="AM8" s="2387"/>
      <c r="AN8" s="2387"/>
      <c r="AO8" s="2387"/>
      <c r="AP8" s="2387"/>
      <c r="AQ8" s="2387"/>
      <c r="AR8" s="2387"/>
      <c r="AS8" s="2387"/>
      <c r="AT8" s="2387"/>
      <c r="AU8" s="2387"/>
      <c r="AV8" s="2387"/>
      <c r="AW8" s="2387"/>
      <c r="AX8" s="2387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Y8" s="2387"/>
      <c r="AZ8" s="2387"/>
      <c r="BA8" s="2387"/>
      <c r="BB8" s="2387"/>
      <c r="BC8" s="2387"/>
      <c r="BD8" s="2387"/>
      <c r="BE8" s="2387"/>
      <c r="BF8" s="2387"/>
      <c r="BG8" s="2387"/>
      <c r="BH8" s="2387"/>
      <c r="BI8" s="2387"/>
      <c r="BJ8" s="2387"/>
      <c r="BK8" s="2387"/>
      <c r="BL8" s="2387"/>
      <c r="BM8" s="2387"/>
      <c r="BN8" s="2387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BO8" s="2387"/>
      <c r="BP8" s="2387"/>
      <c r="BQ8" s="2387"/>
      <c r="BR8" s="2387"/>
      <c r="BS8" s="2387"/>
      <c r="BT8" s="2387"/>
      <c r="BU8" s="2387"/>
      <c r="BV8" s="2387"/>
      <c r="BW8" s="2387"/>
      <c r="BX8" s="2387"/>
      <c r="BY8" s="2387"/>
      <c r="BZ8" s="2387"/>
      <c r="CA8" s="2387"/>
      <c r="CB8" s="2387"/>
      <c r="CC8" s="2387"/>
      <c r="CD8" s="2387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7"/>
      <c r="CF8" s="2387"/>
      <c r="CG8" s="2387"/>
      <c r="CH8" s="2387"/>
      <c r="CI8" s="2387"/>
      <c r="CJ8" s="2387"/>
      <c r="CK8" s="2387"/>
      <c r="CL8" s="2387"/>
      <c r="CM8" s="2387"/>
      <c r="CN8" s="2387"/>
      <c r="CO8" s="2387"/>
      <c r="CP8" s="2387"/>
      <c r="CQ8" s="2387"/>
      <c r="CR8" s="2387"/>
      <c r="CS8" s="2387"/>
      <c r="CT8" s="2387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7"/>
      <c r="CV8" s="2387"/>
      <c r="CW8" s="2387"/>
      <c r="CX8" s="2387"/>
      <c r="CY8" s="2387"/>
      <c r="CZ8" s="2387"/>
      <c r="DA8" s="2387"/>
      <c r="DB8" s="2387"/>
      <c r="DC8" s="2387"/>
      <c r="DD8" s="2387"/>
      <c r="DE8" s="2387"/>
      <c r="DF8" s="2387"/>
      <c r="DG8" s="2387"/>
      <c r="DH8" s="2387"/>
      <c r="DI8" s="2387"/>
      <c r="DJ8" s="2387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7"/>
      <c r="DL8" s="2387"/>
      <c r="DM8" s="2387"/>
      <c r="DN8" s="2387"/>
      <c r="DO8" s="2387"/>
      <c r="DP8" s="2387"/>
      <c r="DQ8" s="2387"/>
      <c r="DR8" s="2387"/>
      <c r="DS8" s="2387"/>
      <c r="DT8" s="2387"/>
      <c r="DU8" s="2387"/>
      <c r="DV8" s="2387"/>
      <c r="DW8" s="2387"/>
      <c r="DX8" s="2387"/>
      <c r="DY8" s="2387"/>
      <c r="DZ8" s="2387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7"/>
      <c r="EB8" s="2387"/>
      <c r="EC8" s="2387"/>
      <c r="ED8" s="2387"/>
      <c r="EE8" s="2387"/>
      <c r="EF8" s="2387"/>
      <c r="EG8" s="2387"/>
      <c r="EH8" s="2387"/>
      <c r="EI8" s="2387"/>
      <c r="EJ8" s="2387"/>
      <c r="EK8" s="2387"/>
      <c r="EL8" s="2387"/>
      <c r="EM8" s="2387"/>
      <c r="EN8" s="2387"/>
      <c r="EO8" s="2387"/>
      <c r="EP8" s="2387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EQ8" s="2387"/>
      <c r="ER8" s="2387"/>
      <c r="ES8" s="2387"/>
      <c r="ET8" s="2387"/>
      <c r="EU8" s="2387"/>
      <c r="EV8" s="2387"/>
      <c r="EW8" s="2387"/>
      <c r="EX8" s="2387"/>
      <c r="EY8" s="2387"/>
      <c r="EZ8" s="2387"/>
      <c r="FA8" s="2387"/>
      <c r="FB8" s="2387"/>
      <c r="FC8" s="2387"/>
      <c r="FD8" s="2387"/>
      <c r="FE8" s="2387"/>
      <c r="FF8" s="2387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FG8" s="2387"/>
      <c r="FH8" s="2387"/>
      <c r="FI8" s="2387"/>
      <c r="FJ8" s="2387"/>
      <c r="FK8" s="2387"/>
      <c r="FL8" s="2387"/>
      <c r="FM8" s="2387"/>
      <c r="FN8" s="2387"/>
      <c r="FO8" s="2387"/>
      <c r="FP8" s="2387"/>
      <c r="FQ8" s="2387"/>
      <c r="FR8" s="2387"/>
      <c r="FS8" s="2387"/>
      <c r="FT8" s="2387"/>
      <c r="FU8" s="2387"/>
      <c r="FV8" s="1160"/>
      <c r="FW8" s="1160"/>
      <c r="FX8" s="1160"/>
      <c r="FY8" s="1160"/>
      <c r="FZ8" s="1160"/>
      <c r="GA8" s="1160"/>
      <c r="GB8" s="1160"/>
      <c r="GC8" s="1160"/>
      <c r="GD8" s="1160"/>
      <c r="GE8" s="1160"/>
      <c r="GF8" s="1160"/>
      <c r="GG8" s="1160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25">
      <c r="A9" s="338">
        <v>7</v>
      </c>
      <c r="B9" s="2387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7"/>
      <c r="D9" s="2387"/>
      <c r="E9" s="2387"/>
      <c r="F9" s="2387"/>
      <c r="G9" s="2387"/>
      <c r="H9" s="2387"/>
      <c r="I9" s="2387"/>
      <c r="J9" s="2387"/>
      <c r="K9" s="2387"/>
      <c r="L9" s="2387"/>
      <c r="M9" s="2387"/>
      <c r="N9" s="2387"/>
      <c r="O9" s="2387"/>
      <c r="P9" s="2387"/>
      <c r="Q9" s="2387"/>
      <c r="R9" s="2387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7"/>
      <c r="T9" s="2387"/>
      <c r="U9" s="2387"/>
      <c r="V9" s="2387"/>
      <c r="W9" s="2387"/>
      <c r="X9" s="2387"/>
      <c r="Y9" s="2387"/>
      <c r="Z9" s="2387"/>
      <c r="AA9" s="2387"/>
      <c r="AB9" s="2387"/>
      <c r="AC9" s="2387"/>
      <c r="AD9" s="2387"/>
      <c r="AE9" s="2387"/>
      <c r="AF9" s="2387"/>
      <c r="AG9" s="2387"/>
      <c r="AH9" s="2387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7"/>
      <c r="AJ9" s="2387"/>
      <c r="AK9" s="2387"/>
      <c r="AL9" s="2387"/>
      <c r="AM9" s="2387"/>
      <c r="AN9" s="2387"/>
      <c r="AO9" s="2387"/>
      <c r="AP9" s="2387"/>
      <c r="AQ9" s="2387"/>
      <c r="AR9" s="2387"/>
      <c r="AS9" s="2387"/>
      <c r="AT9" s="2387"/>
      <c r="AU9" s="2387"/>
      <c r="AV9" s="2387"/>
      <c r="AW9" s="2387"/>
      <c r="AX9" s="2387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7"/>
      <c r="AZ9" s="2387"/>
      <c r="BA9" s="2387"/>
      <c r="BB9" s="2387"/>
      <c r="BC9" s="2387"/>
      <c r="BD9" s="2387"/>
      <c r="BE9" s="2387"/>
      <c r="BF9" s="2387"/>
      <c r="BG9" s="2387"/>
      <c r="BH9" s="2387"/>
      <c r="BI9" s="2387"/>
      <c r="BJ9" s="2387"/>
      <c r="BK9" s="2387"/>
      <c r="BL9" s="2387"/>
      <c r="BM9" s="2387"/>
      <c r="BN9" s="2387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7"/>
      <c r="BP9" s="2387"/>
      <c r="BQ9" s="2387"/>
      <c r="BR9" s="2387"/>
      <c r="BS9" s="2387"/>
      <c r="BT9" s="2387"/>
      <c r="BU9" s="2387"/>
      <c r="BV9" s="2387"/>
      <c r="BW9" s="2387"/>
      <c r="BX9" s="2387"/>
      <c r="BY9" s="2387"/>
      <c r="BZ9" s="2387"/>
      <c r="CA9" s="2387"/>
      <c r="CB9" s="2387"/>
      <c r="CC9" s="2387"/>
      <c r="CD9" s="2387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7"/>
      <c r="CF9" s="2387"/>
      <c r="CG9" s="2387"/>
      <c r="CH9" s="2387"/>
      <c r="CI9" s="2387"/>
      <c r="CJ9" s="2387"/>
      <c r="CK9" s="2387"/>
      <c r="CL9" s="2387"/>
      <c r="CM9" s="2387"/>
      <c r="CN9" s="2387"/>
      <c r="CO9" s="2387"/>
      <c r="CP9" s="2387"/>
      <c r="CQ9" s="2387"/>
      <c r="CR9" s="2387"/>
      <c r="CS9" s="2387"/>
      <c r="CT9" s="2387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7"/>
      <c r="CV9" s="2387"/>
      <c r="CW9" s="2387"/>
      <c r="CX9" s="2387"/>
      <c r="CY9" s="2387"/>
      <c r="CZ9" s="2387"/>
      <c r="DA9" s="2387"/>
      <c r="DB9" s="2387"/>
      <c r="DC9" s="2387"/>
      <c r="DD9" s="2387"/>
      <c r="DE9" s="2387"/>
      <c r="DF9" s="2387"/>
      <c r="DG9" s="2387"/>
      <c r="DH9" s="2387"/>
      <c r="DI9" s="2387"/>
      <c r="DJ9" s="2387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7"/>
      <c r="DL9" s="2387"/>
      <c r="DM9" s="2387"/>
      <c r="DN9" s="2387"/>
      <c r="DO9" s="2387"/>
      <c r="DP9" s="2387"/>
      <c r="DQ9" s="2387"/>
      <c r="DR9" s="2387"/>
      <c r="DS9" s="2387"/>
      <c r="DT9" s="2387"/>
      <c r="DU9" s="2387"/>
      <c r="DV9" s="2387"/>
      <c r="DW9" s="2387"/>
      <c r="DX9" s="2387"/>
      <c r="DY9" s="2387"/>
      <c r="DZ9" s="2387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7"/>
      <c r="EB9" s="2387"/>
      <c r="EC9" s="2387"/>
      <c r="ED9" s="2387"/>
      <c r="EE9" s="2387"/>
      <c r="EF9" s="2387"/>
      <c r="EG9" s="2387"/>
      <c r="EH9" s="2387"/>
      <c r="EI9" s="2387"/>
      <c r="EJ9" s="2387"/>
      <c r="EK9" s="2387"/>
      <c r="EL9" s="2387"/>
      <c r="EM9" s="2387"/>
      <c r="EN9" s="2387"/>
      <c r="EO9" s="2387"/>
      <c r="EP9" s="2387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7"/>
      <c r="ER9" s="2387"/>
      <c r="ES9" s="2387"/>
      <c r="ET9" s="2387"/>
      <c r="EU9" s="2387"/>
      <c r="EV9" s="2387"/>
      <c r="EW9" s="2387"/>
      <c r="EX9" s="2387"/>
      <c r="EY9" s="2387"/>
      <c r="EZ9" s="2387"/>
      <c r="FA9" s="2387"/>
      <c r="FB9" s="2387"/>
      <c r="FC9" s="2387"/>
      <c r="FD9" s="2387"/>
      <c r="FE9" s="2387"/>
      <c r="FF9" s="2387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7"/>
      <c r="FH9" s="2387"/>
      <c r="FI9" s="2387"/>
      <c r="FJ9" s="2387"/>
      <c r="FK9" s="2387"/>
      <c r="FL9" s="2387"/>
      <c r="FM9" s="2387"/>
      <c r="FN9" s="2387"/>
      <c r="FO9" s="2387"/>
      <c r="FP9" s="2387"/>
      <c r="FQ9" s="2387"/>
      <c r="FR9" s="2387"/>
      <c r="FS9" s="2387"/>
      <c r="FT9" s="2387"/>
      <c r="FU9" s="2387"/>
      <c r="FV9" s="1160"/>
      <c r="FW9" s="1160"/>
      <c r="FX9" s="1160"/>
      <c r="FY9" s="1160"/>
      <c r="FZ9" s="1160"/>
      <c r="GA9" s="1160"/>
      <c r="GB9" s="1160"/>
      <c r="GC9" s="1160"/>
      <c r="GD9" s="1160"/>
      <c r="GE9" s="1160"/>
      <c r="GF9" s="1160"/>
      <c r="GG9" s="1160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25">
      <c r="A10" s="338">
        <v>8</v>
      </c>
      <c r="B10" s="2387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7"/>
      <c r="D10" s="2387"/>
      <c r="E10" s="2387"/>
      <c r="F10" s="2387"/>
      <c r="G10" s="2387"/>
      <c r="H10" s="2387"/>
      <c r="I10" s="2387"/>
      <c r="J10" s="2387"/>
      <c r="K10" s="2387"/>
      <c r="L10" s="2387"/>
      <c r="M10" s="2387"/>
      <c r="N10" s="2387"/>
      <c r="O10" s="2387"/>
      <c r="P10" s="2387"/>
      <c r="Q10" s="2387"/>
      <c r="R10" s="2387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7"/>
      <c r="T10" s="2387"/>
      <c r="U10" s="2387"/>
      <c r="V10" s="2387"/>
      <c r="W10" s="2387"/>
      <c r="X10" s="2387"/>
      <c r="Y10" s="2387"/>
      <c r="Z10" s="2387"/>
      <c r="AA10" s="2387"/>
      <c r="AB10" s="2387"/>
      <c r="AC10" s="2387"/>
      <c r="AD10" s="2387"/>
      <c r="AE10" s="2387"/>
      <c r="AF10" s="2387"/>
      <c r="AG10" s="2387"/>
      <c r="AH10" s="2387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7"/>
      <c r="AJ10" s="2387"/>
      <c r="AK10" s="2387"/>
      <c r="AL10" s="2387"/>
      <c r="AM10" s="2387"/>
      <c r="AN10" s="2387"/>
      <c r="AO10" s="2387"/>
      <c r="AP10" s="2387"/>
      <c r="AQ10" s="2387"/>
      <c r="AR10" s="2387"/>
      <c r="AS10" s="2387"/>
      <c r="AT10" s="2387"/>
      <c r="AU10" s="2387"/>
      <c r="AV10" s="2387"/>
      <c r="AW10" s="2387"/>
      <c r="AX10" s="2387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7"/>
      <c r="AZ10" s="2387"/>
      <c r="BA10" s="2387"/>
      <c r="BB10" s="2387"/>
      <c r="BC10" s="2387"/>
      <c r="BD10" s="2387"/>
      <c r="BE10" s="2387"/>
      <c r="BF10" s="2387"/>
      <c r="BG10" s="2387"/>
      <c r="BH10" s="2387"/>
      <c r="BI10" s="2387"/>
      <c r="BJ10" s="2387"/>
      <c r="BK10" s="2387"/>
      <c r="BL10" s="2387"/>
      <c r="BM10" s="2387"/>
      <c r="BN10" s="2387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7"/>
      <c r="BP10" s="2387"/>
      <c r="BQ10" s="2387"/>
      <c r="BR10" s="2387"/>
      <c r="BS10" s="2387"/>
      <c r="BT10" s="2387"/>
      <c r="BU10" s="2387"/>
      <c r="BV10" s="2387"/>
      <c r="BW10" s="2387"/>
      <c r="BX10" s="2387"/>
      <c r="BY10" s="2387"/>
      <c r="BZ10" s="2387"/>
      <c r="CA10" s="2387"/>
      <c r="CB10" s="2387"/>
      <c r="CC10" s="2387"/>
      <c r="CD10" s="2387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7"/>
      <c r="CF10" s="2387"/>
      <c r="CG10" s="2387"/>
      <c r="CH10" s="2387"/>
      <c r="CI10" s="2387"/>
      <c r="CJ10" s="2387"/>
      <c r="CK10" s="2387"/>
      <c r="CL10" s="2387"/>
      <c r="CM10" s="2387"/>
      <c r="CN10" s="2387"/>
      <c r="CO10" s="2387"/>
      <c r="CP10" s="2387"/>
      <c r="CQ10" s="2387"/>
      <c r="CR10" s="2387"/>
      <c r="CS10" s="2387"/>
      <c r="CT10" s="2387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7"/>
      <c r="CV10" s="2387"/>
      <c r="CW10" s="2387"/>
      <c r="CX10" s="2387"/>
      <c r="CY10" s="2387"/>
      <c r="CZ10" s="2387"/>
      <c r="DA10" s="2387"/>
      <c r="DB10" s="2387"/>
      <c r="DC10" s="2387"/>
      <c r="DD10" s="2387"/>
      <c r="DE10" s="2387"/>
      <c r="DF10" s="2387"/>
      <c r="DG10" s="2387"/>
      <c r="DH10" s="2387"/>
      <c r="DI10" s="2387"/>
      <c r="DJ10" s="2387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7"/>
      <c r="DL10" s="2387"/>
      <c r="DM10" s="2387"/>
      <c r="DN10" s="2387"/>
      <c r="DO10" s="2387"/>
      <c r="DP10" s="2387"/>
      <c r="DQ10" s="2387"/>
      <c r="DR10" s="2387"/>
      <c r="DS10" s="2387"/>
      <c r="DT10" s="2387"/>
      <c r="DU10" s="2387"/>
      <c r="DV10" s="2387"/>
      <c r="DW10" s="2387"/>
      <c r="DX10" s="2387"/>
      <c r="DY10" s="2387"/>
      <c r="DZ10" s="2387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7"/>
      <c r="EB10" s="2387"/>
      <c r="EC10" s="2387"/>
      <c r="ED10" s="2387"/>
      <c r="EE10" s="2387"/>
      <c r="EF10" s="2387"/>
      <c r="EG10" s="2387"/>
      <c r="EH10" s="2387"/>
      <c r="EI10" s="2387"/>
      <c r="EJ10" s="2387"/>
      <c r="EK10" s="2387"/>
      <c r="EL10" s="2387"/>
      <c r="EM10" s="2387"/>
      <c r="EN10" s="2387"/>
      <c r="EO10" s="2387"/>
      <c r="EP10" s="2387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7"/>
      <c r="ER10" s="2387"/>
      <c r="ES10" s="2387"/>
      <c r="ET10" s="2387"/>
      <c r="EU10" s="2387"/>
      <c r="EV10" s="2387"/>
      <c r="EW10" s="2387"/>
      <c r="EX10" s="2387"/>
      <c r="EY10" s="2387"/>
      <c r="EZ10" s="2387"/>
      <c r="FA10" s="2387"/>
      <c r="FB10" s="2387"/>
      <c r="FC10" s="2387"/>
      <c r="FD10" s="2387"/>
      <c r="FE10" s="2387"/>
      <c r="FF10" s="2387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7"/>
      <c r="FH10" s="2387"/>
      <c r="FI10" s="2387"/>
      <c r="FJ10" s="2387"/>
      <c r="FK10" s="2387"/>
      <c r="FL10" s="2387"/>
      <c r="FM10" s="2387"/>
      <c r="FN10" s="2387"/>
      <c r="FO10" s="2387"/>
      <c r="FP10" s="2387"/>
      <c r="FQ10" s="2387"/>
      <c r="FR10" s="2387"/>
      <c r="FS10" s="2387"/>
      <c r="FT10" s="2387"/>
      <c r="FU10" s="2387"/>
      <c r="FV10" s="1160"/>
      <c r="FW10" s="1160"/>
      <c r="FX10" s="1160"/>
      <c r="FY10" s="1160"/>
      <c r="FZ10" s="1160"/>
      <c r="GA10" s="1160"/>
      <c r="GB10" s="1160"/>
      <c r="GC10" s="1160"/>
      <c r="GD10" s="1160"/>
      <c r="GE10" s="1160"/>
      <c r="GF10" s="1160"/>
      <c r="GG10" s="1160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25">
      <c r="A11" s="338">
        <v>9</v>
      </c>
      <c r="B11" s="2387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7"/>
      <c r="D11" s="2387"/>
      <c r="E11" s="2387"/>
      <c r="F11" s="2387"/>
      <c r="G11" s="2387"/>
      <c r="H11" s="2387"/>
      <c r="I11" s="2387"/>
      <c r="J11" s="2387"/>
      <c r="K11" s="2387"/>
      <c r="L11" s="2387"/>
      <c r="M11" s="2387"/>
      <c r="N11" s="2387"/>
      <c r="O11" s="2387"/>
      <c r="P11" s="2387"/>
      <c r="Q11" s="2387"/>
      <c r="R11" s="2387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7"/>
      <c r="T11" s="2387"/>
      <c r="U11" s="2387"/>
      <c r="V11" s="2387"/>
      <c r="W11" s="2387"/>
      <c r="X11" s="2387"/>
      <c r="Y11" s="2387"/>
      <c r="Z11" s="2387"/>
      <c r="AA11" s="2387"/>
      <c r="AB11" s="2387"/>
      <c r="AC11" s="2387"/>
      <c r="AD11" s="2387"/>
      <c r="AE11" s="2387"/>
      <c r="AF11" s="2387"/>
      <c r="AG11" s="2387"/>
      <c r="AH11" s="2387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7"/>
      <c r="AJ11" s="2387"/>
      <c r="AK11" s="2387"/>
      <c r="AL11" s="2387"/>
      <c r="AM11" s="2387"/>
      <c r="AN11" s="2387"/>
      <c r="AO11" s="2387"/>
      <c r="AP11" s="2387"/>
      <c r="AQ11" s="2387"/>
      <c r="AR11" s="2387"/>
      <c r="AS11" s="2387"/>
      <c r="AT11" s="2387"/>
      <c r="AU11" s="2387"/>
      <c r="AV11" s="2387"/>
      <c r="AW11" s="2387"/>
      <c r="AX11" s="2387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7"/>
      <c r="AZ11" s="2387"/>
      <c r="BA11" s="2387"/>
      <c r="BB11" s="2387"/>
      <c r="BC11" s="2387"/>
      <c r="BD11" s="2387"/>
      <c r="BE11" s="2387"/>
      <c r="BF11" s="2387"/>
      <c r="BG11" s="2387"/>
      <c r="BH11" s="2387"/>
      <c r="BI11" s="2387"/>
      <c r="BJ11" s="2387"/>
      <c r="BK11" s="2387"/>
      <c r="BL11" s="2387"/>
      <c r="BM11" s="2387"/>
      <c r="BN11" s="2387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7"/>
      <c r="BP11" s="2387"/>
      <c r="BQ11" s="2387"/>
      <c r="BR11" s="2387"/>
      <c r="BS11" s="2387"/>
      <c r="BT11" s="2387"/>
      <c r="BU11" s="2387"/>
      <c r="BV11" s="2387"/>
      <c r="BW11" s="2387"/>
      <c r="BX11" s="2387"/>
      <c r="BY11" s="2387"/>
      <c r="BZ11" s="2387"/>
      <c r="CA11" s="2387"/>
      <c r="CB11" s="2387"/>
      <c r="CC11" s="2387"/>
      <c r="CD11" s="2387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7"/>
      <c r="CF11" s="2387"/>
      <c r="CG11" s="2387"/>
      <c r="CH11" s="2387"/>
      <c r="CI11" s="2387"/>
      <c r="CJ11" s="2387"/>
      <c r="CK11" s="2387"/>
      <c r="CL11" s="2387"/>
      <c r="CM11" s="2387"/>
      <c r="CN11" s="2387"/>
      <c r="CO11" s="2387"/>
      <c r="CP11" s="2387"/>
      <c r="CQ11" s="2387"/>
      <c r="CR11" s="2387"/>
      <c r="CS11" s="2387"/>
      <c r="CT11" s="2387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7"/>
      <c r="CV11" s="2387"/>
      <c r="CW11" s="2387"/>
      <c r="CX11" s="2387"/>
      <c r="CY11" s="2387"/>
      <c r="CZ11" s="2387"/>
      <c r="DA11" s="2387"/>
      <c r="DB11" s="2387"/>
      <c r="DC11" s="2387"/>
      <c r="DD11" s="2387"/>
      <c r="DE11" s="2387"/>
      <c r="DF11" s="2387"/>
      <c r="DG11" s="2387"/>
      <c r="DH11" s="2387"/>
      <c r="DI11" s="2387"/>
      <c r="DJ11" s="2387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7"/>
      <c r="DL11" s="2387"/>
      <c r="DM11" s="2387"/>
      <c r="DN11" s="2387"/>
      <c r="DO11" s="2387"/>
      <c r="DP11" s="2387"/>
      <c r="DQ11" s="2387"/>
      <c r="DR11" s="2387"/>
      <c r="DS11" s="2387"/>
      <c r="DT11" s="2387"/>
      <c r="DU11" s="2387"/>
      <c r="DV11" s="2387"/>
      <c r="DW11" s="2387"/>
      <c r="DX11" s="2387"/>
      <c r="DY11" s="2387"/>
      <c r="DZ11" s="2387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7"/>
      <c r="EB11" s="2387"/>
      <c r="EC11" s="2387"/>
      <c r="ED11" s="2387"/>
      <c r="EE11" s="2387"/>
      <c r="EF11" s="2387"/>
      <c r="EG11" s="2387"/>
      <c r="EH11" s="2387"/>
      <c r="EI11" s="2387"/>
      <c r="EJ11" s="2387"/>
      <c r="EK11" s="2387"/>
      <c r="EL11" s="2387"/>
      <c r="EM11" s="2387"/>
      <c r="EN11" s="2387"/>
      <c r="EO11" s="2387"/>
      <c r="EP11" s="2387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7"/>
      <c r="ER11" s="2387"/>
      <c r="ES11" s="2387"/>
      <c r="ET11" s="2387"/>
      <c r="EU11" s="2387"/>
      <c r="EV11" s="2387"/>
      <c r="EW11" s="2387"/>
      <c r="EX11" s="2387"/>
      <c r="EY11" s="2387"/>
      <c r="EZ11" s="2387"/>
      <c r="FA11" s="2387"/>
      <c r="FB11" s="2387"/>
      <c r="FC11" s="2387"/>
      <c r="FD11" s="2387"/>
      <c r="FE11" s="2387"/>
      <c r="FF11" s="2387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7"/>
      <c r="FH11" s="2387"/>
      <c r="FI11" s="2387"/>
      <c r="FJ11" s="2387"/>
      <c r="FK11" s="2387"/>
      <c r="FL11" s="2387"/>
      <c r="FM11" s="2387"/>
      <c r="FN11" s="2387"/>
      <c r="FO11" s="2387"/>
      <c r="FP11" s="2387"/>
      <c r="FQ11" s="2387"/>
      <c r="FR11" s="2387"/>
      <c r="FS11" s="2387"/>
      <c r="FT11" s="2387"/>
      <c r="FU11" s="2387"/>
      <c r="FV11" s="1160"/>
      <c r="FW11" s="1160"/>
      <c r="FX11" s="1160"/>
      <c r="FY11" s="1160"/>
      <c r="FZ11" s="1160"/>
      <c r="GA11" s="1160"/>
      <c r="GB11" s="1160"/>
      <c r="GC11" s="1160"/>
      <c r="GD11" s="1160"/>
      <c r="GE11" s="1160"/>
      <c r="GF11" s="1160"/>
      <c r="GG11" s="1160"/>
    </row>
    <row r="12" spans="1:200" ht="67.5" customHeight="1" x14ac:dyDescent="0.25">
      <c r="A12" s="339"/>
      <c r="B12" s="2380" t="str">
        <f>IF(Data!$GI$2&lt;&gt;"","X1: "&amp; Data!$GI$2, " ")</f>
        <v>X1: 1313 CT427 0.010</v>
      </c>
      <c r="C12" s="2380"/>
      <c r="D12" s="2380"/>
      <c r="E12" s="2380"/>
      <c r="F12" s="2380"/>
      <c r="G12" s="2380"/>
      <c r="H12" s="2380"/>
      <c r="I12" s="2380"/>
      <c r="J12" s="2380"/>
      <c r="K12" s="2380"/>
      <c r="L12" s="2380"/>
      <c r="M12" s="2380"/>
      <c r="N12" s="2380"/>
      <c r="O12" s="2380"/>
      <c r="P12" s="2380"/>
      <c r="Q12" s="2380"/>
      <c r="R12" s="2380"/>
      <c r="S12" s="2380"/>
      <c r="T12" s="2380"/>
      <c r="U12" s="2380" t="str">
        <f>IF(Data!$GI$3&lt;&gt;"","X2: "&amp; Data!$GI$3, " ")</f>
        <v xml:space="preserve">X2: 1308 CT31 Drop in </v>
      </c>
      <c r="V12" s="2380"/>
      <c r="W12" s="2380"/>
      <c r="X12" s="2380"/>
      <c r="Y12" s="2380"/>
      <c r="Z12" s="2380"/>
      <c r="AA12" s="2380"/>
      <c r="AB12" s="2380"/>
      <c r="AC12" s="2380"/>
      <c r="AD12" s="2380"/>
      <c r="AE12" s="2380"/>
      <c r="AF12" s="2380"/>
      <c r="AG12" s="2380"/>
      <c r="AH12" s="2380"/>
      <c r="AI12" s="2380"/>
      <c r="AJ12" s="2380"/>
      <c r="AK12" s="2380"/>
      <c r="AL12" s="2380"/>
      <c r="AM12" s="2380"/>
      <c r="AN12" s="2380" t="str">
        <f>IF(Data!$GI$4&lt;&gt;"","X3: "&amp; Data!$GI$4, " ")</f>
        <v>X3: 1313 CT147G U</v>
      </c>
      <c r="AO12" s="2380"/>
      <c r="AP12" s="2380"/>
      <c r="AQ12" s="2380"/>
      <c r="AR12" s="2380"/>
      <c r="AS12" s="2380"/>
      <c r="AT12" s="2380"/>
      <c r="AU12" s="2380"/>
      <c r="AV12" s="2380"/>
      <c r="AW12" s="2380"/>
      <c r="AX12" s="2380"/>
      <c r="AY12" s="2380"/>
      <c r="AZ12" s="2380"/>
      <c r="BA12" s="2380"/>
      <c r="BB12" s="2380"/>
      <c r="BC12" s="2380"/>
      <c r="BD12" s="2380"/>
      <c r="BE12" s="2380"/>
      <c r="BF12" s="2380"/>
      <c r="BG12" s="2380" t="str">
        <f>IF(Data!$GI$5&lt;&gt;"","X4: "&amp; Data!$GI$5, " ")</f>
        <v>X4: 1313 CT418 18C-60</v>
      </c>
      <c r="BH12" s="2380"/>
      <c r="BI12" s="2380"/>
      <c r="BJ12" s="2380"/>
      <c r="BK12" s="2380"/>
      <c r="BL12" s="2380"/>
      <c r="BM12" s="2380"/>
      <c r="BN12" s="2380"/>
      <c r="BO12" s="2380"/>
      <c r="BP12" s="2380"/>
      <c r="BQ12" s="2380"/>
      <c r="BR12" s="2380"/>
      <c r="BS12" s="2380"/>
      <c r="BT12" s="2380"/>
      <c r="BU12" s="2380"/>
      <c r="BV12" s="2380"/>
      <c r="BW12" s="2380"/>
      <c r="BX12" s="2380"/>
      <c r="BY12" s="2380"/>
      <c r="BZ12" s="2380" t="str">
        <f>IF(Data!$GI$6&lt;&gt;"","X5: "&amp; Data!$GI$6, " ")</f>
        <v>X5: 1313 CT179T U-60</v>
      </c>
      <c r="CA12" s="2380"/>
      <c r="CB12" s="2380"/>
      <c r="CC12" s="2380"/>
      <c r="CD12" s="2380"/>
      <c r="CE12" s="2380"/>
      <c r="CF12" s="2380"/>
      <c r="CG12" s="2380"/>
      <c r="CH12" s="2380"/>
      <c r="CI12" s="2380"/>
      <c r="CJ12" s="2380"/>
      <c r="CK12" s="2380"/>
      <c r="CL12" s="2380"/>
      <c r="CM12" s="2380"/>
      <c r="CN12" s="2380"/>
      <c r="CO12" s="2380"/>
      <c r="CP12" s="2380"/>
      <c r="CQ12" s="2380"/>
      <c r="CR12" s="2380"/>
      <c r="CS12" s="2380" t="str">
        <f>IF(Data!$GI$7&lt;&gt;"","X6: "&amp; Data!$GI$7, " ")</f>
        <v xml:space="preserve"> </v>
      </c>
      <c r="CT12" s="2380"/>
      <c r="CU12" s="2380"/>
      <c r="CV12" s="2380"/>
      <c r="CW12" s="2380"/>
      <c r="CX12" s="2380"/>
      <c r="CY12" s="2380"/>
      <c r="CZ12" s="2380"/>
      <c r="DA12" s="2380"/>
      <c r="DB12" s="2380"/>
      <c r="DC12" s="2380"/>
      <c r="DD12" s="2380"/>
      <c r="DE12" s="2380"/>
      <c r="DF12" s="2380"/>
      <c r="DG12" s="2380"/>
      <c r="DH12" s="2380"/>
      <c r="DI12" s="2380"/>
      <c r="DJ12" s="2380"/>
      <c r="DK12" s="2380"/>
      <c r="DL12" s="2380" t="str">
        <f>IF(Data!$GI$8&lt;&gt;"","X7: "&amp; Data!$GI$8, " ")</f>
        <v xml:space="preserve"> </v>
      </c>
      <c r="DM12" s="2380"/>
      <c r="DN12" s="2380"/>
      <c r="DO12" s="2380"/>
      <c r="DP12" s="2380"/>
      <c r="DQ12" s="2380"/>
      <c r="DR12" s="2380"/>
      <c r="DS12" s="2380"/>
      <c r="DT12" s="2380"/>
      <c r="DU12" s="2380"/>
      <c r="DV12" s="2380"/>
      <c r="DW12" s="2380"/>
      <c r="DX12" s="2380"/>
      <c r="DY12" s="2380"/>
      <c r="DZ12" s="2380"/>
      <c r="EA12" s="2380"/>
      <c r="EB12" s="2380"/>
      <c r="EC12" s="2380"/>
      <c r="ED12" s="2380"/>
      <c r="EE12" s="2380" t="str">
        <f>IF(Data!$GI$9&lt;&gt;"","X8: "&amp; Data!$GI$9, " ")</f>
        <v xml:space="preserve"> </v>
      </c>
      <c r="EF12" s="2380"/>
      <c r="EG12" s="2380"/>
      <c r="EH12" s="2380"/>
      <c r="EI12" s="2380"/>
      <c r="EJ12" s="2380"/>
      <c r="EK12" s="2380"/>
      <c r="EL12" s="2380"/>
      <c r="EM12" s="2380"/>
      <c r="EN12" s="2380"/>
      <c r="EO12" s="2380"/>
      <c r="EP12" s="2380"/>
      <c r="EQ12" s="2380"/>
      <c r="ER12" s="2380"/>
      <c r="ES12" s="2380"/>
      <c r="ET12" s="2380"/>
      <c r="EU12" s="2380"/>
      <c r="EV12" s="2380"/>
      <c r="EW12" s="2380"/>
      <c r="EX12" s="2380" t="str">
        <f>IF(Data!$GI$10&lt;&gt;"","X9: "&amp; Data!$GI$10, " ")</f>
        <v xml:space="preserve"> </v>
      </c>
      <c r="EY12" s="2380"/>
      <c r="EZ12" s="2380"/>
      <c r="FA12" s="2380"/>
      <c r="FB12" s="2380"/>
      <c r="FC12" s="2380"/>
      <c r="FD12" s="2380"/>
      <c r="FE12" s="2380"/>
      <c r="FF12" s="2380"/>
      <c r="FG12" s="2380"/>
      <c r="FH12" s="2380"/>
      <c r="FI12" s="2380"/>
      <c r="FJ12" s="2380"/>
      <c r="FK12" s="2380"/>
      <c r="FL12" s="2380"/>
      <c r="FM12" s="2380"/>
      <c r="FN12" s="2380"/>
      <c r="FO12" s="2380"/>
      <c r="FP12" s="2380"/>
      <c r="FQ12" s="2380" t="str">
        <f>IF(Data!$GI$11&lt;&gt;"","X10: "&amp; Data!$GI$11, " ")</f>
        <v xml:space="preserve"> </v>
      </c>
      <c r="FR12" s="2380"/>
      <c r="FS12" s="2380"/>
      <c r="FT12" s="2380"/>
      <c r="FU12" s="2380"/>
      <c r="FV12" s="2380"/>
      <c r="FW12" s="2380"/>
      <c r="FX12" s="2380"/>
      <c r="FY12" s="2380"/>
      <c r="FZ12" s="2380"/>
      <c r="GA12" s="2380"/>
      <c r="GB12" s="2380"/>
      <c r="GC12" s="2380"/>
      <c r="GD12" s="2380"/>
      <c r="GE12" s="2380"/>
      <c r="GF12" s="2380"/>
      <c r="GG12" s="2380"/>
      <c r="GH12" s="159"/>
    </row>
    <row r="13" spans="1:200" ht="30" customHeight="1" x14ac:dyDescent="0.25">
      <c r="A13" s="340"/>
      <c r="B13" s="2383"/>
      <c r="C13" s="2383"/>
      <c r="D13" s="2383"/>
      <c r="E13" s="2383"/>
      <c r="F13" s="2383"/>
      <c r="G13" s="2383"/>
      <c r="H13" s="2383"/>
      <c r="I13" s="2383"/>
      <c r="J13" s="2383"/>
      <c r="K13" s="2383"/>
      <c r="L13" s="2383"/>
      <c r="M13" s="2383"/>
      <c r="N13" s="2383"/>
      <c r="O13" s="2383"/>
      <c r="P13" s="2383"/>
      <c r="Q13" s="2383"/>
      <c r="R13" s="2386">
        <f>IF(Data!$B$1&lt;&gt;"", Data!$B$1, " ")</f>
        <v>20261004</v>
      </c>
      <c r="S13" s="2386"/>
      <c r="T13" s="2386"/>
      <c r="U13" s="2386"/>
      <c r="V13" s="2386"/>
      <c r="W13" s="2386"/>
      <c r="X13" s="2386"/>
      <c r="Y13" s="2386"/>
      <c r="Z13" s="2386"/>
      <c r="AA13" s="2386"/>
      <c r="AB13" s="2386"/>
      <c r="AC13" s="2386"/>
      <c r="AD13" s="2386"/>
      <c r="AE13" s="2386"/>
      <c r="AF13" s="2386"/>
      <c r="AG13" s="2386"/>
      <c r="AH13" s="2386"/>
      <c r="AI13" s="2386"/>
      <c r="AJ13" s="2386"/>
      <c r="AK13" s="2386"/>
      <c r="AL13" s="2386"/>
      <c r="AM13" s="2386"/>
      <c r="AN13" s="2386"/>
      <c r="AO13" s="2386"/>
      <c r="AP13" s="2386"/>
      <c r="AQ13" s="2386"/>
      <c r="AR13" s="2386"/>
      <c r="AS13" s="2386"/>
      <c r="AT13" s="2386"/>
      <c r="AU13" s="2386"/>
      <c r="AV13" s="2386"/>
      <c r="AW13" s="2386"/>
      <c r="AX13" s="2386"/>
      <c r="AY13" s="2386"/>
      <c r="AZ13" s="2386"/>
      <c r="BA13" s="2386"/>
      <c r="BB13" s="2386"/>
      <c r="BC13" s="2386"/>
      <c r="BD13" s="2386"/>
      <c r="BE13" s="2386"/>
      <c r="BF13" s="2386"/>
      <c r="BG13" s="2386"/>
      <c r="BH13" s="2386"/>
      <c r="BI13" s="2386" t="str">
        <f>IF(Data!$B$2&lt;&gt;"", Data!$B$2, " ")</f>
        <v>14304769R1</v>
      </c>
      <c r="BJ13" s="2386"/>
      <c r="BK13" s="2386"/>
      <c r="BL13" s="2386"/>
      <c r="BM13" s="2386"/>
      <c r="BN13" s="2386"/>
      <c r="BO13" s="2386"/>
      <c r="BP13" s="2386"/>
      <c r="BQ13" s="2386"/>
      <c r="BR13" s="2386"/>
      <c r="BS13" s="2386"/>
      <c r="BT13" s="2386"/>
      <c r="BU13" s="2386"/>
      <c r="BV13" s="2386"/>
      <c r="BW13" s="2386"/>
      <c r="BX13" s="2386"/>
      <c r="BY13" s="2386"/>
      <c r="BZ13" s="2386"/>
      <c r="CA13" s="2386"/>
      <c r="CB13" s="2386"/>
      <c r="CC13" s="2386"/>
      <c r="CD13" s="2386"/>
      <c r="CE13" s="2386"/>
      <c r="CF13" s="2386"/>
      <c r="CG13" s="2386"/>
      <c r="CH13" s="2386"/>
      <c r="CI13" s="2386"/>
      <c r="CJ13" s="2386"/>
      <c r="CK13" s="2386"/>
      <c r="CL13" s="2386"/>
      <c r="CM13" s="2386"/>
      <c r="CN13" s="2386"/>
      <c r="CO13" s="2386"/>
      <c r="CP13" s="2386"/>
      <c r="CQ13" s="2386"/>
      <c r="CR13" s="2386"/>
      <c r="CS13" s="2386"/>
      <c r="CT13" s="2386"/>
      <c r="CU13" s="2386"/>
      <c r="CV13" s="2386"/>
      <c r="CW13" s="2386"/>
      <c r="CX13" s="2386"/>
      <c r="CY13" s="2386"/>
      <c r="CZ13" s="2386"/>
      <c r="DA13" s="2386"/>
      <c r="DB13" s="2386"/>
      <c r="DC13" s="2386"/>
      <c r="DD13" s="2386"/>
      <c r="DE13" s="2386"/>
      <c r="DF13" s="2386"/>
      <c r="DG13" s="2386"/>
      <c r="DH13" s="2386"/>
      <c r="DI13" s="2386"/>
      <c r="DJ13" s="2386" t="str">
        <f>IF(Data!$B$4&lt;&gt;"",Data!$B$4," ")</f>
        <v>HD54</v>
      </c>
      <c r="DK13" s="2386"/>
      <c r="DL13" s="2386"/>
      <c r="DM13" s="2386"/>
      <c r="DN13" s="2386"/>
      <c r="DO13" s="2386"/>
      <c r="DP13" s="2386"/>
      <c r="DQ13" s="2386"/>
      <c r="DR13" s="2386"/>
      <c r="DS13" s="2386"/>
      <c r="DT13" s="2386"/>
      <c r="DU13" s="2386"/>
      <c r="DV13" s="2386"/>
      <c r="DW13" s="2386"/>
      <c r="DX13" s="2386"/>
      <c r="DY13" s="2386"/>
      <c r="DZ13" s="2386"/>
      <c r="EA13" s="2386"/>
      <c r="EB13" s="2386"/>
      <c r="EC13" s="2386"/>
      <c r="ED13" s="2386"/>
      <c r="EE13" s="2386"/>
      <c r="EF13" s="2386"/>
      <c r="EG13" s="2386"/>
      <c r="EH13" s="2386"/>
      <c r="EI13" s="2386"/>
      <c r="EJ13" s="2386"/>
      <c r="EK13" s="2386"/>
      <c r="EL13" s="2386"/>
      <c r="EM13" s="2386"/>
      <c r="EN13" s="2386"/>
      <c r="EO13" s="2386"/>
      <c r="EP13" s="2386" t="str">
        <f>IF(LEN(Data!B3)&gt;3,IF(AND(Data!B43&lt;&gt;"",Data!B43&lt;&gt;"0 0/1"""),Data!B43,""),IF(Data!B3&lt;&gt;"",Data!B3,""))</f>
        <v>6 1/8"</v>
      </c>
      <c r="EQ13" s="2386"/>
      <c r="ER13" s="2386"/>
      <c r="ES13" s="2386"/>
      <c r="ET13" s="2386"/>
      <c r="EU13" s="2386"/>
      <c r="EV13" s="2386"/>
      <c r="EW13" s="2386"/>
      <c r="EX13" s="2386"/>
      <c r="EY13" s="2386"/>
      <c r="EZ13" s="2386"/>
      <c r="FA13" s="2386"/>
      <c r="FB13" s="2386"/>
      <c r="FC13" s="2386"/>
      <c r="FD13" s="2386"/>
      <c r="FE13" s="2386"/>
      <c r="FF13" s="2386"/>
      <c r="FG13" s="2386"/>
      <c r="FH13" s="2386"/>
      <c r="FI13" s="2386"/>
      <c r="FJ13" s="2386"/>
      <c r="FK13" s="2386"/>
      <c r="FL13" s="2386"/>
      <c r="FM13" s="2386"/>
      <c r="FN13" s="2386"/>
      <c r="FO13" s="2386"/>
      <c r="FP13" s="2386"/>
      <c r="FQ13" s="2386"/>
      <c r="FR13" s="2386"/>
      <c r="FS13" s="2386"/>
      <c r="FT13" s="2386"/>
      <c r="FU13" s="2386"/>
      <c r="FV13" s="2383"/>
      <c r="FW13" s="2383"/>
      <c r="FX13" s="2383"/>
      <c r="FY13" s="2383"/>
      <c r="FZ13" s="2383"/>
      <c r="GA13" s="2383"/>
      <c r="GB13" s="2383"/>
      <c r="GC13" s="2383"/>
      <c r="GD13" s="2383"/>
      <c r="GE13" s="2383"/>
      <c r="GF13" s="2383"/>
      <c r="GG13" s="2383"/>
    </row>
    <row r="14" spans="1:200" ht="32.25" customHeight="1" x14ac:dyDescent="0.25">
      <c r="B14" s="2381">
        <f>IF(Data!$BR$44&lt;&gt;"",Data!$BR$44, "")</f>
        <v>1</v>
      </c>
      <c r="C14" s="2381"/>
      <c r="D14" s="2381"/>
      <c r="E14" s="2381"/>
      <c r="F14" s="2381"/>
      <c r="G14" s="2381"/>
      <c r="H14" s="2381"/>
      <c r="I14" s="2381"/>
      <c r="J14" s="2381">
        <f>IF(Data!$BS$44&lt;&gt;"",Data!$BS$44, "")</f>
        <v>2</v>
      </c>
      <c r="K14" s="2381"/>
      <c r="L14" s="2381"/>
      <c r="M14" s="2381"/>
      <c r="N14" s="2381"/>
      <c r="O14" s="2381"/>
      <c r="P14" s="2381"/>
      <c r="Q14" s="2381"/>
      <c r="R14" s="2381">
        <f>IF(Data!$BT$44&lt;&gt;"", Data!$BT$44, "")</f>
        <v>3</v>
      </c>
      <c r="S14" s="2381"/>
      <c r="T14" s="2381"/>
      <c r="U14" s="2381"/>
      <c r="V14" s="2381"/>
      <c r="W14" s="2381"/>
      <c r="X14" s="2381"/>
      <c r="Y14" s="2381"/>
      <c r="Z14" s="2381">
        <f>IF(Data!$BU$44&lt;&gt;"", Data!$BU$44, "")</f>
        <v>4</v>
      </c>
      <c r="AA14" s="2381"/>
      <c r="AB14" s="2381"/>
      <c r="AC14" s="2381"/>
      <c r="AD14" s="2381"/>
      <c r="AE14" s="2381"/>
      <c r="AF14" s="2381"/>
      <c r="AG14" s="2381"/>
      <c r="AH14" s="2381">
        <f>IF(Data!$BV$44&lt;&gt;"",Data!$BV$44, "")</f>
        <v>5</v>
      </c>
      <c r="AI14" s="2381"/>
      <c r="AJ14" s="2381"/>
      <c r="AK14" s="2381"/>
      <c r="AL14" s="2381"/>
      <c r="AM14" s="2381"/>
      <c r="AN14" s="2381"/>
      <c r="AO14" s="2381"/>
      <c r="AP14" s="2381">
        <f>IF(Data!$BW$44&lt;&gt;"",Data!$BW$44, "")</f>
        <v>6</v>
      </c>
      <c r="AQ14" s="2381"/>
      <c r="AR14" s="2381"/>
      <c r="AS14" s="2381"/>
      <c r="AT14" s="2381"/>
      <c r="AU14" s="2381"/>
      <c r="AV14" s="2381"/>
      <c r="AW14" s="2381"/>
      <c r="AX14" s="2381">
        <f>IF(Data!$BX$44&lt;&gt;"", Data!$BX$44, "")</f>
        <v>7</v>
      </c>
      <c r="AY14" s="2381"/>
      <c r="AZ14" s="2381"/>
      <c r="BA14" s="2381"/>
      <c r="BB14" s="2381"/>
      <c r="BC14" s="2381"/>
      <c r="BD14" s="2381"/>
      <c r="BE14" s="2381"/>
      <c r="BF14" s="2381">
        <f>IF(Data!$BY$44&lt;&gt;"", Data!$BY$44, "")</f>
        <v>8</v>
      </c>
      <c r="BG14" s="2381"/>
      <c r="BH14" s="2381"/>
      <c r="BI14" s="2381"/>
      <c r="BJ14" s="2381"/>
      <c r="BK14" s="2381"/>
      <c r="BL14" s="2381"/>
      <c r="BM14" s="2381"/>
      <c r="BN14" s="2381">
        <f>IF(Data!$BZ$44&lt;&gt;"", Data!$BZ$44, "")</f>
        <v>0</v>
      </c>
      <c r="BO14" s="2381"/>
      <c r="BP14" s="2381"/>
      <c r="BQ14" s="2381"/>
      <c r="BR14" s="2381"/>
      <c r="BS14" s="2381"/>
      <c r="BT14" s="2381"/>
      <c r="BU14" s="2381"/>
      <c r="BV14" s="2381">
        <f>IF(Data!$CA$44&lt;&gt;"", Data!$CA$44, "")</f>
        <v>0</v>
      </c>
      <c r="BW14" s="2381"/>
      <c r="BX14" s="2381"/>
      <c r="BY14" s="2381"/>
      <c r="BZ14" s="2381"/>
      <c r="CA14" s="2381"/>
      <c r="CB14" s="2381"/>
      <c r="CC14" s="2381"/>
      <c r="CD14" s="2381">
        <f>IF(Data!$CB$44&lt;&gt;"", Data!$CB$44, "")</f>
        <v>0</v>
      </c>
      <c r="CE14" s="2381"/>
      <c r="CF14" s="2381"/>
      <c r="CG14" s="2381"/>
      <c r="CH14" s="2381"/>
      <c r="CI14" s="2381"/>
      <c r="CJ14" s="2381"/>
      <c r="CK14" s="2381"/>
      <c r="CL14" s="2381">
        <f>IF(Data!$CC$44&lt;&gt;"", Data!$CC$44, "")</f>
        <v>0</v>
      </c>
      <c r="CM14" s="2381"/>
      <c r="CN14" s="2381"/>
      <c r="CO14" s="2381"/>
      <c r="CP14" s="2381"/>
      <c r="CQ14" s="2381"/>
      <c r="CR14" s="2381"/>
      <c r="CS14" s="2381"/>
      <c r="CT14" s="2381">
        <f>IF(Data!$CD$44&lt;&gt;"",Data!$CD$44, "")</f>
        <v>0</v>
      </c>
      <c r="CU14" s="2381"/>
      <c r="CV14" s="2381"/>
      <c r="CW14" s="2381"/>
      <c r="CX14" s="2381"/>
      <c r="CY14" s="2381"/>
      <c r="CZ14" s="2381"/>
      <c r="DA14" s="2381"/>
      <c r="DB14" s="2381">
        <f>IF(Data!$CE$44&lt;&gt;"",Data!$CE$44, "")</f>
        <v>0</v>
      </c>
      <c r="DC14" s="2381"/>
      <c r="DD14" s="2381"/>
      <c r="DE14" s="2381"/>
      <c r="DF14" s="2381"/>
      <c r="DG14" s="2381"/>
      <c r="DH14" s="2381"/>
      <c r="DI14" s="2381"/>
      <c r="DJ14" s="2381">
        <f>IF(Data!$CF$44&lt;&gt;"",Data!$CF$44, "")</f>
        <v>0</v>
      </c>
      <c r="DK14" s="2381"/>
      <c r="DL14" s="2381"/>
      <c r="DM14" s="2381"/>
      <c r="DN14" s="2381"/>
      <c r="DO14" s="2381"/>
      <c r="DP14" s="2381"/>
      <c r="DQ14" s="2381"/>
      <c r="DR14" s="2381">
        <f>IF(Data!$CG$44&lt;&gt;"",Data!$CG$44, "")</f>
        <v>0</v>
      </c>
      <c r="DS14" s="2381"/>
      <c r="DT14" s="2381"/>
      <c r="DU14" s="2381"/>
      <c r="DV14" s="2381"/>
      <c r="DW14" s="2381"/>
      <c r="DX14" s="2381"/>
      <c r="DY14" s="2381"/>
      <c r="DZ14" s="2381">
        <f>IF(Data!$CH$44&lt;&gt;"",Data!$CH$44, "")</f>
        <v>0</v>
      </c>
      <c r="EA14" s="2381"/>
      <c r="EB14" s="2381"/>
      <c r="EC14" s="2381"/>
      <c r="ED14" s="2381"/>
      <c r="EE14" s="2381"/>
      <c r="EF14" s="2381"/>
      <c r="EG14" s="2381"/>
      <c r="EH14" s="2381">
        <f>IF(Data!$C$48&lt;&gt;"",Data!$CI$44, "")</f>
        <v>0</v>
      </c>
      <c r="EI14" s="2381"/>
      <c r="EJ14" s="2381"/>
      <c r="EK14" s="2381"/>
      <c r="EL14" s="2381"/>
      <c r="EM14" s="2381"/>
      <c r="EN14" s="2381"/>
      <c r="EO14" s="2381"/>
      <c r="EP14" s="2381">
        <f>IF(Data!$CJ$44&lt;&gt;"",Data!$CJ$44, "")</f>
        <v>0</v>
      </c>
      <c r="EQ14" s="2381"/>
      <c r="ER14" s="2381"/>
      <c r="ES14" s="2381"/>
      <c r="ET14" s="2381"/>
      <c r="EU14" s="2381"/>
      <c r="EV14" s="2381"/>
      <c r="EW14" s="2381"/>
      <c r="EX14" s="2381">
        <f>IF(Data!$CK$44&lt;&gt;"",Data!$CK$44, "")</f>
        <v>0</v>
      </c>
      <c r="EY14" s="2381"/>
      <c r="EZ14" s="2381"/>
      <c r="FA14" s="2381"/>
      <c r="FB14" s="2381"/>
      <c r="FC14" s="2381"/>
      <c r="FD14" s="2381"/>
      <c r="FE14" s="2381"/>
      <c r="FF14" s="2381">
        <f>IF(Data!$CL$44&lt;&gt;"",Data!$CL$44, "")</f>
        <v>0</v>
      </c>
      <c r="FG14" s="2381"/>
      <c r="FH14" s="2381"/>
      <c r="FI14" s="2381"/>
      <c r="FJ14" s="2381"/>
      <c r="FK14" s="2381"/>
      <c r="FL14" s="2381"/>
      <c r="FM14" s="2381"/>
      <c r="FN14" s="2381">
        <f>IF(Data!$CM$44&lt;&gt;"",Data!$CM$44, "")</f>
        <v>0</v>
      </c>
      <c r="FO14" s="2381"/>
      <c r="FP14" s="2381"/>
      <c r="FQ14" s="2381"/>
      <c r="FR14" s="2381"/>
      <c r="FS14" s="2381"/>
      <c r="FT14" s="2381"/>
      <c r="FU14" s="2381"/>
      <c r="FV14" s="2381">
        <f>IF(Data!$CN$44&lt;&gt;"",Data!$CN$44, "")</f>
        <v>0</v>
      </c>
      <c r="FW14" s="2381"/>
      <c r="FX14" s="2381"/>
      <c r="FY14" s="2381"/>
      <c r="FZ14" s="2381"/>
      <c r="GA14" s="2381"/>
      <c r="GB14" s="2381"/>
      <c r="GC14" s="2381"/>
      <c r="GD14" s="2383"/>
      <c r="GE14" s="2383"/>
      <c r="GF14" s="2383"/>
      <c r="GG14" s="2383"/>
    </row>
    <row r="15" spans="1:200" ht="44.25" customHeight="1" x14ac:dyDescent="0.35">
      <c r="A15" s="338">
        <v>1</v>
      </c>
      <c r="B15" s="2382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15" s="2382"/>
      <c r="D15" s="2382"/>
      <c r="E15" s="2382"/>
      <c r="F15" s="2382"/>
      <c r="G15" s="2382"/>
      <c r="H15" s="2382"/>
      <c r="I15" s="2382"/>
      <c r="J15" s="2382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K15" s="2382"/>
      <c r="L15" s="2382"/>
      <c r="M15" s="2382"/>
      <c r="N15" s="2382"/>
      <c r="O15" s="2382"/>
      <c r="P15" s="2382"/>
      <c r="Q15" s="2382"/>
      <c r="R15" s="2382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S15" s="2382"/>
      <c r="T15" s="2382"/>
      <c r="U15" s="2382"/>
      <c r="V15" s="2382"/>
      <c r="W15" s="2382"/>
      <c r="X15" s="2382"/>
      <c r="Y15" s="2382"/>
      <c r="Z15" s="2382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A15" s="2382"/>
      <c r="AB15" s="2382"/>
      <c r="AC15" s="2382"/>
      <c r="AD15" s="2382"/>
      <c r="AE15" s="2382"/>
      <c r="AF15" s="2382"/>
      <c r="AG15" s="2382"/>
      <c r="AH15" s="2382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AI15" s="2382"/>
      <c r="AJ15" s="2382"/>
      <c r="AK15" s="2382"/>
      <c r="AL15" s="2382"/>
      <c r="AM15" s="2382"/>
      <c r="AN15" s="2382"/>
      <c r="AO15" s="2382"/>
      <c r="AP15" s="2382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O</v>
      </c>
      <c r="AQ15" s="2382"/>
      <c r="AR15" s="2382"/>
      <c r="AS15" s="2382"/>
      <c r="AT15" s="2382"/>
      <c r="AU15" s="2382"/>
      <c r="AV15" s="2382"/>
      <c r="AW15" s="2382"/>
      <c r="AX15" s="2382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O</v>
      </c>
      <c r="AY15" s="2382"/>
      <c r="AZ15" s="2382"/>
      <c r="BA15" s="2382"/>
      <c r="BB15" s="2382"/>
      <c r="BC15" s="2382"/>
      <c r="BD15" s="2382"/>
      <c r="BE15" s="2382"/>
      <c r="BF15" s="2382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O</v>
      </c>
      <c r="BG15" s="2382"/>
      <c r="BH15" s="2382"/>
      <c r="BI15" s="2382"/>
      <c r="BJ15" s="2382"/>
      <c r="BK15" s="2382"/>
      <c r="BL15" s="2382"/>
      <c r="BM15" s="2382"/>
      <c r="BN15" s="2382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2"/>
      <c r="BP15" s="2382"/>
      <c r="BQ15" s="2382"/>
      <c r="BR15" s="2382"/>
      <c r="BS15" s="2382"/>
      <c r="BT15" s="2382"/>
      <c r="BU15" s="2382"/>
      <c r="BV15" s="2382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W15" s="2382"/>
      <c r="BX15" s="2382"/>
      <c r="BY15" s="2382"/>
      <c r="BZ15" s="2382"/>
      <c r="CA15" s="2382"/>
      <c r="CB15" s="2382"/>
      <c r="CC15" s="2382"/>
      <c r="CD15" s="2382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CE15" s="2382"/>
      <c r="CF15" s="2382"/>
      <c r="CG15" s="2382"/>
      <c r="CH15" s="2382"/>
      <c r="CI15" s="2382"/>
      <c r="CJ15" s="2382"/>
      <c r="CK15" s="2382"/>
      <c r="CL15" s="2382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CM15" s="2382"/>
      <c r="CN15" s="2382"/>
      <c r="CO15" s="2382"/>
      <c r="CP15" s="2382"/>
      <c r="CQ15" s="2382"/>
      <c r="CR15" s="2382"/>
      <c r="CS15" s="2382"/>
      <c r="CT15" s="2382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CU15" s="2382"/>
      <c r="CV15" s="2382"/>
      <c r="CW15" s="2382"/>
      <c r="CX15" s="2382"/>
      <c r="CY15" s="2382"/>
      <c r="CZ15" s="2382"/>
      <c r="DA15" s="2382"/>
      <c r="DB15" s="2382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2"/>
      <c r="DD15" s="2382"/>
      <c r="DE15" s="2382"/>
      <c r="DF15" s="2382"/>
      <c r="DG15" s="2382"/>
      <c r="DH15" s="2382"/>
      <c r="DI15" s="2382"/>
      <c r="DJ15" s="2382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2"/>
      <c r="DL15" s="2382"/>
      <c r="DM15" s="2382"/>
      <c r="DN15" s="2382"/>
      <c r="DO15" s="2382"/>
      <c r="DP15" s="2382"/>
      <c r="DQ15" s="2382"/>
      <c r="DR15" s="2382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2"/>
      <c r="DT15" s="2382"/>
      <c r="DU15" s="2382"/>
      <c r="DV15" s="2382"/>
      <c r="DW15" s="2382"/>
      <c r="DX15" s="2382"/>
      <c r="DY15" s="2382"/>
      <c r="DZ15" s="2382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2"/>
      <c r="EB15" s="2382"/>
      <c r="EC15" s="2382"/>
      <c r="ED15" s="2382"/>
      <c r="EE15" s="2382"/>
      <c r="EF15" s="2382"/>
      <c r="EG15" s="2382"/>
      <c r="EH15" s="2382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2"/>
      <c r="EJ15" s="2382"/>
      <c r="EK15" s="2382"/>
      <c r="EL15" s="2382"/>
      <c r="EM15" s="2382"/>
      <c r="EN15" s="2382"/>
      <c r="EO15" s="2382"/>
      <c r="EP15" s="2382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2"/>
      <c r="ER15" s="2382"/>
      <c r="ES15" s="2382"/>
      <c r="ET15" s="2382"/>
      <c r="EU15" s="2382"/>
      <c r="EV15" s="2382"/>
      <c r="EW15" s="2382"/>
      <c r="EX15" s="2382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2"/>
      <c r="EZ15" s="2382"/>
      <c r="FA15" s="2382"/>
      <c r="FB15" s="2382"/>
      <c r="FC15" s="2382"/>
      <c r="FD15" s="2382"/>
      <c r="FE15" s="2382"/>
      <c r="FF15" s="2382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2"/>
      <c r="FH15" s="2382"/>
      <c r="FI15" s="2382"/>
      <c r="FJ15" s="2382"/>
      <c r="FK15" s="2382"/>
      <c r="FL15" s="2382"/>
      <c r="FM15" s="2382"/>
      <c r="FN15" s="2382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2"/>
      <c r="FP15" s="2382"/>
      <c r="FQ15" s="2382"/>
      <c r="FR15" s="2382"/>
      <c r="FS15" s="2382"/>
      <c r="FT15" s="2382"/>
      <c r="FU15" s="2382"/>
      <c r="FV15" s="2382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2"/>
      <c r="FX15" s="2382"/>
      <c r="FY15" s="2382"/>
      <c r="FZ15" s="2382"/>
      <c r="GA15" s="2382"/>
      <c r="GB15" s="2382"/>
      <c r="GC15" s="2382"/>
      <c r="GD15" s="2383"/>
      <c r="GE15" s="2383"/>
      <c r="GF15" s="2383"/>
      <c r="GG15" s="2383"/>
    </row>
    <row r="16" spans="1:200" ht="44.25" customHeight="1" x14ac:dyDescent="0.35">
      <c r="A16" s="338">
        <v>2</v>
      </c>
      <c r="B16" s="2382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16" s="2382"/>
      <c r="D16" s="2382"/>
      <c r="E16" s="2382"/>
      <c r="F16" s="2382"/>
      <c r="G16" s="2382"/>
      <c r="H16" s="2382"/>
      <c r="I16" s="2382"/>
      <c r="J16" s="2382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K16" s="2382"/>
      <c r="L16" s="2382"/>
      <c r="M16" s="2382"/>
      <c r="N16" s="2382"/>
      <c r="O16" s="2382"/>
      <c r="P16" s="2382"/>
      <c r="Q16" s="2382"/>
      <c r="R16" s="2382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O</v>
      </c>
      <c r="S16" s="2382"/>
      <c r="T16" s="2382"/>
      <c r="U16" s="2382"/>
      <c r="V16" s="2382"/>
      <c r="W16" s="2382"/>
      <c r="X16" s="2382"/>
      <c r="Y16" s="2382"/>
      <c r="Z16" s="2382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O</v>
      </c>
      <c r="AA16" s="2382"/>
      <c r="AB16" s="2382"/>
      <c r="AC16" s="2382"/>
      <c r="AD16" s="2382"/>
      <c r="AE16" s="2382"/>
      <c r="AF16" s="2382"/>
      <c r="AG16" s="2382"/>
      <c r="AH16" s="2382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O</v>
      </c>
      <c r="AI16" s="2382"/>
      <c r="AJ16" s="2382"/>
      <c r="AK16" s="2382"/>
      <c r="AL16" s="2382"/>
      <c r="AM16" s="2382"/>
      <c r="AN16" s="2382"/>
      <c r="AO16" s="2382"/>
      <c r="AP16" s="2382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2"/>
      <c r="AR16" s="2382"/>
      <c r="AS16" s="2382"/>
      <c r="AT16" s="2382"/>
      <c r="AU16" s="2382"/>
      <c r="AV16" s="2382"/>
      <c r="AW16" s="2382"/>
      <c r="AX16" s="2382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2"/>
      <c r="AZ16" s="2382"/>
      <c r="BA16" s="2382"/>
      <c r="BB16" s="2382"/>
      <c r="BC16" s="2382"/>
      <c r="BD16" s="2382"/>
      <c r="BE16" s="2382"/>
      <c r="BF16" s="2382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2"/>
      <c r="BH16" s="2382"/>
      <c r="BI16" s="2382"/>
      <c r="BJ16" s="2382"/>
      <c r="BK16" s="2382"/>
      <c r="BL16" s="2382"/>
      <c r="BM16" s="2382"/>
      <c r="BN16" s="2382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2"/>
      <c r="BP16" s="2382"/>
      <c r="BQ16" s="2382"/>
      <c r="BR16" s="2382"/>
      <c r="BS16" s="2382"/>
      <c r="BT16" s="2382"/>
      <c r="BU16" s="2382"/>
      <c r="BV16" s="2382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W16" s="2382"/>
      <c r="BX16" s="2382"/>
      <c r="BY16" s="2382"/>
      <c r="BZ16" s="2382"/>
      <c r="CA16" s="2382"/>
      <c r="CB16" s="2382"/>
      <c r="CC16" s="2382"/>
      <c r="CD16" s="2382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CE16" s="2382"/>
      <c r="CF16" s="2382"/>
      <c r="CG16" s="2382"/>
      <c r="CH16" s="2382"/>
      <c r="CI16" s="2382"/>
      <c r="CJ16" s="2382"/>
      <c r="CK16" s="2382"/>
      <c r="CL16" s="2382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CM16" s="2382"/>
      <c r="CN16" s="2382"/>
      <c r="CO16" s="2382"/>
      <c r="CP16" s="2382"/>
      <c r="CQ16" s="2382"/>
      <c r="CR16" s="2382"/>
      <c r="CS16" s="2382"/>
      <c r="CT16" s="2382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CU16" s="2382"/>
      <c r="CV16" s="2382"/>
      <c r="CW16" s="2382"/>
      <c r="CX16" s="2382"/>
      <c r="CY16" s="2382"/>
      <c r="CZ16" s="2382"/>
      <c r="DA16" s="2382"/>
      <c r="DB16" s="2382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2"/>
      <c r="DD16" s="2382"/>
      <c r="DE16" s="2382"/>
      <c r="DF16" s="2382"/>
      <c r="DG16" s="2382"/>
      <c r="DH16" s="2382"/>
      <c r="DI16" s="2382"/>
      <c r="DJ16" s="2382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2"/>
      <c r="DL16" s="2382"/>
      <c r="DM16" s="2382"/>
      <c r="DN16" s="2382"/>
      <c r="DO16" s="2382"/>
      <c r="DP16" s="2382"/>
      <c r="DQ16" s="2382"/>
      <c r="DR16" s="2382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2"/>
      <c r="DT16" s="2382"/>
      <c r="DU16" s="2382"/>
      <c r="DV16" s="2382"/>
      <c r="DW16" s="2382"/>
      <c r="DX16" s="2382"/>
      <c r="DY16" s="2382"/>
      <c r="DZ16" s="2382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2"/>
      <c r="EB16" s="2382"/>
      <c r="EC16" s="2382"/>
      <c r="ED16" s="2382"/>
      <c r="EE16" s="2382"/>
      <c r="EF16" s="2382"/>
      <c r="EG16" s="2382"/>
      <c r="EH16" s="2382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2"/>
      <c r="EJ16" s="2382"/>
      <c r="EK16" s="2382"/>
      <c r="EL16" s="2382"/>
      <c r="EM16" s="2382"/>
      <c r="EN16" s="2382"/>
      <c r="EO16" s="2382"/>
      <c r="EP16" s="2382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2"/>
      <c r="ER16" s="2382"/>
      <c r="ES16" s="2382"/>
      <c r="ET16" s="2382"/>
      <c r="EU16" s="2382"/>
      <c r="EV16" s="2382"/>
      <c r="EW16" s="2382"/>
      <c r="EX16" s="2382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2"/>
      <c r="EZ16" s="2382"/>
      <c r="FA16" s="2382"/>
      <c r="FB16" s="2382"/>
      <c r="FC16" s="2382"/>
      <c r="FD16" s="2382"/>
      <c r="FE16" s="2382"/>
      <c r="FF16" s="2382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2"/>
      <c r="FH16" s="2382"/>
      <c r="FI16" s="2382"/>
      <c r="FJ16" s="2382"/>
      <c r="FK16" s="2382"/>
      <c r="FL16" s="2382"/>
      <c r="FM16" s="2382"/>
      <c r="FN16" s="2382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2"/>
      <c r="FP16" s="2382"/>
      <c r="FQ16" s="2382"/>
      <c r="FR16" s="2382"/>
      <c r="FS16" s="2382"/>
      <c r="FT16" s="2382"/>
      <c r="FU16" s="2382"/>
      <c r="FV16" s="2382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2"/>
      <c r="FX16" s="2382"/>
      <c r="FY16" s="2382"/>
      <c r="FZ16" s="2382"/>
      <c r="GA16" s="2382"/>
      <c r="GB16" s="2382"/>
      <c r="GC16" s="2382"/>
      <c r="GD16" s="2383"/>
      <c r="GE16" s="2383"/>
      <c r="GF16" s="2383"/>
      <c r="GG16" s="2383"/>
    </row>
    <row r="17" spans="1:235" ht="44.25" customHeight="1" x14ac:dyDescent="0.35">
      <c r="A17" s="338">
        <v>3</v>
      </c>
      <c r="B17" s="2382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17" s="2382"/>
      <c r="D17" s="2382"/>
      <c r="E17" s="2382"/>
      <c r="F17" s="2382"/>
      <c r="G17" s="2382"/>
      <c r="H17" s="2382"/>
      <c r="I17" s="2382"/>
      <c r="J17" s="2382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O</v>
      </c>
      <c r="K17" s="2382"/>
      <c r="L17" s="2382"/>
      <c r="M17" s="2382"/>
      <c r="N17" s="2382"/>
      <c r="O17" s="2382"/>
      <c r="P17" s="2382"/>
      <c r="Q17" s="2382"/>
      <c r="R17" s="2382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S17" s="2382"/>
      <c r="T17" s="2382"/>
      <c r="U17" s="2382"/>
      <c r="V17" s="2382"/>
      <c r="W17" s="2382"/>
      <c r="X17" s="2382"/>
      <c r="Y17" s="2382"/>
      <c r="Z17" s="2382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AA17" s="2382"/>
      <c r="AB17" s="2382"/>
      <c r="AC17" s="2382"/>
      <c r="AD17" s="2382"/>
      <c r="AE17" s="2382"/>
      <c r="AF17" s="2382"/>
      <c r="AG17" s="2382"/>
      <c r="AH17" s="2382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O</v>
      </c>
      <c r="AI17" s="2382"/>
      <c r="AJ17" s="2382"/>
      <c r="AK17" s="2382"/>
      <c r="AL17" s="2382"/>
      <c r="AM17" s="2382"/>
      <c r="AN17" s="2382"/>
      <c r="AO17" s="2382"/>
      <c r="AP17" s="2382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O</v>
      </c>
      <c r="AQ17" s="2382"/>
      <c r="AR17" s="2382"/>
      <c r="AS17" s="2382"/>
      <c r="AT17" s="2382"/>
      <c r="AU17" s="2382"/>
      <c r="AV17" s="2382"/>
      <c r="AW17" s="2382"/>
      <c r="AX17" s="2382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O</v>
      </c>
      <c r="AY17" s="2382"/>
      <c r="AZ17" s="2382"/>
      <c r="BA17" s="2382"/>
      <c r="BB17" s="2382"/>
      <c r="BC17" s="2382"/>
      <c r="BD17" s="2382"/>
      <c r="BE17" s="2382"/>
      <c r="BF17" s="2382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2"/>
      <c r="BH17" s="2382"/>
      <c r="BI17" s="2382"/>
      <c r="BJ17" s="2382"/>
      <c r="BK17" s="2382"/>
      <c r="BL17" s="2382"/>
      <c r="BM17" s="2382"/>
      <c r="BN17" s="2382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2"/>
      <c r="BP17" s="2382"/>
      <c r="BQ17" s="2382"/>
      <c r="BR17" s="2382"/>
      <c r="BS17" s="2382"/>
      <c r="BT17" s="2382"/>
      <c r="BU17" s="2382"/>
      <c r="BV17" s="2382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W17" s="2382"/>
      <c r="BX17" s="2382"/>
      <c r="BY17" s="2382"/>
      <c r="BZ17" s="2382"/>
      <c r="CA17" s="2382"/>
      <c r="CB17" s="2382"/>
      <c r="CC17" s="2382"/>
      <c r="CD17" s="2382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CE17" s="2382"/>
      <c r="CF17" s="2382"/>
      <c r="CG17" s="2382"/>
      <c r="CH17" s="2382"/>
      <c r="CI17" s="2382"/>
      <c r="CJ17" s="2382"/>
      <c r="CK17" s="2382"/>
      <c r="CL17" s="2382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CM17" s="2382"/>
      <c r="CN17" s="2382"/>
      <c r="CO17" s="2382"/>
      <c r="CP17" s="2382"/>
      <c r="CQ17" s="2382"/>
      <c r="CR17" s="2382"/>
      <c r="CS17" s="2382"/>
      <c r="CT17" s="2382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2"/>
      <c r="CV17" s="2382"/>
      <c r="CW17" s="2382"/>
      <c r="CX17" s="2382"/>
      <c r="CY17" s="2382"/>
      <c r="CZ17" s="2382"/>
      <c r="DA17" s="2382"/>
      <c r="DB17" s="2382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2"/>
      <c r="DD17" s="2382"/>
      <c r="DE17" s="2382"/>
      <c r="DF17" s="2382"/>
      <c r="DG17" s="2382"/>
      <c r="DH17" s="2382"/>
      <c r="DI17" s="2382"/>
      <c r="DJ17" s="2382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2"/>
      <c r="DL17" s="2382"/>
      <c r="DM17" s="2382"/>
      <c r="DN17" s="2382"/>
      <c r="DO17" s="2382"/>
      <c r="DP17" s="2382"/>
      <c r="DQ17" s="2382"/>
      <c r="DR17" s="2382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2"/>
      <c r="DT17" s="2382"/>
      <c r="DU17" s="2382"/>
      <c r="DV17" s="2382"/>
      <c r="DW17" s="2382"/>
      <c r="DX17" s="2382"/>
      <c r="DY17" s="2382"/>
      <c r="DZ17" s="2382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2"/>
      <c r="EB17" s="2382"/>
      <c r="EC17" s="2382"/>
      <c r="ED17" s="2382"/>
      <c r="EE17" s="2382"/>
      <c r="EF17" s="2382"/>
      <c r="EG17" s="2382"/>
      <c r="EH17" s="2382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2"/>
      <c r="EJ17" s="2382"/>
      <c r="EK17" s="2382"/>
      <c r="EL17" s="2382"/>
      <c r="EM17" s="2382"/>
      <c r="EN17" s="2382"/>
      <c r="EO17" s="2382"/>
      <c r="EP17" s="2382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2"/>
      <c r="ER17" s="2382"/>
      <c r="ES17" s="2382"/>
      <c r="ET17" s="2382"/>
      <c r="EU17" s="2382"/>
      <c r="EV17" s="2382"/>
      <c r="EW17" s="2382"/>
      <c r="EX17" s="2382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2"/>
      <c r="EZ17" s="2382"/>
      <c r="FA17" s="2382"/>
      <c r="FB17" s="2382"/>
      <c r="FC17" s="2382"/>
      <c r="FD17" s="2382"/>
      <c r="FE17" s="2382"/>
      <c r="FF17" s="2382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2"/>
      <c r="FH17" s="2382"/>
      <c r="FI17" s="2382"/>
      <c r="FJ17" s="2382"/>
      <c r="FK17" s="2382"/>
      <c r="FL17" s="2382"/>
      <c r="FM17" s="2382"/>
      <c r="FN17" s="2382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2"/>
      <c r="FP17" s="2382"/>
      <c r="FQ17" s="2382"/>
      <c r="FR17" s="2382"/>
      <c r="FS17" s="2382"/>
      <c r="FT17" s="2382"/>
      <c r="FU17" s="2382"/>
      <c r="FV17" s="2382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2"/>
      <c r="FX17" s="2382"/>
      <c r="FY17" s="2382"/>
      <c r="FZ17" s="2382"/>
      <c r="GA17" s="2382"/>
      <c r="GB17" s="2382"/>
      <c r="GC17" s="2382"/>
      <c r="GD17" s="2383"/>
      <c r="GE17" s="2383"/>
      <c r="GF17" s="2383"/>
      <c r="GG17" s="2383"/>
    </row>
    <row r="18" spans="1:235" ht="44.25" customHeight="1" x14ac:dyDescent="0.35">
      <c r="A18" s="338">
        <v>4</v>
      </c>
      <c r="B18" s="2382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18" s="2382"/>
      <c r="D18" s="2382"/>
      <c r="E18" s="2382"/>
      <c r="F18" s="2382"/>
      <c r="G18" s="2382"/>
      <c r="H18" s="2382"/>
      <c r="I18" s="2382"/>
      <c r="J18" s="2382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K18" s="2382"/>
      <c r="L18" s="2382"/>
      <c r="M18" s="2382"/>
      <c r="N18" s="2382"/>
      <c r="O18" s="2382"/>
      <c r="P18" s="2382"/>
      <c r="Q18" s="2382"/>
      <c r="R18" s="2382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O</v>
      </c>
      <c r="S18" s="2382"/>
      <c r="T18" s="2382"/>
      <c r="U18" s="2382"/>
      <c r="V18" s="2382"/>
      <c r="W18" s="2382"/>
      <c r="X18" s="2382"/>
      <c r="Y18" s="2382"/>
      <c r="Z18" s="2382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S</v>
      </c>
      <c r="AA18" s="2382"/>
      <c r="AB18" s="2382"/>
      <c r="AC18" s="2382"/>
      <c r="AD18" s="2382"/>
      <c r="AE18" s="2382"/>
      <c r="AF18" s="2382"/>
      <c r="AG18" s="2382"/>
      <c r="AH18" s="2382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O</v>
      </c>
      <c r="AI18" s="2382"/>
      <c r="AJ18" s="2382"/>
      <c r="AK18" s="2382"/>
      <c r="AL18" s="2382"/>
      <c r="AM18" s="2382"/>
      <c r="AN18" s="2382"/>
      <c r="AO18" s="2382"/>
      <c r="AP18" s="2382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O</v>
      </c>
      <c r="AQ18" s="2382"/>
      <c r="AR18" s="2382"/>
      <c r="AS18" s="2382"/>
      <c r="AT18" s="2382"/>
      <c r="AU18" s="2382"/>
      <c r="AV18" s="2382"/>
      <c r="AW18" s="2382"/>
      <c r="AX18" s="2382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O</v>
      </c>
      <c r="AY18" s="2382"/>
      <c r="AZ18" s="2382"/>
      <c r="BA18" s="2382"/>
      <c r="BB18" s="2382"/>
      <c r="BC18" s="2382"/>
      <c r="BD18" s="2382"/>
      <c r="BE18" s="2382"/>
      <c r="BF18" s="2382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O</v>
      </c>
      <c r="BG18" s="2382"/>
      <c r="BH18" s="2382"/>
      <c r="BI18" s="2382"/>
      <c r="BJ18" s="2382"/>
      <c r="BK18" s="2382"/>
      <c r="BL18" s="2382"/>
      <c r="BM18" s="2382"/>
      <c r="BN18" s="2382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2"/>
      <c r="BP18" s="2382"/>
      <c r="BQ18" s="2382"/>
      <c r="BR18" s="2382"/>
      <c r="BS18" s="2382"/>
      <c r="BT18" s="2382"/>
      <c r="BU18" s="2382"/>
      <c r="BV18" s="2382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W18" s="2382"/>
      <c r="BX18" s="2382"/>
      <c r="BY18" s="2382"/>
      <c r="BZ18" s="2382"/>
      <c r="CA18" s="2382"/>
      <c r="CB18" s="2382"/>
      <c r="CC18" s="2382"/>
      <c r="CD18" s="2382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CE18" s="2382"/>
      <c r="CF18" s="2382"/>
      <c r="CG18" s="2382"/>
      <c r="CH18" s="2382"/>
      <c r="CI18" s="2382"/>
      <c r="CJ18" s="2382"/>
      <c r="CK18" s="2382"/>
      <c r="CL18" s="2382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CM18" s="2382"/>
      <c r="CN18" s="2382"/>
      <c r="CO18" s="2382"/>
      <c r="CP18" s="2382"/>
      <c r="CQ18" s="2382"/>
      <c r="CR18" s="2382"/>
      <c r="CS18" s="2382"/>
      <c r="CT18" s="2382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CU18" s="2382"/>
      <c r="CV18" s="2382"/>
      <c r="CW18" s="2382"/>
      <c r="CX18" s="2382"/>
      <c r="CY18" s="2382"/>
      <c r="CZ18" s="2382"/>
      <c r="DA18" s="2382"/>
      <c r="DB18" s="2382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2"/>
      <c r="DD18" s="2382"/>
      <c r="DE18" s="2382"/>
      <c r="DF18" s="2382"/>
      <c r="DG18" s="2382"/>
      <c r="DH18" s="2382"/>
      <c r="DI18" s="2382"/>
      <c r="DJ18" s="2382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2"/>
      <c r="DL18" s="2382"/>
      <c r="DM18" s="2382"/>
      <c r="DN18" s="2382"/>
      <c r="DO18" s="2382"/>
      <c r="DP18" s="2382"/>
      <c r="DQ18" s="2382"/>
      <c r="DR18" s="2382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2"/>
      <c r="DT18" s="2382"/>
      <c r="DU18" s="2382"/>
      <c r="DV18" s="2382"/>
      <c r="DW18" s="2382"/>
      <c r="DX18" s="2382"/>
      <c r="DY18" s="2382"/>
      <c r="DZ18" s="2382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2"/>
      <c r="EB18" s="2382"/>
      <c r="EC18" s="2382"/>
      <c r="ED18" s="2382"/>
      <c r="EE18" s="2382"/>
      <c r="EF18" s="2382"/>
      <c r="EG18" s="2382"/>
      <c r="EH18" s="2382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2"/>
      <c r="EJ18" s="2382"/>
      <c r="EK18" s="2382"/>
      <c r="EL18" s="2382"/>
      <c r="EM18" s="2382"/>
      <c r="EN18" s="2382"/>
      <c r="EO18" s="2382"/>
      <c r="EP18" s="2382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2"/>
      <c r="ER18" s="2382"/>
      <c r="ES18" s="2382"/>
      <c r="ET18" s="2382"/>
      <c r="EU18" s="2382"/>
      <c r="EV18" s="2382"/>
      <c r="EW18" s="2382"/>
      <c r="EX18" s="2382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2"/>
      <c r="EZ18" s="2382"/>
      <c r="FA18" s="2382"/>
      <c r="FB18" s="2382"/>
      <c r="FC18" s="2382"/>
      <c r="FD18" s="2382"/>
      <c r="FE18" s="2382"/>
      <c r="FF18" s="2382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2"/>
      <c r="FH18" s="2382"/>
      <c r="FI18" s="2382"/>
      <c r="FJ18" s="2382"/>
      <c r="FK18" s="2382"/>
      <c r="FL18" s="2382"/>
      <c r="FM18" s="2382"/>
      <c r="FN18" s="2382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2"/>
      <c r="FP18" s="2382"/>
      <c r="FQ18" s="2382"/>
      <c r="FR18" s="2382"/>
      <c r="FS18" s="2382"/>
      <c r="FT18" s="2382"/>
      <c r="FU18" s="2382"/>
      <c r="FV18" s="2382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2"/>
      <c r="FX18" s="2382"/>
      <c r="FY18" s="2382"/>
      <c r="FZ18" s="2382"/>
      <c r="GA18" s="2382"/>
      <c r="GB18" s="2382"/>
      <c r="GC18" s="2382"/>
      <c r="GD18" s="2383"/>
      <c r="GE18" s="2383"/>
      <c r="GF18" s="2383"/>
      <c r="GG18" s="2383"/>
    </row>
    <row r="19" spans="1:235" ht="44.25" customHeight="1" x14ac:dyDescent="0.35">
      <c r="A19" s="338">
        <v>5</v>
      </c>
      <c r="B19" s="2382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19" s="2382"/>
      <c r="D19" s="2382"/>
      <c r="E19" s="2382"/>
      <c r="F19" s="2382"/>
      <c r="G19" s="2382"/>
      <c r="H19" s="2382"/>
      <c r="I19" s="2382"/>
      <c r="J19" s="2382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2"/>
      <c r="L19" s="2382"/>
      <c r="M19" s="2382"/>
      <c r="N19" s="2382"/>
      <c r="O19" s="2382"/>
      <c r="P19" s="2382"/>
      <c r="Q19" s="2382"/>
      <c r="R19" s="2382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O</v>
      </c>
      <c r="S19" s="2382"/>
      <c r="T19" s="2382"/>
      <c r="U19" s="2382"/>
      <c r="V19" s="2382"/>
      <c r="W19" s="2382"/>
      <c r="X19" s="2382"/>
      <c r="Y19" s="2382"/>
      <c r="Z19" s="2382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O</v>
      </c>
      <c r="AA19" s="2382"/>
      <c r="AB19" s="2382"/>
      <c r="AC19" s="2382"/>
      <c r="AD19" s="2382"/>
      <c r="AE19" s="2382"/>
      <c r="AF19" s="2382"/>
      <c r="AG19" s="2382"/>
      <c r="AH19" s="2382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O</v>
      </c>
      <c r="AI19" s="2382"/>
      <c r="AJ19" s="2382"/>
      <c r="AK19" s="2382"/>
      <c r="AL19" s="2382"/>
      <c r="AM19" s="2382"/>
      <c r="AN19" s="2382"/>
      <c r="AO19" s="2382"/>
      <c r="AP19" s="2382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Q19" s="2382"/>
      <c r="AR19" s="2382"/>
      <c r="AS19" s="2382"/>
      <c r="AT19" s="2382"/>
      <c r="AU19" s="2382"/>
      <c r="AV19" s="2382"/>
      <c r="AW19" s="2382"/>
      <c r="AX19" s="2382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Y19" s="2382"/>
      <c r="AZ19" s="2382"/>
      <c r="BA19" s="2382"/>
      <c r="BB19" s="2382"/>
      <c r="BC19" s="2382"/>
      <c r="BD19" s="2382"/>
      <c r="BE19" s="2382"/>
      <c r="BF19" s="2382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BG19" s="2382"/>
      <c r="BH19" s="2382"/>
      <c r="BI19" s="2382"/>
      <c r="BJ19" s="2382"/>
      <c r="BK19" s="2382"/>
      <c r="BL19" s="2382"/>
      <c r="BM19" s="2382"/>
      <c r="BN19" s="2382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2"/>
      <c r="BP19" s="2382"/>
      <c r="BQ19" s="2382"/>
      <c r="BR19" s="2382"/>
      <c r="BS19" s="2382"/>
      <c r="BT19" s="2382"/>
      <c r="BU19" s="2382"/>
      <c r="BV19" s="2382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W19" s="2382"/>
      <c r="BX19" s="2382"/>
      <c r="BY19" s="2382"/>
      <c r="BZ19" s="2382"/>
      <c r="CA19" s="2382"/>
      <c r="CB19" s="2382"/>
      <c r="CC19" s="2382"/>
      <c r="CD19" s="2382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CE19" s="2382"/>
      <c r="CF19" s="2382"/>
      <c r="CG19" s="2382"/>
      <c r="CH19" s="2382"/>
      <c r="CI19" s="2382"/>
      <c r="CJ19" s="2382"/>
      <c r="CK19" s="2382"/>
      <c r="CL19" s="2382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CM19" s="2382"/>
      <c r="CN19" s="2382"/>
      <c r="CO19" s="2382"/>
      <c r="CP19" s="2382"/>
      <c r="CQ19" s="2382"/>
      <c r="CR19" s="2382"/>
      <c r="CS19" s="2382"/>
      <c r="CT19" s="2382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CU19" s="2382"/>
      <c r="CV19" s="2382"/>
      <c r="CW19" s="2382"/>
      <c r="CX19" s="2382"/>
      <c r="CY19" s="2382"/>
      <c r="CZ19" s="2382"/>
      <c r="DA19" s="2382"/>
      <c r="DB19" s="2382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2"/>
      <c r="DD19" s="2382"/>
      <c r="DE19" s="2382"/>
      <c r="DF19" s="2382"/>
      <c r="DG19" s="2382"/>
      <c r="DH19" s="2382"/>
      <c r="DI19" s="2382"/>
      <c r="DJ19" s="2382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2"/>
      <c r="DL19" s="2382"/>
      <c r="DM19" s="2382"/>
      <c r="DN19" s="2382"/>
      <c r="DO19" s="2382"/>
      <c r="DP19" s="2382"/>
      <c r="DQ19" s="2382"/>
      <c r="DR19" s="2382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2"/>
      <c r="DT19" s="2382"/>
      <c r="DU19" s="2382"/>
      <c r="DV19" s="2382"/>
      <c r="DW19" s="2382"/>
      <c r="DX19" s="2382"/>
      <c r="DY19" s="2382"/>
      <c r="DZ19" s="2382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2"/>
      <c r="EB19" s="2382"/>
      <c r="EC19" s="2382"/>
      <c r="ED19" s="2382"/>
      <c r="EE19" s="2382"/>
      <c r="EF19" s="2382"/>
      <c r="EG19" s="2382"/>
      <c r="EH19" s="2382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2"/>
      <c r="EJ19" s="2382"/>
      <c r="EK19" s="2382"/>
      <c r="EL19" s="2382"/>
      <c r="EM19" s="2382"/>
      <c r="EN19" s="2382"/>
      <c r="EO19" s="2382"/>
      <c r="EP19" s="2382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2"/>
      <c r="ER19" s="2382"/>
      <c r="ES19" s="2382"/>
      <c r="ET19" s="2382"/>
      <c r="EU19" s="2382"/>
      <c r="EV19" s="2382"/>
      <c r="EW19" s="2382"/>
      <c r="EX19" s="2382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2"/>
      <c r="EZ19" s="2382"/>
      <c r="FA19" s="2382"/>
      <c r="FB19" s="2382"/>
      <c r="FC19" s="2382"/>
      <c r="FD19" s="2382"/>
      <c r="FE19" s="2382"/>
      <c r="FF19" s="2382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2"/>
      <c r="FH19" s="2382"/>
      <c r="FI19" s="2382"/>
      <c r="FJ19" s="2382"/>
      <c r="FK19" s="2382"/>
      <c r="FL19" s="2382"/>
      <c r="FM19" s="2382"/>
      <c r="FN19" s="2382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2"/>
      <c r="FP19" s="2382"/>
      <c r="FQ19" s="2382"/>
      <c r="FR19" s="2382"/>
      <c r="FS19" s="2382"/>
      <c r="FT19" s="2382"/>
      <c r="FU19" s="2382"/>
      <c r="FV19" s="2382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2"/>
      <c r="FX19" s="2382"/>
      <c r="FY19" s="2382"/>
      <c r="FZ19" s="2382"/>
      <c r="GA19" s="2382"/>
      <c r="GB19" s="2382"/>
      <c r="GC19" s="2382"/>
      <c r="GD19" s="2383"/>
      <c r="GE19" s="2383"/>
      <c r="GF19" s="2383"/>
      <c r="GG19" s="2383"/>
    </row>
    <row r="20" spans="1:235" ht="44.25" customHeight="1" x14ac:dyDescent="0.35">
      <c r="A20" s="338">
        <v>6</v>
      </c>
      <c r="B20" s="2382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20" s="2382"/>
      <c r="D20" s="2382"/>
      <c r="E20" s="2382"/>
      <c r="F20" s="2382"/>
      <c r="G20" s="2382"/>
      <c r="H20" s="2382"/>
      <c r="I20" s="2382"/>
      <c r="J20" s="2382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K20" s="2382"/>
      <c r="L20" s="2382"/>
      <c r="M20" s="2382"/>
      <c r="N20" s="2382"/>
      <c r="O20" s="2382"/>
      <c r="P20" s="2382"/>
      <c r="Q20" s="2382"/>
      <c r="R20" s="2382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S20" s="2382"/>
      <c r="T20" s="2382"/>
      <c r="U20" s="2382"/>
      <c r="V20" s="2382"/>
      <c r="W20" s="2382"/>
      <c r="X20" s="2382"/>
      <c r="Y20" s="2382"/>
      <c r="Z20" s="2382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A20" s="2382"/>
      <c r="AB20" s="2382"/>
      <c r="AC20" s="2382"/>
      <c r="AD20" s="2382"/>
      <c r="AE20" s="2382"/>
      <c r="AF20" s="2382"/>
      <c r="AG20" s="2382"/>
      <c r="AH20" s="2382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I20" s="2382"/>
      <c r="AJ20" s="2382"/>
      <c r="AK20" s="2382"/>
      <c r="AL20" s="2382"/>
      <c r="AM20" s="2382"/>
      <c r="AN20" s="2382"/>
      <c r="AO20" s="2382"/>
      <c r="AP20" s="2382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2"/>
      <c r="AR20" s="2382"/>
      <c r="AS20" s="2382"/>
      <c r="AT20" s="2382"/>
      <c r="AU20" s="2382"/>
      <c r="AV20" s="2382"/>
      <c r="AW20" s="2382"/>
      <c r="AX20" s="2382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2"/>
      <c r="AZ20" s="2382"/>
      <c r="BA20" s="2382"/>
      <c r="BB20" s="2382"/>
      <c r="BC20" s="2382"/>
      <c r="BD20" s="2382"/>
      <c r="BE20" s="2382"/>
      <c r="BF20" s="2382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2"/>
      <c r="BH20" s="2382"/>
      <c r="BI20" s="2382"/>
      <c r="BJ20" s="2382"/>
      <c r="BK20" s="2382"/>
      <c r="BL20" s="2382"/>
      <c r="BM20" s="2382"/>
      <c r="BN20" s="2382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2"/>
      <c r="BP20" s="2382"/>
      <c r="BQ20" s="2382"/>
      <c r="BR20" s="2382"/>
      <c r="BS20" s="2382"/>
      <c r="BT20" s="2382"/>
      <c r="BU20" s="2382"/>
      <c r="BV20" s="2382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W20" s="2382"/>
      <c r="BX20" s="2382"/>
      <c r="BY20" s="2382"/>
      <c r="BZ20" s="2382"/>
      <c r="CA20" s="2382"/>
      <c r="CB20" s="2382"/>
      <c r="CC20" s="2382"/>
      <c r="CD20" s="2382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CE20" s="2382"/>
      <c r="CF20" s="2382"/>
      <c r="CG20" s="2382"/>
      <c r="CH20" s="2382"/>
      <c r="CI20" s="2382"/>
      <c r="CJ20" s="2382"/>
      <c r="CK20" s="2382"/>
      <c r="CL20" s="2382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CM20" s="2382"/>
      <c r="CN20" s="2382"/>
      <c r="CO20" s="2382"/>
      <c r="CP20" s="2382"/>
      <c r="CQ20" s="2382"/>
      <c r="CR20" s="2382"/>
      <c r="CS20" s="2382"/>
      <c r="CT20" s="2382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CU20" s="2382"/>
      <c r="CV20" s="2382"/>
      <c r="CW20" s="2382"/>
      <c r="CX20" s="2382"/>
      <c r="CY20" s="2382"/>
      <c r="CZ20" s="2382"/>
      <c r="DA20" s="2382"/>
      <c r="DB20" s="2382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2"/>
      <c r="DD20" s="2382"/>
      <c r="DE20" s="2382"/>
      <c r="DF20" s="2382"/>
      <c r="DG20" s="2382"/>
      <c r="DH20" s="2382"/>
      <c r="DI20" s="2382"/>
      <c r="DJ20" s="2382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2"/>
      <c r="DL20" s="2382"/>
      <c r="DM20" s="2382"/>
      <c r="DN20" s="2382"/>
      <c r="DO20" s="2382"/>
      <c r="DP20" s="2382"/>
      <c r="DQ20" s="2382"/>
      <c r="DR20" s="2382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2"/>
      <c r="DT20" s="2382"/>
      <c r="DU20" s="2382"/>
      <c r="DV20" s="2382"/>
      <c r="DW20" s="2382"/>
      <c r="DX20" s="2382"/>
      <c r="DY20" s="2382"/>
      <c r="DZ20" s="2382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2"/>
      <c r="EB20" s="2382"/>
      <c r="EC20" s="2382"/>
      <c r="ED20" s="2382"/>
      <c r="EE20" s="2382"/>
      <c r="EF20" s="2382"/>
      <c r="EG20" s="2382"/>
      <c r="EH20" s="2382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2"/>
      <c r="EJ20" s="2382"/>
      <c r="EK20" s="2382"/>
      <c r="EL20" s="2382"/>
      <c r="EM20" s="2382"/>
      <c r="EN20" s="2382"/>
      <c r="EO20" s="2382"/>
      <c r="EP20" s="2382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2"/>
      <c r="ER20" s="2382"/>
      <c r="ES20" s="2382"/>
      <c r="ET20" s="2382"/>
      <c r="EU20" s="2382"/>
      <c r="EV20" s="2382"/>
      <c r="EW20" s="2382"/>
      <c r="EX20" s="2382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2"/>
      <c r="EZ20" s="2382"/>
      <c r="FA20" s="2382"/>
      <c r="FB20" s="2382"/>
      <c r="FC20" s="2382"/>
      <c r="FD20" s="2382"/>
      <c r="FE20" s="2382"/>
      <c r="FF20" s="2382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2"/>
      <c r="FH20" s="2382"/>
      <c r="FI20" s="2382"/>
      <c r="FJ20" s="2382"/>
      <c r="FK20" s="2382"/>
      <c r="FL20" s="2382"/>
      <c r="FM20" s="2382"/>
      <c r="FN20" s="2382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2"/>
      <c r="FP20" s="2382"/>
      <c r="FQ20" s="2382"/>
      <c r="FR20" s="2382"/>
      <c r="FS20" s="2382"/>
      <c r="FT20" s="2382"/>
      <c r="FU20" s="2382"/>
      <c r="FV20" s="2382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2"/>
      <c r="FX20" s="2382"/>
      <c r="FY20" s="2382"/>
      <c r="FZ20" s="2382"/>
      <c r="GA20" s="2382"/>
      <c r="GB20" s="2382"/>
      <c r="GC20" s="2382"/>
      <c r="GD20" s="2383"/>
      <c r="GE20" s="2383"/>
      <c r="GF20" s="2383"/>
      <c r="GG20" s="2383"/>
    </row>
    <row r="21" spans="1:235" ht="44.25" customHeight="1" x14ac:dyDescent="0.35">
      <c r="A21" s="338">
        <v>7</v>
      </c>
      <c r="B21" s="2382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2"/>
      <c r="D21" s="2382"/>
      <c r="E21" s="2382"/>
      <c r="F21" s="2382"/>
      <c r="G21" s="2382"/>
      <c r="H21" s="2382"/>
      <c r="I21" s="2382"/>
      <c r="J21" s="2382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2"/>
      <c r="L21" s="2382"/>
      <c r="M21" s="2382"/>
      <c r="N21" s="2382"/>
      <c r="O21" s="2382"/>
      <c r="P21" s="2382"/>
      <c r="Q21" s="2382"/>
      <c r="R21" s="2382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2"/>
      <c r="T21" s="2382"/>
      <c r="U21" s="2382"/>
      <c r="V21" s="2382"/>
      <c r="W21" s="2382"/>
      <c r="X21" s="2382"/>
      <c r="Y21" s="2382"/>
      <c r="Z21" s="2382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2"/>
      <c r="AB21" s="2382"/>
      <c r="AC21" s="2382"/>
      <c r="AD21" s="2382"/>
      <c r="AE21" s="2382"/>
      <c r="AF21" s="2382"/>
      <c r="AG21" s="2382"/>
      <c r="AH21" s="2382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2"/>
      <c r="AJ21" s="2382"/>
      <c r="AK21" s="2382"/>
      <c r="AL21" s="2382"/>
      <c r="AM21" s="2382"/>
      <c r="AN21" s="2382"/>
      <c r="AO21" s="2382"/>
      <c r="AP21" s="2382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2"/>
      <c r="AR21" s="2382"/>
      <c r="AS21" s="2382"/>
      <c r="AT21" s="2382"/>
      <c r="AU21" s="2382"/>
      <c r="AV21" s="2382"/>
      <c r="AW21" s="2382"/>
      <c r="AX21" s="2382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2"/>
      <c r="AZ21" s="2382"/>
      <c r="BA21" s="2382"/>
      <c r="BB21" s="2382"/>
      <c r="BC21" s="2382"/>
      <c r="BD21" s="2382"/>
      <c r="BE21" s="2382"/>
      <c r="BF21" s="2382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2"/>
      <c r="BH21" s="2382"/>
      <c r="BI21" s="2382"/>
      <c r="BJ21" s="2382"/>
      <c r="BK21" s="2382"/>
      <c r="BL21" s="2382"/>
      <c r="BM21" s="2382"/>
      <c r="BN21" s="2382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2"/>
      <c r="BP21" s="2382"/>
      <c r="BQ21" s="2382"/>
      <c r="BR21" s="2382"/>
      <c r="BS21" s="2382"/>
      <c r="BT21" s="2382"/>
      <c r="BU21" s="2382"/>
      <c r="BV21" s="2382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2"/>
      <c r="BX21" s="2382"/>
      <c r="BY21" s="2382"/>
      <c r="BZ21" s="2382"/>
      <c r="CA21" s="2382"/>
      <c r="CB21" s="2382"/>
      <c r="CC21" s="2382"/>
      <c r="CD21" s="2382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2"/>
      <c r="CF21" s="2382"/>
      <c r="CG21" s="2382"/>
      <c r="CH21" s="2382"/>
      <c r="CI21" s="2382"/>
      <c r="CJ21" s="2382"/>
      <c r="CK21" s="2382"/>
      <c r="CL21" s="2382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2"/>
      <c r="CN21" s="2382"/>
      <c r="CO21" s="2382"/>
      <c r="CP21" s="2382"/>
      <c r="CQ21" s="2382"/>
      <c r="CR21" s="2382"/>
      <c r="CS21" s="2382"/>
      <c r="CT21" s="2382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2"/>
      <c r="CV21" s="2382"/>
      <c r="CW21" s="2382"/>
      <c r="CX21" s="2382"/>
      <c r="CY21" s="2382"/>
      <c r="CZ21" s="2382"/>
      <c r="DA21" s="2382"/>
      <c r="DB21" s="2382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2"/>
      <c r="DD21" s="2382"/>
      <c r="DE21" s="2382"/>
      <c r="DF21" s="2382"/>
      <c r="DG21" s="2382"/>
      <c r="DH21" s="2382"/>
      <c r="DI21" s="2382"/>
      <c r="DJ21" s="2382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2"/>
      <c r="DL21" s="2382"/>
      <c r="DM21" s="2382"/>
      <c r="DN21" s="2382"/>
      <c r="DO21" s="2382"/>
      <c r="DP21" s="2382"/>
      <c r="DQ21" s="2382"/>
      <c r="DR21" s="2382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2"/>
      <c r="DT21" s="2382"/>
      <c r="DU21" s="2382"/>
      <c r="DV21" s="2382"/>
      <c r="DW21" s="2382"/>
      <c r="DX21" s="2382"/>
      <c r="DY21" s="2382"/>
      <c r="DZ21" s="2382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2"/>
      <c r="EB21" s="2382"/>
      <c r="EC21" s="2382"/>
      <c r="ED21" s="2382"/>
      <c r="EE21" s="2382"/>
      <c r="EF21" s="2382"/>
      <c r="EG21" s="2382"/>
      <c r="EH21" s="2382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2"/>
      <c r="EJ21" s="2382"/>
      <c r="EK21" s="2382"/>
      <c r="EL21" s="2382"/>
      <c r="EM21" s="2382"/>
      <c r="EN21" s="2382"/>
      <c r="EO21" s="2382"/>
      <c r="EP21" s="2382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2"/>
      <c r="ER21" s="2382"/>
      <c r="ES21" s="2382"/>
      <c r="ET21" s="2382"/>
      <c r="EU21" s="2382"/>
      <c r="EV21" s="2382"/>
      <c r="EW21" s="2382"/>
      <c r="EX21" s="2382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2"/>
      <c r="EZ21" s="2382"/>
      <c r="FA21" s="2382"/>
      <c r="FB21" s="2382"/>
      <c r="FC21" s="2382"/>
      <c r="FD21" s="2382"/>
      <c r="FE21" s="2382"/>
      <c r="FF21" s="2382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2"/>
      <c r="FH21" s="2382"/>
      <c r="FI21" s="2382"/>
      <c r="FJ21" s="2382"/>
      <c r="FK21" s="2382"/>
      <c r="FL21" s="2382"/>
      <c r="FM21" s="2382"/>
      <c r="FN21" s="2382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2"/>
      <c r="FP21" s="2382"/>
      <c r="FQ21" s="2382"/>
      <c r="FR21" s="2382"/>
      <c r="FS21" s="2382"/>
      <c r="FT21" s="2382"/>
      <c r="FU21" s="2382"/>
      <c r="FV21" s="2382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2"/>
      <c r="FX21" s="2382"/>
      <c r="FY21" s="2382"/>
      <c r="FZ21" s="2382"/>
      <c r="GA21" s="2382"/>
      <c r="GB21" s="2382"/>
      <c r="GC21" s="2382"/>
      <c r="GD21" s="2383"/>
      <c r="GE21" s="2383"/>
      <c r="GF21" s="2383"/>
      <c r="GG21" s="2383"/>
    </row>
    <row r="22" spans="1:235" ht="44.25" customHeight="1" x14ac:dyDescent="0.35">
      <c r="A22" s="338">
        <v>8</v>
      </c>
      <c r="B22" s="2382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2"/>
      <c r="D22" s="2382"/>
      <c r="E22" s="2382"/>
      <c r="F22" s="2382"/>
      <c r="G22" s="2382"/>
      <c r="H22" s="2382"/>
      <c r="I22" s="2382"/>
      <c r="J22" s="2382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2"/>
      <c r="L22" s="2382"/>
      <c r="M22" s="2382"/>
      <c r="N22" s="2382"/>
      <c r="O22" s="2382"/>
      <c r="P22" s="2382"/>
      <c r="Q22" s="2382"/>
      <c r="R22" s="2382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2"/>
      <c r="T22" s="2382"/>
      <c r="U22" s="2382"/>
      <c r="V22" s="2382"/>
      <c r="W22" s="2382"/>
      <c r="X22" s="2382"/>
      <c r="Y22" s="2382"/>
      <c r="Z22" s="2382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2"/>
      <c r="AB22" s="2382"/>
      <c r="AC22" s="2382"/>
      <c r="AD22" s="2382"/>
      <c r="AE22" s="2382"/>
      <c r="AF22" s="2382"/>
      <c r="AG22" s="2382"/>
      <c r="AH22" s="2382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2"/>
      <c r="AJ22" s="2382"/>
      <c r="AK22" s="2382"/>
      <c r="AL22" s="2382"/>
      <c r="AM22" s="2382"/>
      <c r="AN22" s="2382"/>
      <c r="AO22" s="2382"/>
      <c r="AP22" s="2382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2"/>
      <c r="AR22" s="2382"/>
      <c r="AS22" s="2382"/>
      <c r="AT22" s="2382"/>
      <c r="AU22" s="2382"/>
      <c r="AV22" s="2382"/>
      <c r="AW22" s="2382"/>
      <c r="AX22" s="2382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2"/>
      <c r="AZ22" s="2382"/>
      <c r="BA22" s="2382"/>
      <c r="BB22" s="2382"/>
      <c r="BC22" s="2382"/>
      <c r="BD22" s="2382"/>
      <c r="BE22" s="2382"/>
      <c r="BF22" s="2382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2"/>
      <c r="BH22" s="2382"/>
      <c r="BI22" s="2382"/>
      <c r="BJ22" s="2382"/>
      <c r="BK22" s="2382"/>
      <c r="BL22" s="2382"/>
      <c r="BM22" s="2382"/>
      <c r="BN22" s="2382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2"/>
      <c r="BP22" s="2382"/>
      <c r="BQ22" s="2382"/>
      <c r="BR22" s="2382"/>
      <c r="BS22" s="2382"/>
      <c r="BT22" s="2382"/>
      <c r="BU22" s="2382"/>
      <c r="BV22" s="2382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2"/>
      <c r="BX22" s="2382"/>
      <c r="BY22" s="2382"/>
      <c r="BZ22" s="2382"/>
      <c r="CA22" s="2382"/>
      <c r="CB22" s="2382"/>
      <c r="CC22" s="2382"/>
      <c r="CD22" s="2382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2"/>
      <c r="CF22" s="2382"/>
      <c r="CG22" s="2382"/>
      <c r="CH22" s="2382"/>
      <c r="CI22" s="2382"/>
      <c r="CJ22" s="2382"/>
      <c r="CK22" s="2382"/>
      <c r="CL22" s="2382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2"/>
      <c r="CN22" s="2382"/>
      <c r="CO22" s="2382"/>
      <c r="CP22" s="2382"/>
      <c r="CQ22" s="2382"/>
      <c r="CR22" s="2382"/>
      <c r="CS22" s="2382"/>
      <c r="CT22" s="2382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2"/>
      <c r="CV22" s="2382"/>
      <c r="CW22" s="2382"/>
      <c r="CX22" s="2382"/>
      <c r="CY22" s="2382"/>
      <c r="CZ22" s="2382"/>
      <c r="DA22" s="2382"/>
      <c r="DB22" s="2382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2"/>
      <c r="DD22" s="2382"/>
      <c r="DE22" s="2382"/>
      <c r="DF22" s="2382"/>
      <c r="DG22" s="2382"/>
      <c r="DH22" s="2382"/>
      <c r="DI22" s="2382"/>
      <c r="DJ22" s="2382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2"/>
      <c r="DL22" s="2382"/>
      <c r="DM22" s="2382"/>
      <c r="DN22" s="2382"/>
      <c r="DO22" s="2382"/>
      <c r="DP22" s="2382"/>
      <c r="DQ22" s="2382"/>
      <c r="DR22" s="2382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2"/>
      <c r="DT22" s="2382"/>
      <c r="DU22" s="2382"/>
      <c r="DV22" s="2382"/>
      <c r="DW22" s="2382"/>
      <c r="DX22" s="2382"/>
      <c r="DY22" s="2382"/>
      <c r="DZ22" s="2382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2"/>
      <c r="EB22" s="2382"/>
      <c r="EC22" s="2382"/>
      <c r="ED22" s="2382"/>
      <c r="EE22" s="2382"/>
      <c r="EF22" s="2382"/>
      <c r="EG22" s="2382"/>
      <c r="EH22" s="2382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2"/>
      <c r="EJ22" s="2382"/>
      <c r="EK22" s="2382"/>
      <c r="EL22" s="2382"/>
      <c r="EM22" s="2382"/>
      <c r="EN22" s="2382"/>
      <c r="EO22" s="2382"/>
      <c r="EP22" s="2382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2"/>
      <c r="ER22" s="2382"/>
      <c r="ES22" s="2382"/>
      <c r="ET22" s="2382"/>
      <c r="EU22" s="2382"/>
      <c r="EV22" s="2382"/>
      <c r="EW22" s="2382"/>
      <c r="EX22" s="2382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2"/>
      <c r="EZ22" s="2382"/>
      <c r="FA22" s="2382"/>
      <c r="FB22" s="2382"/>
      <c r="FC22" s="2382"/>
      <c r="FD22" s="2382"/>
      <c r="FE22" s="2382"/>
      <c r="FF22" s="2382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2"/>
      <c r="FH22" s="2382"/>
      <c r="FI22" s="2382"/>
      <c r="FJ22" s="2382"/>
      <c r="FK22" s="2382"/>
      <c r="FL22" s="2382"/>
      <c r="FM22" s="2382"/>
      <c r="FN22" s="2382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2"/>
      <c r="FP22" s="2382"/>
      <c r="FQ22" s="2382"/>
      <c r="FR22" s="2382"/>
      <c r="FS22" s="2382"/>
      <c r="FT22" s="2382"/>
      <c r="FU22" s="2382"/>
      <c r="FV22" s="2382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2"/>
      <c r="FX22" s="2382"/>
      <c r="FY22" s="2382"/>
      <c r="FZ22" s="2382"/>
      <c r="GA22" s="2382"/>
      <c r="GB22" s="2382"/>
      <c r="GC22" s="2382"/>
      <c r="GD22" s="2383"/>
      <c r="GE22" s="2383"/>
      <c r="GF22" s="2383"/>
      <c r="GG22" s="2383"/>
    </row>
    <row r="23" spans="1:235" ht="44.25" customHeight="1" x14ac:dyDescent="0.35">
      <c r="A23" s="338">
        <v>9</v>
      </c>
      <c r="B23" s="2382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2"/>
      <c r="D23" s="2382"/>
      <c r="E23" s="2382"/>
      <c r="F23" s="2382"/>
      <c r="G23" s="2382"/>
      <c r="H23" s="2382"/>
      <c r="I23" s="2382"/>
      <c r="J23" s="2382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2"/>
      <c r="L23" s="2382"/>
      <c r="M23" s="2382"/>
      <c r="N23" s="2382"/>
      <c r="O23" s="2382"/>
      <c r="P23" s="2382"/>
      <c r="Q23" s="2382"/>
      <c r="R23" s="2382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2"/>
      <c r="T23" s="2382"/>
      <c r="U23" s="2382"/>
      <c r="V23" s="2382"/>
      <c r="W23" s="2382"/>
      <c r="X23" s="2382"/>
      <c r="Y23" s="2382"/>
      <c r="Z23" s="2382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2"/>
      <c r="AB23" s="2382"/>
      <c r="AC23" s="2382"/>
      <c r="AD23" s="2382"/>
      <c r="AE23" s="2382"/>
      <c r="AF23" s="2382"/>
      <c r="AG23" s="2382"/>
      <c r="AH23" s="2382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2"/>
      <c r="AJ23" s="2382"/>
      <c r="AK23" s="2382"/>
      <c r="AL23" s="2382"/>
      <c r="AM23" s="2382"/>
      <c r="AN23" s="2382"/>
      <c r="AO23" s="2382"/>
      <c r="AP23" s="2382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2"/>
      <c r="AR23" s="2382"/>
      <c r="AS23" s="2382"/>
      <c r="AT23" s="2382"/>
      <c r="AU23" s="2382"/>
      <c r="AV23" s="2382"/>
      <c r="AW23" s="2382"/>
      <c r="AX23" s="2382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2"/>
      <c r="AZ23" s="2382"/>
      <c r="BA23" s="2382"/>
      <c r="BB23" s="2382"/>
      <c r="BC23" s="2382"/>
      <c r="BD23" s="2382"/>
      <c r="BE23" s="2382"/>
      <c r="BF23" s="2382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2"/>
      <c r="BH23" s="2382"/>
      <c r="BI23" s="2382"/>
      <c r="BJ23" s="2382"/>
      <c r="BK23" s="2382"/>
      <c r="BL23" s="2382"/>
      <c r="BM23" s="2382"/>
      <c r="BN23" s="2382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2"/>
      <c r="BP23" s="2382"/>
      <c r="BQ23" s="2382"/>
      <c r="BR23" s="2382"/>
      <c r="BS23" s="2382"/>
      <c r="BT23" s="2382"/>
      <c r="BU23" s="2382"/>
      <c r="BV23" s="2382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2"/>
      <c r="BX23" s="2382"/>
      <c r="BY23" s="2382"/>
      <c r="BZ23" s="2382"/>
      <c r="CA23" s="2382"/>
      <c r="CB23" s="2382"/>
      <c r="CC23" s="2382"/>
      <c r="CD23" s="2382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2"/>
      <c r="CF23" s="2382"/>
      <c r="CG23" s="2382"/>
      <c r="CH23" s="2382"/>
      <c r="CI23" s="2382"/>
      <c r="CJ23" s="2382"/>
      <c r="CK23" s="2382"/>
      <c r="CL23" s="2382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2"/>
      <c r="CN23" s="2382"/>
      <c r="CO23" s="2382"/>
      <c r="CP23" s="2382"/>
      <c r="CQ23" s="2382"/>
      <c r="CR23" s="2382"/>
      <c r="CS23" s="2382"/>
      <c r="CT23" s="2382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2"/>
      <c r="CV23" s="2382"/>
      <c r="CW23" s="2382"/>
      <c r="CX23" s="2382"/>
      <c r="CY23" s="2382"/>
      <c r="CZ23" s="2382"/>
      <c r="DA23" s="2382"/>
      <c r="DB23" s="2382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2"/>
      <c r="DD23" s="2382"/>
      <c r="DE23" s="2382"/>
      <c r="DF23" s="2382"/>
      <c r="DG23" s="2382"/>
      <c r="DH23" s="2382"/>
      <c r="DI23" s="2382"/>
      <c r="DJ23" s="2382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2"/>
      <c r="DL23" s="2382"/>
      <c r="DM23" s="2382"/>
      <c r="DN23" s="2382"/>
      <c r="DO23" s="2382"/>
      <c r="DP23" s="2382"/>
      <c r="DQ23" s="2382"/>
      <c r="DR23" s="2382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2"/>
      <c r="DT23" s="2382"/>
      <c r="DU23" s="2382"/>
      <c r="DV23" s="2382"/>
      <c r="DW23" s="2382"/>
      <c r="DX23" s="2382"/>
      <c r="DY23" s="2382"/>
      <c r="DZ23" s="2382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2"/>
      <c r="EB23" s="2382"/>
      <c r="EC23" s="2382"/>
      <c r="ED23" s="2382"/>
      <c r="EE23" s="2382"/>
      <c r="EF23" s="2382"/>
      <c r="EG23" s="2382"/>
      <c r="EH23" s="2382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2"/>
      <c r="EJ23" s="2382"/>
      <c r="EK23" s="2382"/>
      <c r="EL23" s="2382"/>
      <c r="EM23" s="2382"/>
      <c r="EN23" s="2382"/>
      <c r="EO23" s="2382"/>
      <c r="EP23" s="2382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2"/>
      <c r="ER23" s="2382"/>
      <c r="ES23" s="2382"/>
      <c r="ET23" s="2382"/>
      <c r="EU23" s="2382"/>
      <c r="EV23" s="2382"/>
      <c r="EW23" s="2382"/>
      <c r="EX23" s="2382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2"/>
      <c r="EZ23" s="2382"/>
      <c r="FA23" s="2382"/>
      <c r="FB23" s="2382"/>
      <c r="FC23" s="2382"/>
      <c r="FD23" s="2382"/>
      <c r="FE23" s="2382"/>
      <c r="FF23" s="2382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2"/>
      <c r="FH23" s="2382"/>
      <c r="FI23" s="2382"/>
      <c r="FJ23" s="2382"/>
      <c r="FK23" s="2382"/>
      <c r="FL23" s="2382"/>
      <c r="FM23" s="2382"/>
      <c r="FN23" s="2382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2"/>
      <c r="FP23" s="2382"/>
      <c r="FQ23" s="2382"/>
      <c r="FR23" s="2382"/>
      <c r="FS23" s="2382"/>
      <c r="FT23" s="2382"/>
      <c r="FU23" s="2382"/>
      <c r="FV23" s="2382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2"/>
      <c r="FX23" s="2382"/>
      <c r="FY23" s="2382"/>
      <c r="FZ23" s="2382"/>
      <c r="GA23" s="2382"/>
      <c r="GB23" s="2382"/>
      <c r="GC23" s="2382"/>
      <c r="GD23" s="1160"/>
      <c r="GE23" s="1160"/>
      <c r="GF23" s="1160"/>
      <c r="GG23" s="1160"/>
    </row>
    <row r="24" spans="1:235" ht="63.75" customHeight="1" x14ac:dyDescent="0.25">
      <c r="A24" s="339"/>
      <c r="B24" s="2380" t="str">
        <f>IF(Data!$GI$2&lt;&gt;"","X1: "&amp; Data!$GI$2, " ")</f>
        <v>X1: 1313 CT427 0.010</v>
      </c>
      <c r="C24" s="2380"/>
      <c r="D24" s="2380"/>
      <c r="E24" s="2380"/>
      <c r="F24" s="2380"/>
      <c r="G24" s="2380"/>
      <c r="H24" s="2380"/>
      <c r="I24" s="2380"/>
      <c r="J24" s="2380"/>
      <c r="K24" s="2380"/>
      <c r="L24" s="2380"/>
      <c r="M24" s="2380"/>
      <c r="N24" s="2380"/>
      <c r="O24" s="2380"/>
      <c r="P24" s="2380"/>
      <c r="Q24" s="2380"/>
      <c r="R24" s="2380"/>
      <c r="S24" s="2380"/>
      <c r="T24" s="2380"/>
      <c r="U24" s="2380" t="str">
        <f>IF(Data!$GI$3&lt;&gt;"","X2: "&amp; Data!$GI$3, " ")</f>
        <v xml:space="preserve">X2: 1308 CT31 Drop in </v>
      </c>
      <c r="V24" s="2380"/>
      <c r="W24" s="2380"/>
      <c r="X24" s="2380"/>
      <c r="Y24" s="2380"/>
      <c r="Z24" s="2380"/>
      <c r="AA24" s="2380"/>
      <c r="AB24" s="2380"/>
      <c r="AC24" s="2380"/>
      <c r="AD24" s="2380"/>
      <c r="AE24" s="2380"/>
      <c r="AF24" s="2380"/>
      <c r="AG24" s="2380"/>
      <c r="AH24" s="2380"/>
      <c r="AI24" s="2380"/>
      <c r="AJ24" s="2380"/>
      <c r="AK24" s="2380"/>
      <c r="AL24" s="2380"/>
      <c r="AM24" s="2380"/>
      <c r="AN24" s="2380" t="str">
        <f>IF(Data!$GI$4&lt;&gt;"","X3: "&amp; Data!$GI$4, " ")</f>
        <v>X3: 1313 CT147G U</v>
      </c>
      <c r="AO24" s="2380"/>
      <c r="AP24" s="2380"/>
      <c r="AQ24" s="2380"/>
      <c r="AR24" s="2380"/>
      <c r="AS24" s="2380"/>
      <c r="AT24" s="2380"/>
      <c r="AU24" s="2380"/>
      <c r="AV24" s="2380"/>
      <c r="AW24" s="2380"/>
      <c r="AX24" s="2380"/>
      <c r="AY24" s="2380"/>
      <c r="AZ24" s="2380"/>
      <c r="BA24" s="2380"/>
      <c r="BB24" s="2380"/>
      <c r="BC24" s="2380"/>
      <c r="BD24" s="2380"/>
      <c r="BE24" s="2380"/>
      <c r="BF24" s="2380"/>
      <c r="BG24" s="2380" t="str">
        <f>IF(Data!$GI$5&lt;&gt;"","X4: "&amp; Data!$GI$5, " ")</f>
        <v>X4: 1313 CT418 18C-60</v>
      </c>
      <c r="BH24" s="2380"/>
      <c r="BI24" s="2380"/>
      <c r="BJ24" s="2380"/>
      <c r="BK24" s="2380"/>
      <c r="BL24" s="2380"/>
      <c r="BM24" s="2380"/>
      <c r="BN24" s="2380"/>
      <c r="BO24" s="2380"/>
      <c r="BP24" s="2380"/>
      <c r="BQ24" s="2380"/>
      <c r="BR24" s="2380"/>
      <c r="BS24" s="2380"/>
      <c r="BT24" s="2380"/>
      <c r="BU24" s="2380"/>
      <c r="BV24" s="2380"/>
      <c r="BW24" s="2380"/>
      <c r="BX24" s="2380"/>
      <c r="BY24" s="2380"/>
      <c r="BZ24" s="2380" t="str">
        <f>IF(Data!$GI$6&lt;&gt;"","X5: "&amp; Data!$GI$6, " ")</f>
        <v>X5: 1313 CT179T U-60</v>
      </c>
      <c r="CA24" s="2380"/>
      <c r="CB24" s="2380"/>
      <c r="CC24" s="2380"/>
      <c r="CD24" s="2380"/>
      <c r="CE24" s="2380"/>
      <c r="CF24" s="2380"/>
      <c r="CG24" s="2380"/>
      <c r="CH24" s="2380"/>
      <c r="CI24" s="2380"/>
      <c r="CJ24" s="2380"/>
      <c r="CK24" s="2380"/>
      <c r="CL24" s="2380"/>
      <c r="CM24" s="2380"/>
      <c r="CN24" s="2380"/>
      <c r="CO24" s="2380"/>
      <c r="CP24" s="2380"/>
      <c r="CQ24" s="2380"/>
      <c r="CR24" s="2380"/>
      <c r="CS24" s="2380" t="str">
        <f>IF(Data!$GI$7&lt;&gt;"","X6: "&amp; Data!$GI$7, " ")</f>
        <v xml:space="preserve"> </v>
      </c>
      <c r="CT24" s="2380"/>
      <c r="CU24" s="2380"/>
      <c r="CV24" s="2380"/>
      <c r="CW24" s="2380"/>
      <c r="CX24" s="2380"/>
      <c r="CY24" s="2380"/>
      <c r="CZ24" s="2380"/>
      <c r="DA24" s="2380"/>
      <c r="DB24" s="2380"/>
      <c r="DC24" s="2380"/>
      <c r="DD24" s="2380"/>
      <c r="DE24" s="2380"/>
      <c r="DF24" s="2380"/>
      <c r="DG24" s="2380"/>
      <c r="DH24" s="2380"/>
      <c r="DI24" s="2380"/>
      <c r="DJ24" s="2380"/>
      <c r="DK24" s="2380"/>
      <c r="DL24" s="2380" t="str">
        <f>IF(Data!$GI$8&lt;&gt;"","X7: "&amp; Data!$GI$8, " ")</f>
        <v xml:space="preserve"> </v>
      </c>
      <c r="DM24" s="2380"/>
      <c r="DN24" s="2380"/>
      <c r="DO24" s="2380"/>
      <c r="DP24" s="2380"/>
      <c r="DQ24" s="2380"/>
      <c r="DR24" s="2380"/>
      <c r="DS24" s="2380"/>
      <c r="DT24" s="2380"/>
      <c r="DU24" s="2380"/>
      <c r="DV24" s="2380"/>
      <c r="DW24" s="2380"/>
      <c r="DX24" s="2380"/>
      <c r="DY24" s="2380"/>
      <c r="DZ24" s="2380"/>
      <c r="EA24" s="2380"/>
      <c r="EB24" s="2380"/>
      <c r="EC24" s="2380"/>
      <c r="ED24" s="2380"/>
      <c r="EE24" s="2380" t="str">
        <f>IF(Data!$GI$9&lt;&gt;"","X8: "&amp; Data!$GI$9, " ")</f>
        <v xml:space="preserve"> </v>
      </c>
      <c r="EF24" s="2380"/>
      <c r="EG24" s="2380"/>
      <c r="EH24" s="2380"/>
      <c r="EI24" s="2380"/>
      <c r="EJ24" s="2380"/>
      <c r="EK24" s="2380"/>
      <c r="EL24" s="2380"/>
      <c r="EM24" s="2380"/>
      <c r="EN24" s="2380"/>
      <c r="EO24" s="2380"/>
      <c r="EP24" s="2380"/>
      <c r="EQ24" s="2380"/>
      <c r="ER24" s="2380"/>
      <c r="ES24" s="2380"/>
      <c r="ET24" s="2380"/>
      <c r="EU24" s="2380"/>
      <c r="EV24" s="2380"/>
      <c r="EW24" s="2380"/>
      <c r="EX24" s="2380" t="str">
        <f>IF(Data!$GI$10&lt;&gt;"","X9: "&amp; Data!$GI$10, " ")</f>
        <v xml:space="preserve"> </v>
      </c>
      <c r="EY24" s="2380"/>
      <c r="EZ24" s="2380"/>
      <c r="FA24" s="2380"/>
      <c r="FB24" s="2380"/>
      <c r="FC24" s="2380"/>
      <c r="FD24" s="2380"/>
      <c r="FE24" s="2380"/>
      <c r="FF24" s="2380"/>
      <c r="FG24" s="2380"/>
      <c r="FH24" s="2380"/>
      <c r="FI24" s="2380"/>
      <c r="FJ24" s="2380"/>
      <c r="FK24" s="2380"/>
      <c r="FL24" s="2380"/>
      <c r="FM24" s="2380"/>
      <c r="FN24" s="2380"/>
      <c r="FO24" s="2380"/>
      <c r="FP24" s="2380"/>
      <c r="FQ24" s="2380" t="str">
        <f>IF(Data!$GI$11&lt;&gt;"","X10: "&amp; Data!$GI$11, " ")</f>
        <v xml:space="preserve"> </v>
      </c>
      <c r="FR24" s="2380"/>
      <c r="FS24" s="2380"/>
      <c r="FT24" s="2380"/>
      <c r="FU24" s="2380"/>
      <c r="FV24" s="2380"/>
      <c r="FW24" s="2380"/>
      <c r="FX24" s="2380"/>
      <c r="FY24" s="2380"/>
      <c r="FZ24" s="2380"/>
      <c r="GA24" s="2380"/>
      <c r="GB24" s="2380"/>
      <c r="GC24" s="2380"/>
      <c r="GD24" s="2380"/>
      <c r="GE24" s="2380"/>
      <c r="GF24" s="2380"/>
      <c r="GG24" s="2380"/>
    </row>
    <row r="25" spans="1:235" ht="27" customHeight="1" x14ac:dyDescent="0.25">
      <c r="B25" s="1160"/>
      <c r="C25" s="1160"/>
      <c r="D25" s="1160"/>
      <c r="E25" s="1160"/>
      <c r="F25" s="1160"/>
      <c r="G25" s="1160"/>
      <c r="H25" s="2386">
        <f>IF(Data!$B$1&lt;&gt;"", Data!$B$1, " ")</f>
        <v>20261004</v>
      </c>
      <c r="I25" s="2386"/>
      <c r="J25" s="2386"/>
      <c r="K25" s="2386"/>
      <c r="L25" s="2386"/>
      <c r="M25" s="2386"/>
      <c r="N25" s="2386"/>
      <c r="O25" s="2386"/>
      <c r="P25" s="2386"/>
      <c r="Q25" s="2386"/>
      <c r="R25" s="2386"/>
      <c r="S25" s="2386"/>
      <c r="T25" s="2386"/>
      <c r="U25" s="2386"/>
      <c r="V25" s="2386"/>
      <c r="W25" s="2386"/>
      <c r="X25" s="2386"/>
      <c r="Y25" s="2386"/>
      <c r="Z25" s="2386"/>
      <c r="AA25" s="2386"/>
      <c r="AB25" s="2386"/>
      <c r="AC25" s="2386"/>
      <c r="AD25" s="2386"/>
      <c r="AE25" s="2386"/>
      <c r="AF25" s="2386"/>
      <c r="AG25" s="2386"/>
      <c r="AH25" s="2386"/>
      <c r="AI25" s="2386"/>
      <c r="AJ25" s="2386"/>
      <c r="AK25" s="2386"/>
      <c r="AL25" s="2386"/>
      <c r="AM25" s="2386"/>
      <c r="AN25" s="2386"/>
      <c r="AO25" s="2386"/>
      <c r="AP25" s="2386"/>
      <c r="AQ25" s="2386"/>
      <c r="AR25" s="2386"/>
      <c r="AS25" s="2386"/>
      <c r="AT25" s="2386"/>
      <c r="AU25" s="2386"/>
      <c r="AV25" s="2386"/>
      <c r="AW25" s="2386"/>
      <c r="AX25" s="2386"/>
      <c r="AY25" s="2386" t="str">
        <f>IF(Data!$B$2&lt;&gt;"", Data!$B$2, " ")</f>
        <v>14304769R1</v>
      </c>
      <c r="AZ25" s="2386"/>
      <c r="BA25" s="2386"/>
      <c r="BB25" s="2386"/>
      <c r="BC25" s="2386"/>
      <c r="BD25" s="2386"/>
      <c r="BE25" s="2386"/>
      <c r="BF25" s="2386"/>
      <c r="BG25" s="2386"/>
      <c r="BH25" s="2386"/>
      <c r="BI25" s="2386"/>
      <c r="BJ25" s="2386"/>
      <c r="BK25" s="2386"/>
      <c r="BL25" s="2386"/>
      <c r="BM25" s="2386"/>
      <c r="BN25" s="2386"/>
      <c r="BO25" s="2386"/>
      <c r="BP25" s="2386"/>
      <c r="BQ25" s="2386"/>
      <c r="BR25" s="2386"/>
      <c r="BS25" s="2386"/>
      <c r="BT25" s="2386"/>
      <c r="BU25" s="2386"/>
      <c r="BV25" s="2386"/>
      <c r="BW25" s="2386"/>
      <c r="BX25" s="2386"/>
      <c r="BY25" s="2386"/>
      <c r="BZ25" s="2386"/>
      <c r="CA25" s="2386"/>
      <c r="CB25" s="2386"/>
      <c r="CC25" s="2386"/>
      <c r="CD25" s="2386"/>
      <c r="CE25" s="2386"/>
      <c r="CF25" s="2386"/>
      <c r="CG25" s="2386"/>
      <c r="CH25" s="2386"/>
      <c r="CI25" s="2386"/>
      <c r="CJ25" s="2386"/>
      <c r="CK25" s="2386"/>
      <c r="CL25" s="2386"/>
      <c r="CM25" s="2386"/>
      <c r="CN25" s="2386"/>
      <c r="CO25" s="2386"/>
      <c r="CP25" s="2386"/>
      <c r="CQ25" s="2386"/>
      <c r="CR25" s="2386"/>
      <c r="CS25" s="2386"/>
      <c r="CT25" s="2386"/>
      <c r="CU25" s="2386"/>
      <c r="CV25" s="2386"/>
      <c r="CW25" s="2386"/>
      <c r="CX25" s="2386"/>
      <c r="CY25" s="2386"/>
      <c r="CZ25" s="2386" t="str">
        <f>IF(Data!$B$4&lt;&gt;"",Data!$B$4," ")</f>
        <v>HD54</v>
      </c>
      <c r="DA25" s="2386"/>
      <c r="DB25" s="2386"/>
      <c r="DC25" s="2386"/>
      <c r="DD25" s="2386"/>
      <c r="DE25" s="2386"/>
      <c r="DF25" s="2386"/>
      <c r="DG25" s="2386"/>
      <c r="DH25" s="2386"/>
      <c r="DI25" s="2386"/>
      <c r="DJ25" s="2386"/>
      <c r="DK25" s="2386"/>
      <c r="DL25" s="2386"/>
      <c r="DM25" s="2386"/>
      <c r="DN25" s="2386"/>
      <c r="DO25" s="2386"/>
      <c r="DP25" s="2386"/>
      <c r="DQ25" s="2386"/>
      <c r="DR25" s="2386"/>
      <c r="DS25" s="2386"/>
      <c r="DT25" s="2386"/>
      <c r="DU25" s="2386"/>
      <c r="DV25" s="2386"/>
      <c r="DW25" s="2386"/>
      <c r="DX25" s="2386"/>
      <c r="DY25" s="2386"/>
      <c r="DZ25" s="2386"/>
      <c r="EA25" s="2386"/>
      <c r="EB25" s="2386"/>
      <c r="EC25" s="2386"/>
      <c r="ED25" s="2386"/>
      <c r="EE25" s="2386"/>
      <c r="EF25" s="2386" t="str">
        <f>IF(LEN(Data!B3)&gt;3,IF(AND(Data!B43&lt;&gt;"",Data!B43&lt;&gt;"0 0/1"""),Data!B43,""),IF(Data!B3&lt;&gt;"",Data!B3,""))</f>
        <v>6 1/8"</v>
      </c>
      <c r="EG25" s="2386"/>
      <c r="EH25" s="2386"/>
      <c r="EI25" s="2386"/>
      <c r="EJ25" s="2386"/>
      <c r="EK25" s="2386"/>
      <c r="EL25" s="2386"/>
      <c r="EM25" s="2386"/>
      <c r="EN25" s="2386"/>
      <c r="EO25" s="2386"/>
      <c r="EP25" s="2386"/>
      <c r="EQ25" s="2386"/>
      <c r="ER25" s="2386"/>
      <c r="ES25" s="2386"/>
      <c r="ET25" s="2386"/>
      <c r="EU25" s="2386"/>
      <c r="EV25" s="2386"/>
      <c r="EW25" s="2386"/>
      <c r="EX25" s="2386"/>
      <c r="EY25" s="2386"/>
      <c r="EZ25" s="2386"/>
      <c r="FA25" s="2386"/>
      <c r="FB25" s="2386"/>
      <c r="FC25" s="2386"/>
      <c r="FD25" s="2386"/>
      <c r="FE25" s="2386"/>
      <c r="FF25" s="2386"/>
      <c r="FG25" s="2386"/>
      <c r="FH25" s="2386"/>
      <c r="FI25" s="2386"/>
      <c r="FJ25" s="2386"/>
      <c r="FK25" s="2386"/>
      <c r="FL25" s="1160"/>
      <c r="FM25" s="1160"/>
      <c r="FN25" s="1160"/>
      <c r="FO25" s="1160"/>
      <c r="FP25" s="1160"/>
      <c r="FQ25" s="1160"/>
      <c r="FR25" s="1160"/>
      <c r="FS25" s="1160"/>
      <c r="FT25" s="1160"/>
      <c r="FU25" s="1160"/>
      <c r="FV25" s="1160"/>
      <c r="FW25" s="1160"/>
      <c r="FX25" s="1160"/>
      <c r="FY25" s="1160"/>
      <c r="FZ25" s="1160"/>
      <c r="GA25" s="1160"/>
      <c r="GB25" s="1160"/>
      <c r="GC25" s="1160"/>
      <c r="GD25" s="1160"/>
      <c r="GE25" s="1160"/>
      <c r="GF25" s="1160"/>
      <c r="GG25" s="1160"/>
    </row>
    <row r="26" spans="1:235" ht="21.75" customHeight="1" x14ac:dyDescent="0.25">
      <c r="B26" s="2385">
        <f>IF(Data!$BR$44&lt;&gt;"",Data!$BR$44, "")</f>
        <v>1</v>
      </c>
      <c r="C26" s="2385"/>
      <c r="D26" s="2385"/>
      <c r="E26" s="2385"/>
      <c r="F26" s="2385"/>
      <c r="G26" s="2385"/>
      <c r="H26" s="2385">
        <f>IF(Data!$BS$44&lt;&gt;"",Data!$BS$44, "")</f>
        <v>2</v>
      </c>
      <c r="I26" s="2385"/>
      <c r="J26" s="2385"/>
      <c r="K26" s="2385"/>
      <c r="L26" s="2385"/>
      <c r="M26" s="2385"/>
      <c r="N26" s="2385">
        <f>IF(Data!$BT$44&lt;&gt;"", Data!$BT$44, "")</f>
        <v>3</v>
      </c>
      <c r="O26" s="2385"/>
      <c r="P26" s="2385"/>
      <c r="Q26" s="2385"/>
      <c r="R26" s="2385"/>
      <c r="S26" s="2385"/>
      <c r="T26" s="2385">
        <f>IF(Data!$BU$44&lt;&gt;"", Data!$BU$44, "")</f>
        <v>4</v>
      </c>
      <c r="U26" s="2385"/>
      <c r="V26" s="2385"/>
      <c r="W26" s="2385"/>
      <c r="X26" s="2385"/>
      <c r="Y26" s="2385"/>
      <c r="Z26" s="2385">
        <f>IF(Data!$BV$44&lt;&gt;"",Data!$BV$44, "")</f>
        <v>5</v>
      </c>
      <c r="AA26" s="2385"/>
      <c r="AB26" s="2385"/>
      <c r="AC26" s="2385"/>
      <c r="AD26" s="2385"/>
      <c r="AE26" s="2385"/>
      <c r="AF26" s="2385">
        <f>IF(Data!$BW$44&lt;&gt;"",Data!$BW$44, "")</f>
        <v>6</v>
      </c>
      <c r="AG26" s="2385"/>
      <c r="AH26" s="2385"/>
      <c r="AI26" s="2385"/>
      <c r="AJ26" s="2385"/>
      <c r="AK26" s="2385"/>
      <c r="AL26" s="2385">
        <f>IF(Data!$BX$44&lt;&gt;"", Data!$BX$44, "")</f>
        <v>7</v>
      </c>
      <c r="AM26" s="2385"/>
      <c r="AN26" s="2385"/>
      <c r="AO26" s="2385"/>
      <c r="AP26" s="2385"/>
      <c r="AQ26" s="2385"/>
      <c r="AR26" s="2385">
        <f>IF(Data!$BY$44&lt;&gt;"", Data!$BY$44, "")</f>
        <v>8</v>
      </c>
      <c r="AS26" s="2385"/>
      <c r="AT26" s="2385"/>
      <c r="AU26" s="2385"/>
      <c r="AV26" s="2385"/>
      <c r="AW26" s="2385"/>
      <c r="AX26" s="2385">
        <f>IF(Data!$BZ$44&lt;&gt;"", Data!$BZ$44, "")</f>
        <v>0</v>
      </c>
      <c r="AY26" s="2385"/>
      <c r="AZ26" s="2385"/>
      <c r="BA26" s="2385"/>
      <c r="BB26" s="2385"/>
      <c r="BC26" s="2385"/>
      <c r="BD26" s="2385">
        <f>IF(Data!$CA$44&lt;&gt;"", Data!$CA$44, "")</f>
        <v>0</v>
      </c>
      <c r="BE26" s="2385"/>
      <c r="BF26" s="2385"/>
      <c r="BG26" s="2385"/>
      <c r="BH26" s="2385"/>
      <c r="BI26" s="2385"/>
      <c r="BJ26" s="2385">
        <f>IF(Data!$CB$44&lt;&gt;"", Data!$CB$44, "")</f>
        <v>0</v>
      </c>
      <c r="BK26" s="2385"/>
      <c r="BL26" s="2385"/>
      <c r="BM26" s="2385"/>
      <c r="BN26" s="2385"/>
      <c r="BO26" s="2385"/>
      <c r="BP26" s="2385">
        <f>IF(Data!$CC$44&lt;&gt;"", Data!$CC$44, "")</f>
        <v>0</v>
      </c>
      <c r="BQ26" s="2385"/>
      <c r="BR26" s="2385"/>
      <c r="BS26" s="2385"/>
      <c r="BT26" s="2385"/>
      <c r="BU26" s="2385"/>
      <c r="BV26" s="2385">
        <f>IF(Data!$CD$44&lt;&gt;"",Data!$CD$44, "")</f>
        <v>0</v>
      </c>
      <c r="BW26" s="2385"/>
      <c r="BX26" s="2385"/>
      <c r="BY26" s="2385"/>
      <c r="BZ26" s="2385"/>
      <c r="CA26" s="2385"/>
      <c r="CB26" s="2385">
        <f>IF(Data!$CE$44&lt;&gt;"",Data!$CE$44, "")</f>
        <v>0</v>
      </c>
      <c r="CC26" s="2385"/>
      <c r="CD26" s="2385"/>
      <c r="CE26" s="2385"/>
      <c r="CF26" s="2385"/>
      <c r="CG26" s="2385"/>
      <c r="CH26" s="2385">
        <f>IF(Data!$CF$44&lt;&gt;"",Data!$CF$44, "")</f>
        <v>0</v>
      </c>
      <c r="CI26" s="2385"/>
      <c r="CJ26" s="2385"/>
      <c r="CK26" s="2385"/>
      <c r="CL26" s="2385"/>
      <c r="CM26" s="2385"/>
      <c r="CN26" s="2385">
        <f>IF(Data!$CG$44&lt;&gt;"",Data!$CG$44, "")</f>
        <v>0</v>
      </c>
      <c r="CO26" s="2385"/>
      <c r="CP26" s="2385"/>
      <c r="CQ26" s="2385"/>
      <c r="CR26" s="2385"/>
      <c r="CS26" s="2385"/>
      <c r="CT26" s="2385">
        <f>IF(Data!$CH$44&lt;&gt;"",Data!$CH$44, "")</f>
        <v>0</v>
      </c>
      <c r="CU26" s="2385"/>
      <c r="CV26" s="2385"/>
      <c r="CW26" s="2385"/>
      <c r="CX26" s="2385"/>
      <c r="CY26" s="2385"/>
      <c r="CZ26" s="2385">
        <f>IF(Data!$CI$44&lt;&gt;"",Data!$CI$44, "")</f>
        <v>0</v>
      </c>
      <c r="DA26" s="2385"/>
      <c r="DB26" s="2385"/>
      <c r="DC26" s="2385"/>
      <c r="DD26" s="2385"/>
      <c r="DE26" s="2385"/>
      <c r="DF26" s="2385">
        <f>IF(Data!$CJ$44&lt;&gt;"",Data!$CJ$44, "")</f>
        <v>0</v>
      </c>
      <c r="DG26" s="2385"/>
      <c r="DH26" s="2385"/>
      <c r="DI26" s="2385"/>
      <c r="DJ26" s="2385"/>
      <c r="DK26" s="2385"/>
      <c r="DL26" s="2385">
        <f>IF(Data!$CK$44&lt;&gt;"",Data!$CK$44, "")</f>
        <v>0</v>
      </c>
      <c r="DM26" s="2385"/>
      <c r="DN26" s="2385"/>
      <c r="DO26" s="2385"/>
      <c r="DP26" s="2385"/>
      <c r="DQ26" s="2385"/>
      <c r="DR26" s="2385">
        <f>IF(Data!$CL$44&lt;&gt;"",Data!$CL$44, "")</f>
        <v>0</v>
      </c>
      <c r="DS26" s="2385"/>
      <c r="DT26" s="2385"/>
      <c r="DU26" s="2385"/>
      <c r="DV26" s="2385"/>
      <c r="DW26" s="2385"/>
      <c r="DX26" s="2385">
        <f>IF(Data!$CM$44&lt;&gt;"",Data!$CM$44, "")</f>
        <v>0</v>
      </c>
      <c r="DY26" s="2385"/>
      <c r="DZ26" s="2385"/>
      <c r="EA26" s="2385"/>
      <c r="EB26" s="2385"/>
      <c r="EC26" s="2385"/>
      <c r="ED26" s="2385">
        <f>IF(Data!$CN$44&lt;&gt;"",Data!$CN$44, "")</f>
        <v>0</v>
      </c>
      <c r="EE26" s="2385"/>
      <c r="EF26" s="2385"/>
      <c r="EG26" s="2385"/>
      <c r="EH26" s="2385"/>
      <c r="EI26" s="2385"/>
      <c r="EJ26" s="2385">
        <f>IF(Data!$CO$44&lt;&gt;"",Data!$CO$44, "")</f>
        <v>0</v>
      </c>
      <c r="EK26" s="2385"/>
      <c r="EL26" s="2385"/>
      <c r="EM26" s="2385"/>
      <c r="EN26" s="2385"/>
      <c r="EO26" s="2385"/>
      <c r="EP26" s="2385">
        <f>IF(Data!$CP$44&lt;&gt;"",Data!$CP$44, "")</f>
        <v>0</v>
      </c>
      <c r="EQ26" s="2385"/>
      <c r="ER26" s="2385"/>
      <c r="ES26" s="2385"/>
      <c r="ET26" s="2385"/>
      <c r="EU26" s="2385"/>
      <c r="EV26" s="2385">
        <f>IF(Data!$CQ$44&lt;&gt;"",Data!$CQ$44, "")</f>
        <v>0</v>
      </c>
      <c r="EW26" s="2385"/>
      <c r="EX26" s="2385"/>
      <c r="EY26" s="2385"/>
      <c r="EZ26" s="2385"/>
      <c r="FA26" s="2385"/>
      <c r="FB26" s="2385">
        <f>IF(Data!$CR$44&lt;&gt;"",Data!$CR$44, "")</f>
        <v>0</v>
      </c>
      <c r="FC26" s="2385"/>
      <c r="FD26" s="2385"/>
      <c r="FE26" s="2385"/>
      <c r="FF26" s="2385"/>
      <c r="FG26" s="2385"/>
      <c r="FH26" s="2385">
        <f>IF(Data!$CS$44&lt;&gt;"",Data!$CS$44, "")</f>
        <v>0</v>
      </c>
      <c r="FI26" s="2385"/>
      <c r="FJ26" s="2385"/>
      <c r="FK26" s="2385"/>
      <c r="FL26" s="2385"/>
      <c r="FM26" s="2385"/>
      <c r="FN26" s="2385">
        <f>IF(Data!$CT$44&lt;&gt;"",Data!$CT$44, "")</f>
        <v>0</v>
      </c>
      <c r="FO26" s="2385"/>
      <c r="FP26" s="2385"/>
      <c r="FQ26" s="2385"/>
      <c r="FR26" s="2385"/>
      <c r="FS26" s="2385"/>
      <c r="FT26" s="2385">
        <f>IF(Data!$CU$44&lt;&gt;"",Data!$CU$44, "")</f>
        <v>0</v>
      </c>
      <c r="FU26" s="2385"/>
      <c r="FV26" s="2385"/>
      <c r="FW26" s="2385"/>
      <c r="FX26" s="2385"/>
      <c r="FY26" s="2385"/>
      <c r="FZ26" s="2385">
        <f>IF(Data!$CV$44&lt;&gt;"",Data!$CV$44, "")</f>
        <v>0</v>
      </c>
      <c r="GA26" s="2385"/>
      <c r="GB26" s="2385"/>
      <c r="GC26" s="2385"/>
      <c r="GD26" s="2385"/>
      <c r="GE26" s="2385"/>
      <c r="GF26" s="1160"/>
      <c r="GG26" s="116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3">
      <c r="A27" s="338">
        <v>1</v>
      </c>
      <c r="B27" s="2384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O</v>
      </c>
      <c r="C27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4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O</v>
      </c>
      <c r="I27" s="2384"/>
      <c r="J27" s="2384"/>
      <c r="K27" s="2384"/>
      <c r="L27" s="2384"/>
      <c r="M27" s="2384"/>
      <c r="N27" s="2384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O</v>
      </c>
      <c r="O27" s="2384"/>
      <c r="P27" s="2384"/>
      <c r="Q27" s="2384"/>
      <c r="R27" s="2384"/>
      <c r="S27" s="2384"/>
      <c r="T27" s="2384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U27" s="2384"/>
      <c r="V27" s="2384"/>
      <c r="W27" s="2384"/>
      <c r="X27" s="2384"/>
      <c r="Y27" s="2384"/>
      <c r="Z27" s="2384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AA27" s="2384"/>
      <c r="AB27" s="2384"/>
      <c r="AC27" s="2384"/>
      <c r="AD27" s="2384"/>
      <c r="AE27" s="2384"/>
      <c r="AF27" s="2384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O</v>
      </c>
      <c r="AG27" s="2384"/>
      <c r="AH27" s="2384"/>
      <c r="AI27" s="2384"/>
      <c r="AJ27" s="2384"/>
      <c r="AK27" s="2384"/>
      <c r="AL27" s="2384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O</v>
      </c>
      <c r="AM27" s="2384"/>
      <c r="AN27" s="2384"/>
      <c r="AO27" s="2384"/>
      <c r="AP27" s="2384"/>
      <c r="AQ27" s="2384"/>
      <c r="AR27" s="2384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O</v>
      </c>
      <c r="AS27" s="2384"/>
      <c r="AT27" s="2384"/>
      <c r="AU27" s="2384"/>
      <c r="AV27" s="2384"/>
      <c r="AW27" s="2384"/>
      <c r="AX27" s="2384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84"/>
      <c r="AZ27" s="2384"/>
      <c r="BA27" s="2384"/>
      <c r="BB27" s="2384"/>
      <c r="BC27" s="2384"/>
      <c r="BD27" s="2384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E27" s="2384"/>
      <c r="BF27" s="2384"/>
      <c r="BG27" s="2384"/>
      <c r="BH27" s="2384"/>
      <c r="BI27" s="2384"/>
      <c r="BJ27" s="2384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BK27" s="2384"/>
      <c r="BL27" s="2384"/>
      <c r="BM27" s="2384"/>
      <c r="BN27" s="2384"/>
      <c r="BO27" s="2384"/>
      <c r="BP27" s="2384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BQ27" s="2384"/>
      <c r="BR27" s="2384"/>
      <c r="BS27" s="2384"/>
      <c r="BT27" s="2384"/>
      <c r="BU27" s="2384"/>
      <c r="BV27" s="2384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BW27" s="2384"/>
      <c r="BX27" s="2384"/>
      <c r="BY27" s="2384"/>
      <c r="BZ27" s="2384"/>
      <c r="CA27" s="2384"/>
      <c r="CB27" s="2384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84"/>
      <c r="CD27" s="2384"/>
      <c r="CE27" s="2384"/>
      <c r="CF27" s="2384"/>
      <c r="CG27" s="2384"/>
      <c r="CH27" s="2384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84"/>
      <c r="CJ27" s="2384"/>
      <c r="CK27" s="2384"/>
      <c r="CL27" s="2384"/>
      <c r="CM27" s="2384"/>
      <c r="CN27" s="2384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84"/>
      <c r="CP27" s="2384"/>
      <c r="CQ27" s="2384"/>
      <c r="CR27" s="2384"/>
      <c r="CS27" s="2384"/>
      <c r="CT27" s="2384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84"/>
      <c r="CV27" s="2384"/>
      <c r="CW27" s="2384"/>
      <c r="CX27" s="2384"/>
      <c r="CY27" s="2384"/>
      <c r="CZ27" s="2384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84"/>
      <c r="DB27" s="2384"/>
      <c r="DC27" s="2384"/>
      <c r="DD27" s="2384"/>
      <c r="DE27" s="2384"/>
      <c r="DF27" s="2384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4"/>
      <c r="DH27" s="2384"/>
      <c r="DI27" s="2384"/>
      <c r="DJ27" s="2384"/>
      <c r="DK27" s="2384"/>
      <c r="DL27" s="2384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4"/>
      <c r="DN27" s="2384"/>
      <c r="DO27" s="2384"/>
      <c r="DP27" s="2384"/>
      <c r="DQ27" s="2384"/>
      <c r="DR27" s="2384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4"/>
      <c r="DT27" s="2384"/>
      <c r="DU27" s="2384"/>
      <c r="DV27" s="2384"/>
      <c r="DW27" s="2384"/>
      <c r="DX27" s="2384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4"/>
      <c r="DZ27" s="2384"/>
      <c r="EA27" s="2384"/>
      <c r="EB27" s="2384"/>
      <c r="EC27" s="2384"/>
      <c r="ED27" s="2384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4"/>
      <c r="EF27" s="2384"/>
      <c r="EG27" s="2384"/>
      <c r="EH27" s="2384"/>
      <c r="EI27" s="2384"/>
      <c r="EJ27" s="2384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4"/>
      <c r="EL27" s="2384"/>
      <c r="EM27" s="2384"/>
      <c r="EN27" s="2384"/>
      <c r="EO27" s="2384"/>
      <c r="EP27" s="2384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4"/>
      <c r="ER27" s="2384"/>
      <c r="ES27" s="2384"/>
      <c r="ET27" s="2384"/>
      <c r="EU27" s="2384"/>
      <c r="EV27" s="2384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4"/>
      <c r="EX27" s="2384"/>
      <c r="EY27" s="2384"/>
      <c r="EZ27" s="2384"/>
      <c r="FA27" s="2384"/>
      <c r="FB27" s="2384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4"/>
      <c r="FD27" s="2384"/>
      <c r="FE27" s="2384"/>
      <c r="FF27" s="2384"/>
      <c r="FG27" s="2384"/>
      <c r="FH27" s="2384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4"/>
      <c r="FJ27" s="2384"/>
      <c r="FK27" s="2384"/>
      <c r="FL27" s="2384"/>
      <c r="FM27" s="2384"/>
      <c r="FN27" s="2384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4"/>
      <c r="FP27" s="2384"/>
      <c r="FQ27" s="2384"/>
      <c r="FR27" s="2384"/>
      <c r="FS27" s="2384"/>
      <c r="FT27" s="2384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4"/>
      <c r="FV27" s="2384"/>
      <c r="FW27" s="2384"/>
      <c r="FX27" s="2384"/>
      <c r="FY27" s="2384"/>
      <c r="FZ27" s="2384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4"/>
      <c r="GB27" s="2384"/>
      <c r="GC27" s="2384"/>
      <c r="GD27" s="2384"/>
      <c r="GE27" s="2384"/>
      <c r="GF27" s="1160"/>
      <c r="GG27" s="116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/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3">
      <c r="A28" s="338">
        <v>2</v>
      </c>
      <c r="B28" s="2384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O</v>
      </c>
      <c r="C28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4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O</v>
      </c>
      <c r="I28" s="2384"/>
      <c r="J28" s="2384"/>
      <c r="K28" s="2384"/>
      <c r="L28" s="2384"/>
      <c r="M28" s="2384"/>
      <c r="N28" s="2384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O</v>
      </c>
      <c r="O28" s="2384"/>
      <c r="P28" s="2384"/>
      <c r="Q28" s="2384"/>
      <c r="R28" s="2384"/>
      <c r="S28" s="2384"/>
      <c r="T28" s="2384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O</v>
      </c>
      <c r="U28" s="2384"/>
      <c r="V28" s="2384"/>
      <c r="W28" s="2384"/>
      <c r="X28" s="2384"/>
      <c r="Y28" s="2384"/>
      <c r="Z28" s="2384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O</v>
      </c>
      <c r="AA28" s="2384"/>
      <c r="AB28" s="2384"/>
      <c r="AC28" s="2384"/>
      <c r="AD28" s="2384"/>
      <c r="AE28" s="2384"/>
      <c r="AF28" s="2384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84"/>
      <c r="AH28" s="2384"/>
      <c r="AI28" s="2384"/>
      <c r="AJ28" s="2384"/>
      <c r="AK28" s="2384"/>
      <c r="AL28" s="2384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84"/>
      <c r="AN28" s="2384"/>
      <c r="AO28" s="2384"/>
      <c r="AP28" s="2384"/>
      <c r="AQ28" s="2384"/>
      <c r="AR28" s="2384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84"/>
      <c r="AT28" s="2384"/>
      <c r="AU28" s="2384"/>
      <c r="AV28" s="2384"/>
      <c r="AW28" s="2384"/>
      <c r="AX28" s="2384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4"/>
      <c r="AZ28" s="2384"/>
      <c r="BA28" s="2384"/>
      <c r="BB28" s="2384"/>
      <c r="BC28" s="2384"/>
      <c r="BD28" s="2384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E28" s="2384"/>
      <c r="BF28" s="2384"/>
      <c r="BG28" s="2384"/>
      <c r="BH28" s="2384"/>
      <c r="BI28" s="2384"/>
      <c r="BJ28" s="2384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BK28" s="2384"/>
      <c r="BL28" s="2384"/>
      <c r="BM28" s="2384"/>
      <c r="BN28" s="2384"/>
      <c r="BO28" s="2384"/>
      <c r="BP28" s="2384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BQ28" s="2384"/>
      <c r="BR28" s="2384"/>
      <c r="BS28" s="2384"/>
      <c r="BT28" s="2384"/>
      <c r="BU28" s="2384"/>
      <c r="BV28" s="2384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BW28" s="2384"/>
      <c r="BX28" s="2384"/>
      <c r="BY28" s="2384"/>
      <c r="BZ28" s="2384"/>
      <c r="CA28" s="2384"/>
      <c r="CB28" s="2384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84"/>
      <c r="CD28" s="2384"/>
      <c r="CE28" s="2384"/>
      <c r="CF28" s="2384"/>
      <c r="CG28" s="2384"/>
      <c r="CH28" s="2384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84"/>
      <c r="CJ28" s="2384"/>
      <c r="CK28" s="2384"/>
      <c r="CL28" s="2384"/>
      <c r="CM28" s="2384"/>
      <c r="CN28" s="2384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84"/>
      <c r="CP28" s="2384"/>
      <c r="CQ28" s="2384"/>
      <c r="CR28" s="2384"/>
      <c r="CS28" s="2384"/>
      <c r="CT28" s="2384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84"/>
      <c r="CV28" s="2384"/>
      <c r="CW28" s="2384"/>
      <c r="CX28" s="2384"/>
      <c r="CY28" s="2384"/>
      <c r="CZ28" s="2384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84"/>
      <c r="DB28" s="2384"/>
      <c r="DC28" s="2384"/>
      <c r="DD28" s="2384"/>
      <c r="DE28" s="2384"/>
      <c r="DF28" s="2384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4"/>
      <c r="DH28" s="2384"/>
      <c r="DI28" s="2384"/>
      <c r="DJ28" s="2384"/>
      <c r="DK28" s="2384"/>
      <c r="DL28" s="2384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4"/>
      <c r="DN28" s="2384"/>
      <c r="DO28" s="2384"/>
      <c r="DP28" s="2384"/>
      <c r="DQ28" s="2384"/>
      <c r="DR28" s="2384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4"/>
      <c r="DT28" s="2384"/>
      <c r="DU28" s="2384"/>
      <c r="DV28" s="2384"/>
      <c r="DW28" s="2384"/>
      <c r="DX28" s="2384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4"/>
      <c r="DZ28" s="2384"/>
      <c r="EA28" s="2384"/>
      <c r="EB28" s="2384"/>
      <c r="EC28" s="2384"/>
      <c r="ED28" s="2384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4"/>
      <c r="EF28" s="2384"/>
      <c r="EG28" s="2384"/>
      <c r="EH28" s="2384"/>
      <c r="EI28" s="2384"/>
      <c r="EJ28" s="2384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4"/>
      <c r="EL28" s="2384"/>
      <c r="EM28" s="2384"/>
      <c r="EN28" s="2384"/>
      <c r="EO28" s="2384"/>
      <c r="EP28" s="2384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4"/>
      <c r="ER28" s="2384"/>
      <c r="ES28" s="2384"/>
      <c r="ET28" s="2384"/>
      <c r="EU28" s="2384"/>
      <c r="EV28" s="2384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4"/>
      <c r="EX28" s="2384"/>
      <c r="EY28" s="2384"/>
      <c r="EZ28" s="2384"/>
      <c r="FA28" s="2384"/>
      <c r="FB28" s="2384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4"/>
      <c r="FD28" s="2384"/>
      <c r="FE28" s="2384"/>
      <c r="FF28" s="2384"/>
      <c r="FG28" s="2384"/>
      <c r="FH28" s="2384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4"/>
      <c r="FJ28" s="2384"/>
      <c r="FK28" s="2384"/>
      <c r="FL28" s="2384"/>
      <c r="FM28" s="2384"/>
      <c r="FN28" s="2384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4"/>
      <c r="FP28" s="2384"/>
      <c r="FQ28" s="2384"/>
      <c r="FR28" s="2384"/>
      <c r="FS28" s="2384"/>
      <c r="FT28" s="2384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4"/>
      <c r="FV28" s="2384"/>
      <c r="FW28" s="2384"/>
      <c r="FX28" s="2384"/>
      <c r="FY28" s="2384"/>
      <c r="FZ28" s="2384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4"/>
      <c r="GB28" s="2384"/>
      <c r="GC28" s="2384"/>
      <c r="GD28" s="2384"/>
      <c r="GE28" s="2384"/>
      <c r="GF28" s="1160"/>
      <c r="GG28" s="1160"/>
    </row>
    <row r="29" spans="1:235" ht="44.25" customHeight="1" x14ac:dyDescent="0.3">
      <c r="A29" s="338">
        <v>3</v>
      </c>
      <c r="B29" s="2384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O</v>
      </c>
      <c r="C29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4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O</v>
      </c>
      <c r="I29" s="2384"/>
      <c r="J29" s="2384"/>
      <c r="K29" s="2384"/>
      <c r="L29" s="2384"/>
      <c r="M29" s="2384"/>
      <c r="N29" s="2384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O</v>
      </c>
      <c r="O29" s="2384"/>
      <c r="P29" s="2384"/>
      <c r="Q29" s="2384"/>
      <c r="R29" s="2384"/>
      <c r="S29" s="2384"/>
      <c r="T29" s="2384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U29" s="2384"/>
      <c r="V29" s="2384"/>
      <c r="W29" s="2384"/>
      <c r="X29" s="2384"/>
      <c r="Y29" s="2384"/>
      <c r="Z29" s="2384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O</v>
      </c>
      <c r="AA29" s="2384"/>
      <c r="AB29" s="2384"/>
      <c r="AC29" s="2384"/>
      <c r="AD29" s="2384"/>
      <c r="AE29" s="2384"/>
      <c r="AF29" s="2384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O</v>
      </c>
      <c r="AG29" s="2384"/>
      <c r="AH29" s="2384"/>
      <c r="AI29" s="2384"/>
      <c r="AJ29" s="2384"/>
      <c r="AK29" s="2384"/>
      <c r="AL29" s="2384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O</v>
      </c>
      <c r="AM29" s="2384"/>
      <c r="AN29" s="2384"/>
      <c r="AO29" s="2384"/>
      <c r="AP29" s="2384"/>
      <c r="AQ29" s="2384"/>
      <c r="AR29" s="2384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84"/>
      <c r="AT29" s="2384"/>
      <c r="AU29" s="2384"/>
      <c r="AV29" s="2384"/>
      <c r="AW29" s="2384"/>
      <c r="AX29" s="2384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84"/>
      <c r="AZ29" s="2384"/>
      <c r="BA29" s="2384"/>
      <c r="BB29" s="2384"/>
      <c r="BC29" s="2384"/>
      <c r="BD29" s="2384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E29" s="2384"/>
      <c r="BF29" s="2384"/>
      <c r="BG29" s="2384"/>
      <c r="BH29" s="2384"/>
      <c r="BI29" s="2384"/>
      <c r="BJ29" s="2384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BK29" s="2384"/>
      <c r="BL29" s="2384"/>
      <c r="BM29" s="2384"/>
      <c r="BN29" s="2384"/>
      <c r="BO29" s="2384"/>
      <c r="BP29" s="2384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BQ29" s="2384"/>
      <c r="BR29" s="2384"/>
      <c r="BS29" s="2384"/>
      <c r="BT29" s="2384"/>
      <c r="BU29" s="2384"/>
      <c r="BV29" s="2384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4"/>
      <c r="BX29" s="2384"/>
      <c r="BY29" s="2384"/>
      <c r="BZ29" s="2384"/>
      <c r="CA29" s="2384"/>
      <c r="CB29" s="2384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84"/>
      <c r="CD29" s="2384"/>
      <c r="CE29" s="2384"/>
      <c r="CF29" s="2384"/>
      <c r="CG29" s="2384"/>
      <c r="CH29" s="2384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84"/>
      <c r="CJ29" s="2384"/>
      <c r="CK29" s="2384"/>
      <c r="CL29" s="2384"/>
      <c r="CM29" s="2384"/>
      <c r="CN29" s="2384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84"/>
      <c r="CP29" s="2384"/>
      <c r="CQ29" s="2384"/>
      <c r="CR29" s="2384"/>
      <c r="CS29" s="2384"/>
      <c r="CT29" s="2384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84"/>
      <c r="CV29" s="2384"/>
      <c r="CW29" s="2384"/>
      <c r="CX29" s="2384"/>
      <c r="CY29" s="2384"/>
      <c r="CZ29" s="2384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84"/>
      <c r="DB29" s="2384"/>
      <c r="DC29" s="2384"/>
      <c r="DD29" s="2384"/>
      <c r="DE29" s="2384"/>
      <c r="DF29" s="2384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84"/>
      <c r="DH29" s="2384"/>
      <c r="DI29" s="2384"/>
      <c r="DJ29" s="2384"/>
      <c r="DK29" s="2384"/>
      <c r="DL29" s="2384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4"/>
      <c r="DN29" s="2384"/>
      <c r="DO29" s="2384"/>
      <c r="DP29" s="2384"/>
      <c r="DQ29" s="2384"/>
      <c r="DR29" s="2384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4"/>
      <c r="DT29" s="2384"/>
      <c r="DU29" s="2384"/>
      <c r="DV29" s="2384"/>
      <c r="DW29" s="2384"/>
      <c r="DX29" s="2384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4"/>
      <c r="DZ29" s="2384"/>
      <c r="EA29" s="2384"/>
      <c r="EB29" s="2384"/>
      <c r="EC29" s="2384"/>
      <c r="ED29" s="2384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4"/>
      <c r="EF29" s="2384"/>
      <c r="EG29" s="2384"/>
      <c r="EH29" s="2384"/>
      <c r="EI29" s="2384"/>
      <c r="EJ29" s="2384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4"/>
      <c r="EL29" s="2384"/>
      <c r="EM29" s="2384"/>
      <c r="EN29" s="2384"/>
      <c r="EO29" s="2384"/>
      <c r="EP29" s="2384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4"/>
      <c r="ER29" s="2384"/>
      <c r="ES29" s="2384"/>
      <c r="ET29" s="2384"/>
      <c r="EU29" s="2384"/>
      <c r="EV29" s="2384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4"/>
      <c r="EX29" s="2384"/>
      <c r="EY29" s="2384"/>
      <c r="EZ29" s="2384"/>
      <c r="FA29" s="2384"/>
      <c r="FB29" s="2384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4"/>
      <c r="FD29" s="2384"/>
      <c r="FE29" s="2384"/>
      <c r="FF29" s="2384"/>
      <c r="FG29" s="2384"/>
      <c r="FH29" s="2384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4"/>
      <c r="FJ29" s="2384"/>
      <c r="FK29" s="2384"/>
      <c r="FL29" s="2384"/>
      <c r="FM29" s="2384"/>
      <c r="FN29" s="2384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4"/>
      <c r="FP29" s="2384"/>
      <c r="FQ29" s="2384"/>
      <c r="FR29" s="2384"/>
      <c r="FS29" s="2384"/>
      <c r="FT29" s="2384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4"/>
      <c r="FV29" s="2384"/>
      <c r="FW29" s="2384"/>
      <c r="FX29" s="2384"/>
      <c r="FY29" s="2384"/>
      <c r="FZ29" s="2384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4"/>
      <c r="GB29" s="2384"/>
      <c r="GC29" s="2384"/>
      <c r="GD29" s="2384"/>
      <c r="GE29" s="2384"/>
      <c r="GF29" s="1160"/>
      <c r="GG29" s="1160"/>
    </row>
    <row r="30" spans="1:235" ht="44.25" customHeight="1" x14ac:dyDescent="0.3">
      <c r="A30" s="338">
        <v>4</v>
      </c>
      <c r="B30" s="2384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O</v>
      </c>
      <c r="C30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4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O</v>
      </c>
      <c r="I30" s="2384"/>
      <c r="J30" s="2384"/>
      <c r="K30" s="2384"/>
      <c r="L30" s="2384"/>
      <c r="M30" s="2384"/>
      <c r="N30" s="2384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O</v>
      </c>
      <c r="O30" s="2384"/>
      <c r="P30" s="2384"/>
      <c r="Q30" s="2384"/>
      <c r="R30" s="2384"/>
      <c r="S30" s="2384"/>
      <c r="T30" s="2384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S</v>
      </c>
      <c r="U30" s="2384"/>
      <c r="V30" s="2384"/>
      <c r="W30" s="2384"/>
      <c r="X30" s="2384"/>
      <c r="Y30" s="2384"/>
      <c r="Z30" s="2384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O</v>
      </c>
      <c r="AA30" s="2384"/>
      <c r="AB30" s="2384"/>
      <c r="AC30" s="2384"/>
      <c r="AD30" s="2384"/>
      <c r="AE30" s="2384"/>
      <c r="AF30" s="2384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O</v>
      </c>
      <c r="AG30" s="2384"/>
      <c r="AH30" s="2384"/>
      <c r="AI30" s="2384"/>
      <c r="AJ30" s="2384"/>
      <c r="AK30" s="2384"/>
      <c r="AL30" s="2384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O</v>
      </c>
      <c r="AM30" s="2384"/>
      <c r="AN30" s="2384"/>
      <c r="AO30" s="2384"/>
      <c r="AP30" s="2384"/>
      <c r="AQ30" s="2384"/>
      <c r="AR30" s="2384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O</v>
      </c>
      <c r="AS30" s="2384"/>
      <c r="AT30" s="2384"/>
      <c r="AU30" s="2384"/>
      <c r="AV30" s="2384"/>
      <c r="AW30" s="2384"/>
      <c r="AX30" s="2384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4"/>
      <c r="AZ30" s="2384"/>
      <c r="BA30" s="2384"/>
      <c r="BB30" s="2384"/>
      <c r="BC30" s="2384"/>
      <c r="BD30" s="2384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E30" s="2384"/>
      <c r="BF30" s="2384"/>
      <c r="BG30" s="2384"/>
      <c r="BH30" s="2384"/>
      <c r="BI30" s="2384"/>
      <c r="BJ30" s="2384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BK30" s="2384"/>
      <c r="BL30" s="2384"/>
      <c r="BM30" s="2384"/>
      <c r="BN30" s="2384"/>
      <c r="BO30" s="2384"/>
      <c r="BP30" s="2384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BQ30" s="2384"/>
      <c r="BR30" s="2384"/>
      <c r="BS30" s="2384"/>
      <c r="BT30" s="2384"/>
      <c r="BU30" s="2384"/>
      <c r="BV30" s="2384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BW30" s="2384"/>
      <c r="BX30" s="2384"/>
      <c r="BY30" s="2384"/>
      <c r="BZ30" s="2384"/>
      <c r="CA30" s="2384"/>
      <c r="CB30" s="2384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84"/>
      <c r="CD30" s="2384"/>
      <c r="CE30" s="2384"/>
      <c r="CF30" s="2384"/>
      <c r="CG30" s="2384"/>
      <c r="CH30" s="2384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84"/>
      <c r="CJ30" s="2384"/>
      <c r="CK30" s="2384"/>
      <c r="CL30" s="2384"/>
      <c r="CM30" s="2384"/>
      <c r="CN30" s="2384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84"/>
      <c r="CP30" s="2384"/>
      <c r="CQ30" s="2384"/>
      <c r="CR30" s="2384"/>
      <c r="CS30" s="2384"/>
      <c r="CT30" s="2384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84"/>
      <c r="CV30" s="2384"/>
      <c r="CW30" s="2384"/>
      <c r="CX30" s="2384"/>
      <c r="CY30" s="2384"/>
      <c r="CZ30" s="2384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84"/>
      <c r="DB30" s="2384"/>
      <c r="DC30" s="2384"/>
      <c r="DD30" s="2384"/>
      <c r="DE30" s="2384"/>
      <c r="DF30" s="2384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4"/>
      <c r="DH30" s="2384"/>
      <c r="DI30" s="2384"/>
      <c r="DJ30" s="2384"/>
      <c r="DK30" s="2384"/>
      <c r="DL30" s="2384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4"/>
      <c r="DN30" s="2384"/>
      <c r="DO30" s="2384"/>
      <c r="DP30" s="2384"/>
      <c r="DQ30" s="2384"/>
      <c r="DR30" s="2384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4"/>
      <c r="DT30" s="2384"/>
      <c r="DU30" s="2384"/>
      <c r="DV30" s="2384"/>
      <c r="DW30" s="2384"/>
      <c r="DX30" s="2384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4"/>
      <c r="DZ30" s="2384"/>
      <c r="EA30" s="2384"/>
      <c r="EB30" s="2384"/>
      <c r="EC30" s="2384"/>
      <c r="ED30" s="2384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4"/>
      <c r="EF30" s="2384"/>
      <c r="EG30" s="2384"/>
      <c r="EH30" s="2384"/>
      <c r="EI30" s="2384"/>
      <c r="EJ30" s="2384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4"/>
      <c r="EL30" s="2384"/>
      <c r="EM30" s="2384"/>
      <c r="EN30" s="2384"/>
      <c r="EO30" s="2384"/>
      <c r="EP30" s="2384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4"/>
      <c r="ER30" s="2384"/>
      <c r="ES30" s="2384"/>
      <c r="ET30" s="2384"/>
      <c r="EU30" s="2384"/>
      <c r="EV30" s="2384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4"/>
      <c r="EX30" s="2384"/>
      <c r="EY30" s="2384"/>
      <c r="EZ30" s="2384"/>
      <c r="FA30" s="2384"/>
      <c r="FB30" s="2384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4"/>
      <c r="FD30" s="2384"/>
      <c r="FE30" s="2384"/>
      <c r="FF30" s="2384"/>
      <c r="FG30" s="2384"/>
      <c r="FH30" s="2384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4"/>
      <c r="FJ30" s="2384"/>
      <c r="FK30" s="2384"/>
      <c r="FL30" s="2384"/>
      <c r="FM30" s="2384"/>
      <c r="FN30" s="2384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4"/>
      <c r="FP30" s="2384"/>
      <c r="FQ30" s="2384"/>
      <c r="FR30" s="2384"/>
      <c r="FS30" s="2384"/>
      <c r="FT30" s="2384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4"/>
      <c r="FV30" s="2384"/>
      <c r="FW30" s="2384"/>
      <c r="FX30" s="2384"/>
      <c r="FY30" s="2384"/>
      <c r="FZ30" s="2384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4"/>
      <c r="GB30" s="2384"/>
      <c r="GC30" s="2384"/>
      <c r="GD30" s="2384"/>
      <c r="GE30" s="2384"/>
      <c r="GF30" s="1160"/>
      <c r="GG30" s="1160"/>
    </row>
    <row r="31" spans="1:235" ht="44.25" customHeight="1" x14ac:dyDescent="0.3">
      <c r="A31" s="338">
        <v>5</v>
      </c>
      <c r="B31" s="2384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31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4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84"/>
      <c r="J31" s="2384"/>
      <c r="K31" s="2384"/>
      <c r="L31" s="2384"/>
      <c r="M31" s="2384"/>
      <c r="N31" s="2384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O</v>
      </c>
      <c r="O31" s="2384"/>
      <c r="P31" s="2384"/>
      <c r="Q31" s="2384"/>
      <c r="R31" s="2384"/>
      <c r="S31" s="2384"/>
      <c r="T31" s="2384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O</v>
      </c>
      <c r="U31" s="2384"/>
      <c r="V31" s="2384"/>
      <c r="W31" s="2384"/>
      <c r="X31" s="2384"/>
      <c r="Y31" s="2384"/>
      <c r="Z31" s="2384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O</v>
      </c>
      <c r="AA31" s="2384"/>
      <c r="AB31" s="2384"/>
      <c r="AC31" s="2384"/>
      <c r="AD31" s="2384"/>
      <c r="AE31" s="2384"/>
      <c r="AF31" s="2384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G31" s="2384"/>
      <c r="AH31" s="2384"/>
      <c r="AI31" s="2384"/>
      <c r="AJ31" s="2384"/>
      <c r="AK31" s="2384"/>
      <c r="AL31" s="2384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M31" s="2384"/>
      <c r="AN31" s="2384"/>
      <c r="AO31" s="2384"/>
      <c r="AP31" s="2384"/>
      <c r="AQ31" s="2384"/>
      <c r="AR31" s="2384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AS31" s="2384"/>
      <c r="AT31" s="2384"/>
      <c r="AU31" s="2384"/>
      <c r="AV31" s="2384"/>
      <c r="AW31" s="2384"/>
      <c r="AX31" s="2384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84"/>
      <c r="AZ31" s="2384"/>
      <c r="BA31" s="2384"/>
      <c r="BB31" s="2384"/>
      <c r="BC31" s="2384"/>
      <c r="BD31" s="2384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E31" s="2384"/>
      <c r="BF31" s="2384"/>
      <c r="BG31" s="2384"/>
      <c r="BH31" s="2384"/>
      <c r="BI31" s="2384"/>
      <c r="BJ31" s="2384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BK31" s="2384"/>
      <c r="BL31" s="2384"/>
      <c r="BM31" s="2384"/>
      <c r="BN31" s="2384"/>
      <c r="BO31" s="2384"/>
      <c r="BP31" s="2384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BQ31" s="2384"/>
      <c r="BR31" s="2384"/>
      <c r="BS31" s="2384"/>
      <c r="BT31" s="2384"/>
      <c r="BU31" s="2384"/>
      <c r="BV31" s="2384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BW31" s="2384"/>
      <c r="BX31" s="2384"/>
      <c r="BY31" s="2384"/>
      <c r="BZ31" s="2384"/>
      <c r="CA31" s="2384"/>
      <c r="CB31" s="2384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84"/>
      <c r="CD31" s="2384"/>
      <c r="CE31" s="2384"/>
      <c r="CF31" s="2384"/>
      <c r="CG31" s="2384"/>
      <c r="CH31" s="2384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84"/>
      <c r="CJ31" s="2384"/>
      <c r="CK31" s="2384"/>
      <c r="CL31" s="2384"/>
      <c r="CM31" s="2384"/>
      <c r="CN31" s="2384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84"/>
      <c r="CP31" s="2384"/>
      <c r="CQ31" s="2384"/>
      <c r="CR31" s="2384"/>
      <c r="CS31" s="2384"/>
      <c r="CT31" s="2384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84"/>
      <c r="CV31" s="2384"/>
      <c r="CW31" s="2384"/>
      <c r="CX31" s="2384"/>
      <c r="CY31" s="2384"/>
      <c r="CZ31" s="2384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84"/>
      <c r="DB31" s="2384"/>
      <c r="DC31" s="2384"/>
      <c r="DD31" s="2384"/>
      <c r="DE31" s="2384"/>
      <c r="DF31" s="2384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4"/>
      <c r="DH31" s="2384"/>
      <c r="DI31" s="2384"/>
      <c r="DJ31" s="2384"/>
      <c r="DK31" s="2384"/>
      <c r="DL31" s="2384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4"/>
      <c r="DN31" s="2384"/>
      <c r="DO31" s="2384"/>
      <c r="DP31" s="2384"/>
      <c r="DQ31" s="2384"/>
      <c r="DR31" s="2384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4"/>
      <c r="DT31" s="2384"/>
      <c r="DU31" s="2384"/>
      <c r="DV31" s="2384"/>
      <c r="DW31" s="2384"/>
      <c r="DX31" s="2384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4"/>
      <c r="DZ31" s="2384"/>
      <c r="EA31" s="2384"/>
      <c r="EB31" s="2384"/>
      <c r="EC31" s="2384"/>
      <c r="ED31" s="2384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4"/>
      <c r="EF31" s="2384"/>
      <c r="EG31" s="2384"/>
      <c r="EH31" s="2384"/>
      <c r="EI31" s="2384"/>
      <c r="EJ31" s="2384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4"/>
      <c r="EL31" s="2384"/>
      <c r="EM31" s="2384"/>
      <c r="EN31" s="2384"/>
      <c r="EO31" s="2384"/>
      <c r="EP31" s="2384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4"/>
      <c r="ER31" s="2384"/>
      <c r="ES31" s="2384"/>
      <c r="ET31" s="2384"/>
      <c r="EU31" s="2384"/>
      <c r="EV31" s="2384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4"/>
      <c r="EX31" s="2384"/>
      <c r="EY31" s="2384"/>
      <c r="EZ31" s="2384"/>
      <c r="FA31" s="2384"/>
      <c r="FB31" s="2384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4"/>
      <c r="FD31" s="2384"/>
      <c r="FE31" s="2384"/>
      <c r="FF31" s="2384"/>
      <c r="FG31" s="2384"/>
      <c r="FH31" s="2384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4"/>
      <c r="FJ31" s="2384"/>
      <c r="FK31" s="2384"/>
      <c r="FL31" s="2384"/>
      <c r="FM31" s="2384"/>
      <c r="FN31" s="2384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4"/>
      <c r="FP31" s="2384"/>
      <c r="FQ31" s="2384"/>
      <c r="FR31" s="2384"/>
      <c r="FS31" s="2384"/>
      <c r="FT31" s="2384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4"/>
      <c r="FV31" s="2384"/>
      <c r="FW31" s="2384"/>
      <c r="FX31" s="2384"/>
      <c r="FY31" s="2384"/>
      <c r="FZ31" s="2384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4"/>
      <c r="GB31" s="2384"/>
      <c r="GC31" s="2384"/>
      <c r="GD31" s="2384"/>
      <c r="GE31" s="2384"/>
      <c r="GF31" s="1160"/>
      <c r="GG31" s="1160"/>
    </row>
    <row r="32" spans="1:235" ht="44.25" customHeight="1" x14ac:dyDescent="0.3">
      <c r="A32" s="338">
        <v>6</v>
      </c>
      <c r="B32" s="2384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32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4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I32" s="2384"/>
      <c r="J32" s="2384"/>
      <c r="K32" s="2384"/>
      <c r="L32" s="2384"/>
      <c r="M32" s="2384"/>
      <c r="N32" s="2384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O32" s="2384"/>
      <c r="P32" s="2384"/>
      <c r="Q32" s="2384"/>
      <c r="R32" s="2384"/>
      <c r="S32" s="2384"/>
      <c r="T32" s="2384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U32" s="2384"/>
      <c r="V32" s="2384"/>
      <c r="W32" s="2384"/>
      <c r="X32" s="2384"/>
      <c r="Y32" s="2384"/>
      <c r="Z32" s="2384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A32" s="2384"/>
      <c r="AB32" s="2384"/>
      <c r="AC32" s="2384"/>
      <c r="AD32" s="2384"/>
      <c r="AE32" s="2384"/>
      <c r="AF32" s="2384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84"/>
      <c r="AH32" s="2384"/>
      <c r="AI32" s="2384"/>
      <c r="AJ32" s="2384"/>
      <c r="AK32" s="2384"/>
      <c r="AL32" s="2384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84"/>
      <c r="AN32" s="2384"/>
      <c r="AO32" s="2384"/>
      <c r="AP32" s="2384"/>
      <c r="AQ32" s="2384"/>
      <c r="AR32" s="2384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84"/>
      <c r="AT32" s="2384"/>
      <c r="AU32" s="2384"/>
      <c r="AV32" s="2384"/>
      <c r="AW32" s="2384"/>
      <c r="AX32" s="2384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4"/>
      <c r="AZ32" s="2384"/>
      <c r="BA32" s="2384"/>
      <c r="BB32" s="2384"/>
      <c r="BC32" s="2384"/>
      <c r="BD32" s="2384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E32" s="2384"/>
      <c r="BF32" s="2384"/>
      <c r="BG32" s="2384"/>
      <c r="BH32" s="2384"/>
      <c r="BI32" s="2384"/>
      <c r="BJ32" s="2384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BK32" s="2384"/>
      <c r="BL32" s="2384"/>
      <c r="BM32" s="2384"/>
      <c r="BN32" s="2384"/>
      <c r="BO32" s="2384"/>
      <c r="BP32" s="2384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BQ32" s="2384"/>
      <c r="BR32" s="2384"/>
      <c r="BS32" s="2384"/>
      <c r="BT32" s="2384"/>
      <c r="BU32" s="2384"/>
      <c r="BV32" s="2384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BW32" s="2384"/>
      <c r="BX32" s="2384"/>
      <c r="BY32" s="2384"/>
      <c r="BZ32" s="2384"/>
      <c r="CA32" s="2384"/>
      <c r="CB32" s="2384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84"/>
      <c r="CD32" s="2384"/>
      <c r="CE32" s="2384"/>
      <c r="CF32" s="2384"/>
      <c r="CG32" s="2384"/>
      <c r="CH32" s="2384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84"/>
      <c r="CJ32" s="2384"/>
      <c r="CK32" s="2384"/>
      <c r="CL32" s="2384"/>
      <c r="CM32" s="2384"/>
      <c r="CN32" s="2384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84"/>
      <c r="CP32" s="2384"/>
      <c r="CQ32" s="2384"/>
      <c r="CR32" s="2384"/>
      <c r="CS32" s="2384"/>
      <c r="CT32" s="2384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84"/>
      <c r="CV32" s="2384"/>
      <c r="CW32" s="2384"/>
      <c r="CX32" s="2384"/>
      <c r="CY32" s="2384"/>
      <c r="CZ32" s="2384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84"/>
      <c r="DB32" s="2384"/>
      <c r="DC32" s="2384"/>
      <c r="DD32" s="2384"/>
      <c r="DE32" s="2384"/>
      <c r="DF32" s="2384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4"/>
      <c r="DH32" s="2384"/>
      <c r="DI32" s="2384"/>
      <c r="DJ32" s="2384"/>
      <c r="DK32" s="2384"/>
      <c r="DL32" s="2384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4"/>
      <c r="DN32" s="2384"/>
      <c r="DO32" s="2384"/>
      <c r="DP32" s="2384"/>
      <c r="DQ32" s="2384"/>
      <c r="DR32" s="2384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4"/>
      <c r="DT32" s="2384"/>
      <c r="DU32" s="2384"/>
      <c r="DV32" s="2384"/>
      <c r="DW32" s="2384"/>
      <c r="DX32" s="2384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4"/>
      <c r="DZ32" s="2384"/>
      <c r="EA32" s="2384"/>
      <c r="EB32" s="2384"/>
      <c r="EC32" s="2384"/>
      <c r="ED32" s="2384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4"/>
      <c r="EF32" s="2384"/>
      <c r="EG32" s="2384"/>
      <c r="EH32" s="2384"/>
      <c r="EI32" s="2384"/>
      <c r="EJ32" s="2384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4"/>
      <c r="EL32" s="2384"/>
      <c r="EM32" s="2384"/>
      <c r="EN32" s="2384"/>
      <c r="EO32" s="2384"/>
      <c r="EP32" s="2384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4"/>
      <c r="ER32" s="2384"/>
      <c r="ES32" s="2384"/>
      <c r="ET32" s="2384"/>
      <c r="EU32" s="2384"/>
      <c r="EV32" s="2384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4"/>
      <c r="EX32" s="2384"/>
      <c r="EY32" s="2384"/>
      <c r="EZ32" s="2384"/>
      <c r="FA32" s="2384"/>
      <c r="FB32" s="2384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4"/>
      <c r="FD32" s="2384"/>
      <c r="FE32" s="2384"/>
      <c r="FF32" s="2384"/>
      <c r="FG32" s="2384"/>
      <c r="FH32" s="2384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4"/>
      <c r="FJ32" s="2384"/>
      <c r="FK32" s="2384"/>
      <c r="FL32" s="2384"/>
      <c r="FM32" s="2384"/>
      <c r="FN32" s="2384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4"/>
      <c r="FP32" s="2384"/>
      <c r="FQ32" s="2384"/>
      <c r="FR32" s="2384"/>
      <c r="FS32" s="2384"/>
      <c r="FT32" s="2384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4"/>
      <c r="FV32" s="2384"/>
      <c r="FW32" s="2384"/>
      <c r="FX32" s="2384"/>
      <c r="FY32" s="2384"/>
      <c r="FZ32" s="2384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4"/>
      <c r="GB32" s="2384"/>
      <c r="GC32" s="2384"/>
      <c r="GD32" s="2384"/>
      <c r="GE32" s="2384"/>
      <c r="GF32" s="1160"/>
      <c r="GG32" s="1160"/>
    </row>
    <row r="33" spans="1:190" ht="44.25" customHeight="1" x14ac:dyDescent="0.3">
      <c r="A33" s="338">
        <v>7</v>
      </c>
      <c r="B33" s="2384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4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4"/>
      <c r="J33" s="2384"/>
      <c r="K33" s="2384"/>
      <c r="L33" s="2384"/>
      <c r="M33" s="2384"/>
      <c r="N33" s="2384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4"/>
      <c r="P33" s="2384"/>
      <c r="Q33" s="2384"/>
      <c r="R33" s="2384"/>
      <c r="S33" s="2384"/>
      <c r="T33" s="2384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4"/>
      <c r="V33" s="2384"/>
      <c r="W33" s="2384"/>
      <c r="X33" s="2384"/>
      <c r="Y33" s="2384"/>
      <c r="Z33" s="2384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4"/>
      <c r="AB33" s="2384"/>
      <c r="AC33" s="2384"/>
      <c r="AD33" s="2384"/>
      <c r="AE33" s="2384"/>
      <c r="AF33" s="2384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4"/>
      <c r="AH33" s="2384"/>
      <c r="AI33" s="2384"/>
      <c r="AJ33" s="2384"/>
      <c r="AK33" s="2384"/>
      <c r="AL33" s="2384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4"/>
      <c r="AN33" s="2384"/>
      <c r="AO33" s="2384"/>
      <c r="AP33" s="2384"/>
      <c r="AQ33" s="2384"/>
      <c r="AR33" s="2384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4"/>
      <c r="AT33" s="2384"/>
      <c r="AU33" s="2384"/>
      <c r="AV33" s="2384"/>
      <c r="AW33" s="2384"/>
      <c r="AX33" s="2384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4"/>
      <c r="AZ33" s="2384"/>
      <c r="BA33" s="2384"/>
      <c r="BB33" s="2384"/>
      <c r="BC33" s="2384"/>
      <c r="BD33" s="2384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4"/>
      <c r="BF33" s="2384"/>
      <c r="BG33" s="2384"/>
      <c r="BH33" s="2384"/>
      <c r="BI33" s="2384"/>
      <c r="BJ33" s="2384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4"/>
      <c r="BL33" s="2384"/>
      <c r="BM33" s="2384"/>
      <c r="BN33" s="2384"/>
      <c r="BO33" s="2384"/>
      <c r="BP33" s="2384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4"/>
      <c r="BR33" s="2384"/>
      <c r="BS33" s="2384"/>
      <c r="BT33" s="2384"/>
      <c r="BU33" s="2384"/>
      <c r="BV33" s="2384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4"/>
      <c r="BX33" s="2384"/>
      <c r="BY33" s="2384"/>
      <c r="BZ33" s="2384"/>
      <c r="CA33" s="2384"/>
      <c r="CB33" s="2384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4"/>
      <c r="CD33" s="2384"/>
      <c r="CE33" s="2384"/>
      <c r="CF33" s="2384"/>
      <c r="CG33" s="2384"/>
      <c r="CH33" s="2384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4"/>
      <c r="CJ33" s="2384"/>
      <c r="CK33" s="2384"/>
      <c r="CL33" s="2384"/>
      <c r="CM33" s="2384"/>
      <c r="CN33" s="2384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4"/>
      <c r="CP33" s="2384"/>
      <c r="CQ33" s="2384"/>
      <c r="CR33" s="2384"/>
      <c r="CS33" s="2384"/>
      <c r="CT33" s="2384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4"/>
      <c r="CV33" s="2384"/>
      <c r="CW33" s="2384"/>
      <c r="CX33" s="2384"/>
      <c r="CY33" s="2384"/>
      <c r="CZ33" s="2384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4"/>
      <c r="DB33" s="2384"/>
      <c r="DC33" s="2384"/>
      <c r="DD33" s="2384"/>
      <c r="DE33" s="2384"/>
      <c r="DF33" s="2384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4"/>
      <c r="DH33" s="2384"/>
      <c r="DI33" s="2384"/>
      <c r="DJ33" s="2384"/>
      <c r="DK33" s="2384"/>
      <c r="DL33" s="2384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4"/>
      <c r="DN33" s="2384"/>
      <c r="DO33" s="2384"/>
      <c r="DP33" s="2384"/>
      <c r="DQ33" s="2384"/>
      <c r="DR33" s="2384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4"/>
      <c r="DT33" s="2384"/>
      <c r="DU33" s="2384"/>
      <c r="DV33" s="2384"/>
      <c r="DW33" s="2384"/>
      <c r="DX33" s="2384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4"/>
      <c r="DZ33" s="2384"/>
      <c r="EA33" s="2384"/>
      <c r="EB33" s="2384"/>
      <c r="EC33" s="2384"/>
      <c r="ED33" s="2384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4"/>
      <c r="EF33" s="2384"/>
      <c r="EG33" s="2384"/>
      <c r="EH33" s="2384"/>
      <c r="EI33" s="2384"/>
      <c r="EJ33" s="2384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4"/>
      <c r="EL33" s="2384"/>
      <c r="EM33" s="2384"/>
      <c r="EN33" s="2384"/>
      <c r="EO33" s="2384"/>
      <c r="EP33" s="2384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4"/>
      <c r="ER33" s="2384"/>
      <c r="ES33" s="2384"/>
      <c r="ET33" s="2384"/>
      <c r="EU33" s="2384"/>
      <c r="EV33" s="2384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4"/>
      <c r="EX33" s="2384"/>
      <c r="EY33" s="2384"/>
      <c r="EZ33" s="2384"/>
      <c r="FA33" s="2384"/>
      <c r="FB33" s="2384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4"/>
      <c r="FD33" s="2384"/>
      <c r="FE33" s="2384"/>
      <c r="FF33" s="2384"/>
      <c r="FG33" s="2384"/>
      <c r="FH33" s="2384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4"/>
      <c r="FJ33" s="2384"/>
      <c r="FK33" s="2384"/>
      <c r="FL33" s="2384"/>
      <c r="FM33" s="2384"/>
      <c r="FN33" s="2384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4"/>
      <c r="FP33" s="2384"/>
      <c r="FQ33" s="2384"/>
      <c r="FR33" s="2384"/>
      <c r="FS33" s="2384"/>
      <c r="FT33" s="2384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4"/>
      <c r="FV33" s="2384"/>
      <c r="FW33" s="2384"/>
      <c r="FX33" s="2384"/>
      <c r="FY33" s="2384"/>
      <c r="FZ33" s="2384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4"/>
      <c r="GB33" s="2384"/>
      <c r="GC33" s="2384"/>
      <c r="GD33" s="2384"/>
      <c r="GE33" s="2384"/>
      <c r="GF33" s="1160"/>
      <c r="GG33" s="1160"/>
    </row>
    <row r="34" spans="1:190" ht="44.25" customHeight="1" x14ac:dyDescent="0.3">
      <c r="A34" s="338">
        <v>8</v>
      </c>
      <c r="B34" s="2384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4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4"/>
      <c r="J34" s="2384"/>
      <c r="K34" s="2384"/>
      <c r="L34" s="2384"/>
      <c r="M34" s="2384"/>
      <c r="N34" s="2384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4"/>
      <c r="P34" s="2384"/>
      <c r="Q34" s="2384"/>
      <c r="R34" s="2384"/>
      <c r="S34" s="2384"/>
      <c r="T34" s="2384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4"/>
      <c r="V34" s="2384"/>
      <c r="W34" s="2384"/>
      <c r="X34" s="2384"/>
      <c r="Y34" s="2384"/>
      <c r="Z34" s="2384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4"/>
      <c r="AB34" s="2384"/>
      <c r="AC34" s="2384"/>
      <c r="AD34" s="2384"/>
      <c r="AE34" s="2384"/>
      <c r="AF34" s="2384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4"/>
      <c r="AH34" s="2384"/>
      <c r="AI34" s="2384"/>
      <c r="AJ34" s="2384"/>
      <c r="AK34" s="2384"/>
      <c r="AL34" s="2384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4"/>
      <c r="AN34" s="2384"/>
      <c r="AO34" s="2384"/>
      <c r="AP34" s="2384"/>
      <c r="AQ34" s="2384"/>
      <c r="AR34" s="2384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4"/>
      <c r="AT34" s="2384"/>
      <c r="AU34" s="2384"/>
      <c r="AV34" s="2384"/>
      <c r="AW34" s="2384"/>
      <c r="AX34" s="2384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4"/>
      <c r="AZ34" s="2384"/>
      <c r="BA34" s="2384"/>
      <c r="BB34" s="2384"/>
      <c r="BC34" s="2384"/>
      <c r="BD34" s="2384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4"/>
      <c r="BF34" s="2384"/>
      <c r="BG34" s="2384"/>
      <c r="BH34" s="2384"/>
      <c r="BI34" s="2384"/>
      <c r="BJ34" s="2384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4"/>
      <c r="BL34" s="2384"/>
      <c r="BM34" s="2384"/>
      <c r="BN34" s="2384"/>
      <c r="BO34" s="2384"/>
      <c r="BP34" s="2384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4"/>
      <c r="BR34" s="2384"/>
      <c r="BS34" s="2384"/>
      <c r="BT34" s="2384"/>
      <c r="BU34" s="2384"/>
      <c r="BV34" s="2384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4"/>
      <c r="BX34" s="2384"/>
      <c r="BY34" s="2384"/>
      <c r="BZ34" s="2384"/>
      <c r="CA34" s="2384"/>
      <c r="CB34" s="2384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4"/>
      <c r="CD34" s="2384"/>
      <c r="CE34" s="2384"/>
      <c r="CF34" s="2384"/>
      <c r="CG34" s="2384"/>
      <c r="CH34" s="2384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4"/>
      <c r="CJ34" s="2384"/>
      <c r="CK34" s="2384"/>
      <c r="CL34" s="2384"/>
      <c r="CM34" s="2384"/>
      <c r="CN34" s="2384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4"/>
      <c r="CP34" s="2384"/>
      <c r="CQ34" s="2384"/>
      <c r="CR34" s="2384"/>
      <c r="CS34" s="2384"/>
      <c r="CT34" s="2384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4"/>
      <c r="CV34" s="2384"/>
      <c r="CW34" s="2384"/>
      <c r="CX34" s="2384"/>
      <c r="CY34" s="2384"/>
      <c r="CZ34" s="2384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4"/>
      <c r="DB34" s="2384"/>
      <c r="DC34" s="2384"/>
      <c r="DD34" s="2384"/>
      <c r="DE34" s="2384"/>
      <c r="DF34" s="2384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4"/>
      <c r="DH34" s="2384"/>
      <c r="DI34" s="2384"/>
      <c r="DJ34" s="2384"/>
      <c r="DK34" s="2384"/>
      <c r="DL34" s="2384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4"/>
      <c r="DN34" s="2384"/>
      <c r="DO34" s="2384"/>
      <c r="DP34" s="2384"/>
      <c r="DQ34" s="2384"/>
      <c r="DR34" s="2384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4"/>
      <c r="DT34" s="2384"/>
      <c r="DU34" s="2384"/>
      <c r="DV34" s="2384"/>
      <c r="DW34" s="2384"/>
      <c r="DX34" s="2384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4"/>
      <c r="DZ34" s="2384"/>
      <c r="EA34" s="2384"/>
      <c r="EB34" s="2384"/>
      <c r="EC34" s="2384"/>
      <c r="ED34" s="2384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4"/>
      <c r="EF34" s="2384"/>
      <c r="EG34" s="2384"/>
      <c r="EH34" s="2384"/>
      <c r="EI34" s="2384"/>
      <c r="EJ34" s="2384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4"/>
      <c r="EL34" s="2384"/>
      <c r="EM34" s="2384"/>
      <c r="EN34" s="2384"/>
      <c r="EO34" s="2384"/>
      <c r="EP34" s="2384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4"/>
      <c r="ER34" s="2384"/>
      <c r="ES34" s="2384"/>
      <c r="ET34" s="2384"/>
      <c r="EU34" s="2384"/>
      <c r="EV34" s="2384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4"/>
      <c r="EX34" s="2384"/>
      <c r="EY34" s="2384"/>
      <c r="EZ34" s="2384"/>
      <c r="FA34" s="2384"/>
      <c r="FB34" s="2384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4"/>
      <c r="FD34" s="2384"/>
      <c r="FE34" s="2384"/>
      <c r="FF34" s="2384"/>
      <c r="FG34" s="2384"/>
      <c r="FH34" s="2384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4"/>
      <c r="FJ34" s="2384"/>
      <c r="FK34" s="2384"/>
      <c r="FL34" s="2384"/>
      <c r="FM34" s="2384"/>
      <c r="FN34" s="2384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4"/>
      <c r="FP34" s="2384"/>
      <c r="FQ34" s="2384"/>
      <c r="FR34" s="2384"/>
      <c r="FS34" s="2384"/>
      <c r="FT34" s="2384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4"/>
      <c r="FV34" s="2384"/>
      <c r="FW34" s="2384"/>
      <c r="FX34" s="2384"/>
      <c r="FY34" s="2384"/>
      <c r="FZ34" s="2384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4"/>
      <c r="GB34" s="2384"/>
      <c r="GC34" s="2384"/>
      <c r="GD34" s="2384"/>
      <c r="GE34" s="2384"/>
      <c r="GF34" s="1160"/>
      <c r="GG34" s="1160"/>
    </row>
    <row r="35" spans="1:190" ht="44.25" customHeight="1" x14ac:dyDescent="0.3">
      <c r="A35" s="338">
        <v>9</v>
      </c>
      <c r="B35" s="2384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4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4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4"/>
      <c r="J35" s="2384"/>
      <c r="K35" s="2384"/>
      <c r="L35" s="2384"/>
      <c r="M35" s="2384"/>
      <c r="N35" s="2384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4"/>
      <c r="P35" s="2384"/>
      <c r="Q35" s="2384"/>
      <c r="R35" s="2384"/>
      <c r="S35" s="2384"/>
      <c r="T35" s="2384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4"/>
      <c r="V35" s="2384"/>
      <c r="W35" s="2384"/>
      <c r="X35" s="2384"/>
      <c r="Y35" s="2384"/>
      <c r="Z35" s="2384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4"/>
      <c r="AB35" s="2384"/>
      <c r="AC35" s="2384"/>
      <c r="AD35" s="2384"/>
      <c r="AE35" s="2384"/>
      <c r="AF35" s="2384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4"/>
      <c r="AH35" s="2384"/>
      <c r="AI35" s="2384"/>
      <c r="AJ35" s="2384"/>
      <c r="AK35" s="2384"/>
      <c r="AL35" s="2384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4"/>
      <c r="AN35" s="2384"/>
      <c r="AO35" s="2384"/>
      <c r="AP35" s="2384"/>
      <c r="AQ35" s="2384"/>
      <c r="AR35" s="2384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4"/>
      <c r="AT35" s="2384"/>
      <c r="AU35" s="2384"/>
      <c r="AV35" s="2384"/>
      <c r="AW35" s="2384"/>
      <c r="AX35" s="2384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4"/>
      <c r="AZ35" s="2384"/>
      <c r="BA35" s="2384"/>
      <c r="BB35" s="2384"/>
      <c r="BC35" s="2384"/>
      <c r="BD35" s="2384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4"/>
      <c r="BF35" s="2384"/>
      <c r="BG35" s="2384"/>
      <c r="BH35" s="2384"/>
      <c r="BI35" s="2384"/>
      <c r="BJ35" s="2384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4"/>
      <c r="BL35" s="2384"/>
      <c r="BM35" s="2384"/>
      <c r="BN35" s="2384"/>
      <c r="BO35" s="2384"/>
      <c r="BP35" s="2384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4"/>
      <c r="BR35" s="2384"/>
      <c r="BS35" s="2384"/>
      <c r="BT35" s="2384"/>
      <c r="BU35" s="2384"/>
      <c r="BV35" s="2384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4"/>
      <c r="BX35" s="2384"/>
      <c r="BY35" s="2384"/>
      <c r="BZ35" s="2384"/>
      <c r="CA35" s="2384"/>
      <c r="CB35" s="2384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4"/>
      <c r="CD35" s="2384"/>
      <c r="CE35" s="2384"/>
      <c r="CF35" s="2384"/>
      <c r="CG35" s="2384"/>
      <c r="CH35" s="2384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4"/>
      <c r="CJ35" s="2384"/>
      <c r="CK35" s="2384"/>
      <c r="CL35" s="2384"/>
      <c r="CM35" s="2384"/>
      <c r="CN35" s="2384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4"/>
      <c r="CP35" s="2384"/>
      <c r="CQ35" s="2384"/>
      <c r="CR35" s="2384"/>
      <c r="CS35" s="2384"/>
      <c r="CT35" s="2384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4"/>
      <c r="CV35" s="2384"/>
      <c r="CW35" s="2384"/>
      <c r="CX35" s="2384"/>
      <c r="CY35" s="2384"/>
      <c r="CZ35" s="2384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4"/>
      <c r="DB35" s="2384"/>
      <c r="DC35" s="2384"/>
      <c r="DD35" s="2384"/>
      <c r="DE35" s="2384"/>
      <c r="DF35" s="2384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4"/>
      <c r="DH35" s="2384"/>
      <c r="DI35" s="2384"/>
      <c r="DJ35" s="2384"/>
      <c r="DK35" s="2384"/>
      <c r="DL35" s="2384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4"/>
      <c r="DN35" s="2384"/>
      <c r="DO35" s="2384"/>
      <c r="DP35" s="2384"/>
      <c r="DQ35" s="2384"/>
      <c r="DR35" s="2384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4"/>
      <c r="DT35" s="2384"/>
      <c r="DU35" s="2384"/>
      <c r="DV35" s="2384"/>
      <c r="DW35" s="2384"/>
      <c r="DX35" s="2384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4"/>
      <c r="DZ35" s="2384"/>
      <c r="EA35" s="2384"/>
      <c r="EB35" s="2384"/>
      <c r="EC35" s="2384"/>
      <c r="ED35" s="2384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4"/>
      <c r="EF35" s="2384"/>
      <c r="EG35" s="2384"/>
      <c r="EH35" s="2384"/>
      <c r="EI35" s="2384"/>
      <c r="EJ35" s="2384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4"/>
      <c r="EL35" s="2384"/>
      <c r="EM35" s="2384"/>
      <c r="EN35" s="2384"/>
      <c r="EO35" s="2384"/>
      <c r="EP35" s="2384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4"/>
      <c r="ER35" s="2384"/>
      <c r="ES35" s="2384"/>
      <c r="ET35" s="2384"/>
      <c r="EU35" s="2384"/>
      <c r="EV35" s="2384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4"/>
      <c r="EX35" s="2384"/>
      <c r="EY35" s="2384"/>
      <c r="EZ35" s="2384"/>
      <c r="FA35" s="2384"/>
      <c r="FB35" s="2384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4"/>
      <c r="FD35" s="2384"/>
      <c r="FE35" s="2384"/>
      <c r="FF35" s="2384"/>
      <c r="FG35" s="2384"/>
      <c r="FH35" s="2384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4"/>
      <c r="FJ35" s="2384"/>
      <c r="FK35" s="2384"/>
      <c r="FL35" s="2384"/>
      <c r="FM35" s="2384"/>
      <c r="FN35" s="2384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4"/>
      <c r="FP35" s="2384"/>
      <c r="FQ35" s="2384"/>
      <c r="FR35" s="2384"/>
      <c r="FS35" s="2384"/>
      <c r="FT35" s="2384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4"/>
      <c r="FV35" s="2384"/>
      <c r="FW35" s="2384"/>
      <c r="FX35" s="2384"/>
      <c r="FY35" s="2384"/>
      <c r="FZ35" s="2384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4"/>
      <c r="GB35" s="2384"/>
      <c r="GC35" s="2384"/>
      <c r="GD35" s="2384"/>
      <c r="GE35" s="2384"/>
      <c r="GF35" s="1160"/>
      <c r="GG35" s="1160"/>
    </row>
    <row r="36" spans="1:190" ht="72.75" customHeight="1" x14ac:dyDescent="0.25">
      <c r="A36" s="339"/>
      <c r="B36" s="2380" t="str">
        <f>IF(Data!$GI$2&lt;&gt;"","X1: "&amp; Data!$GI$2, " ")</f>
        <v>X1: 1313 CT427 0.010</v>
      </c>
      <c r="C36" s="2380"/>
      <c r="D36" s="2380"/>
      <c r="E36" s="2380"/>
      <c r="F36" s="2380"/>
      <c r="G36" s="2380"/>
      <c r="H36" s="2380"/>
      <c r="I36" s="2380"/>
      <c r="J36" s="2380"/>
      <c r="K36" s="2380"/>
      <c r="L36" s="2380"/>
      <c r="M36" s="2380"/>
      <c r="N36" s="2380"/>
      <c r="O36" s="2380"/>
      <c r="P36" s="2380"/>
      <c r="Q36" s="2380"/>
      <c r="R36" s="2380"/>
      <c r="S36" s="2380"/>
      <c r="T36" s="2380"/>
      <c r="U36" s="2380"/>
      <c r="V36" s="2380"/>
      <c r="W36" s="2380"/>
      <c r="X36" s="2380"/>
      <c r="Y36" s="2380"/>
      <c r="Z36" s="2380"/>
      <c r="AA36" s="2380"/>
      <c r="AB36" s="2380"/>
      <c r="AC36" s="2380" t="str">
        <f>IF(Data!$GI$3&lt;&gt;"","X2: "&amp; Data!$GI$3, " ")</f>
        <v xml:space="preserve">X2: 1308 CT31 Drop in </v>
      </c>
      <c r="AD36" s="2380"/>
      <c r="AE36" s="2380"/>
      <c r="AF36" s="2380"/>
      <c r="AG36" s="2380"/>
      <c r="AH36" s="2380"/>
      <c r="AI36" s="2380"/>
      <c r="AJ36" s="2380"/>
      <c r="AK36" s="2380"/>
      <c r="AL36" s="2380"/>
      <c r="AM36" s="2380"/>
      <c r="AN36" s="2380"/>
      <c r="AO36" s="2380"/>
      <c r="AP36" s="2380"/>
      <c r="AQ36" s="2380"/>
      <c r="AR36" s="2380"/>
      <c r="AS36" s="2380"/>
      <c r="AT36" s="2380"/>
      <c r="AU36" s="2380"/>
      <c r="AV36" s="2380"/>
      <c r="AW36" s="2380"/>
      <c r="AX36" s="2380"/>
      <c r="AY36" s="2380"/>
      <c r="AZ36" s="2380"/>
      <c r="BA36" s="2380"/>
      <c r="BB36" s="2380"/>
      <c r="BC36" s="2380"/>
      <c r="BD36" s="2380" t="str">
        <f>IF(Data!$GI$4&lt;&gt;"","X3: "&amp; Data!$GI$4, " ")</f>
        <v>X3: 1313 CT147G U</v>
      </c>
      <c r="BE36" s="2380"/>
      <c r="BF36" s="2380"/>
      <c r="BG36" s="2380"/>
      <c r="BH36" s="2380"/>
      <c r="BI36" s="2380"/>
      <c r="BJ36" s="2380"/>
      <c r="BK36" s="2380"/>
      <c r="BL36" s="2380"/>
      <c r="BM36" s="2380"/>
      <c r="BN36" s="2380"/>
      <c r="BO36" s="2380"/>
      <c r="BP36" s="2380"/>
      <c r="BQ36" s="2380"/>
      <c r="BR36" s="2380"/>
      <c r="BS36" s="2380"/>
      <c r="BT36" s="2380"/>
      <c r="BU36" s="2380"/>
      <c r="BV36" s="2380"/>
      <c r="BW36" s="2380"/>
      <c r="BX36" s="2380"/>
      <c r="BY36" s="2380"/>
      <c r="BZ36" s="2380"/>
      <c r="CA36" s="2380"/>
      <c r="CB36" s="2380"/>
      <c r="CC36" s="2380"/>
      <c r="CD36" s="2380"/>
      <c r="CE36" s="2380" t="str">
        <f>IF(Data!$GI$5&lt;&gt;"","X4: "&amp; Data!$GI$5, " ")</f>
        <v>X4: 1313 CT418 18C-60</v>
      </c>
      <c r="CF36" s="2380"/>
      <c r="CG36" s="2380"/>
      <c r="CH36" s="2380"/>
      <c r="CI36" s="2380"/>
      <c r="CJ36" s="2380"/>
      <c r="CK36" s="2380"/>
      <c r="CL36" s="2380"/>
      <c r="CM36" s="2380"/>
      <c r="CN36" s="2380"/>
      <c r="CO36" s="2380"/>
      <c r="CP36" s="2380"/>
      <c r="CQ36" s="2380"/>
      <c r="CR36" s="2380"/>
      <c r="CS36" s="2380"/>
      <c r="CT36" s="2380"/>
      <c r="CU36" s="2380"/>
      <c r="CV36" s="2380"/>
      <c r="CW36" s="2380"/>
      <c r="CX36" s="2380"/>
      <c r="CY36" s="2380"/>
      <c r="CZ36" s="2380"/>
      <c r="DA36" s="2380"/>
      <c r="DB36" s="2380"/>
      <c r="DC36" s="2380"/>
      <c r="DD36" s="2380"/>
      <c r="DE36" s="2380"/>
      <c r="DF36" s="2380" t="str">
        <f>IF(Data!$GI$6&lt;&gt;"","X5: "&amp; Data!$GI$6, " ")</f>
        <v>X5: 1313 CT179T U-60</v>
      </c>
      <c r="DG36" s="2380"/>
      <c r="DH36" s="2380"/>
      <c r="DI36" s="2380"/>
      <c r="DJ36" s="2380"/>
      <c r="DK36" s="2380"/>
      <c r="DL36" s="2380"/>
      <c r="DM36" s="2380"/>
      <c r="DN36" s="2380"/>
      <c r="DO36" s="2380"/>
      <c r="DP36" s="2380"/>
      <c r="DQ36" s="2380"/>
      <c r="DR36" s="2380"/>
      <c r="DS36" s="2380"/>
      <c r="DT36" s="2380"/>
      <c r="DU36" s="2380"/>
      <c r="DV36" s="2380"/>
      <c r="DW36" s="2380"/>
      <c r="DX36" s="2380"/>
      <c r="DY36" s="2380"/>
      <c r="DZ36" s="2380"/>
      <c r="EA36" s="2380"/>
      <c r="EB36" s="2380"/>
      <c r="EC36" s="2380"/>
      <c r="ED36" s="2380"/>
      <c r="EE36" s="2380"/>
      <c r="EF36" s="2380"/>
      <c r="EG36" s="2380" t="str">
        <f>IF(Data!$GI$7&lt;&gt;"","X6: "&amp; Data!$GI$7, " ")</f>
        <v xml:space="preserve"> </v>
      </c>
      <c r="EH36" s="2380"/>
      <c r="EI36" s="2380"/>
      <c r="EJ36" s="2380"/>
      <c r="EK36" s="2380"/>
      <c r="EL36" s="2380"/>
      <c r="EM36" s="2380"/>
      <c r="EN36" s="2380"/>
      <c r="EO36" s="2380"/>
      <c r="EP36" s="2380"/>
      <c r="EQ36" s="2380"/>
      <c r="ER36" s="2380"/>
      <c r="ES36" s="2380"/>
      <c r="ET36" s="2380"/>
      <c r="EU36" s="2380"/>
      <c r="EV36" s="2380"/>
      <c r="EW36" s="2380"/>
      <c r="EX36" s="2380"/>
      <c r="EY36" s="2380"/>
      <c r="EZ36" s="2380"/>
      <c r="FA36" s="2380"/>
      <c r="FB36" s="2380"/>
      <c r="FC36" s="2380"/>
      <c r="FD36" s="2380"/>
      <c r="FE36" s="2380"/>
      <c r="FF36" s="2380"/>
      <c r="FG36" s="2380"/>
      <c r="FH36" s="2380" t="str">
        <f>IF(Data!$GI$8&lt;&gt;"","X7: "&amp; Data!$GI$8, " ")</f>
        <v xml:space="preserve"> </v>
      </c>
      <c r="FI36" s="2380"/>
      <c r="FJ36" s="2380"/>
      <c r="FK36" s="2380"/>
      <c r="FL36" s="2380"/>
      <c r="FM36" s="2380"/>
      <c r="FN36" s="2380"/>
      <c r="FO36" s="2380"/>
      <c r="FP36" s="2380"/>
      <c r="FQ36" s="2380"/>
      <c r="FR36" s="2380"/>
      <c r="FS36" s="2380"/>
      <c r="FT36" s="2380"/>
      <c r="FU36" s="2380"/>
      <c r="FV36" s="2380"/>
      <c r="FW36" s="2380"/>
      <c r="FX36" s="2380"/>
      <c r="FY36" s="2380"/>
      <c r="FZ36" s="2380"/>
      <c r="GA36" s="2380"/>
      <c r="GB36" s="2380"/>
      <c r="GC36" s="2380"/>
      <c r="GD36" s="2380"/>
      <c r="GE36" s="2380"/>
      <c r="GF36" s="2380"/>
      <c r="GG36" s="2380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'C:\2019\Templetes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OR('C:\2019\Templetes 09-16-2019\New folder\[Template 09-16-2019.xlsx]Data'!#REF!&gt;30,'C:\2019\Templetes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'C:\2019\Templetes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'C:\2019\Templetes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'C:\2019\Templetes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'C:\2019\Templetes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'C:\2019\Templetes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'C:\2019\Templetes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'C:\2019\Templetes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'C:\2019\Templetes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'C:\2019\Templetes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'C:\2019\Templetes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'C:\2019\Templetes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'C:\2019\Templetes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'C:\2019\Templetes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'C:\2019\Templetes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'C:\2019\Templetes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5" x14ac:dyDescent="0.25"/>
  <cols>
    <col min="1" max="1" width="5.140625" customWidth="1"/>
    <col min="2" max="189" width="0.7109375" customWidth="1"/>
    <col min="190" max="190" width="7.5703125" customWidth="1"/>
  </cols>
  <sheetData>
    <row r="1" spans="1:223" ht="47.25" customHeight="1" x14ac:dyDescent="0.25"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2386">
        <f>IF(Data!$B$1&lt;&gt;"", Data!$B$1, " ")</f>
        <v>20261004</v>
      </c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  <c r="AD1" s="2386"/>
      <c r="AE1" s="2386"/>
      <c r="AF1" s="2386"/>
      <c r="AG1" s="2386"/>
      <c r="AH1" s="2386"/>
      <c r="AI1" s="2386"/>
      <c r="AJ1" s="2386"/>
      <c r="AK1" s="2386"/>
      <c r="AL1" s="2386"/>
      <c r="AM1" s="2386"/>
      <c r="AN1" s="2386"/>
      <c r="AO1" s="2386"/>
      <c r="AP1" s="2386"/>
      <c r="AQ1" s="2386"/>
      <c r="AR1" s="2386"/>
      <c r="AS1" s="2386"/>
      <c r="AT1" s="2386"/>
      <c r="AU1" s="2386"/>
      <c r="AV1" s="2386"/>
      <c r="AW1" s="2386"/>
      <c r="AX1" s="2386"/>
      <c r="AY1" s="2386"/>
      <c r="AZ1" s="2386"/>
      <c r="BA1" s="2386"/>
      <c r="BB1" s="2386"/>
      <c r="BC1" s="2386"/>
      <c r="BD1" s="2386"/>
      <c r="BE1" s="2386"/>
      <c r="BF1" s="2386"/>
      <c r="BG1" s="2386"/>
      <c r="BH1" s="2386"/>
      <c r="BI1" s="2386" t="str">
        <f>IF(Data!$B$2&lt;&gt;"", Data!$B$2, " ")</f>
        <v>14304769R1</v>
      </c>
      <c r="BJ1" s="2386"/>
      <c r="BK1" s="2386"/>
      <c r="BL1" s="2386"/>
      <c r="BM1" s="2386"/>
      <c r="BN1" s="2386"/>
      <c r="BO1" s="2386"/>
      <c r="BP1" s="2386"/>
      <c r="BQ1" s="2386"/>
      <c r="BR1" s="2386"/>
      <c r="BS1" s="2386"/>
      <c r="BT1" s="2386"/>
      <c r="BU1" s="2386"/>
      <c r="BV1" s="2386"/>
      <c r="BW1" s="2386"/>
      <c r="BX1" s="2386"/>
      <c r="BY1" s="2386"/>
      <c r="BZ1" s="2386"/>
      <c r="CA1" s="2386"/>
      <c r="CB1" s="2386"/>
      <c r="CC1" s="2386"/>
      <c r="CD1" s="2386"/>
      <c r="CE1" s="2386"/>
      <c r="CF1" s="2386"/>
      <c r="CG1" s="2386"/>
      <c r="CH1" s="2386"/>
      <c r="CI1" s="2386"/>
      <c r="CJ1" s="2386"/>
      <c r="CK1" s="2386"/>
      <c r="CL1" s="2386"/>
      <c r="CM1" s="2386"/>
      <c r="CN1" s="2386"/>
      <c r="CO1" s="2386"/>
      <c r="CP1" s="2386"/>
      <c r="CQ1" s="2386"/>
      <c r="CR1" s="2386"/>
      <c r="CS1" s="2386"/>
      <c r="CT1" s="2386"/>
      <c r="CU1" s="2386"/>
      <c r="CV1" s="2386"/>
      <c r="CW1" s="2386"/>
      <c r="CX1" s="2386"/>
      <c r="CY1" s="2386"/>
      <c r="CZ1" s="2386"/>
      <c r="DA1" s="2386"/>
      <c r="DB1" s="2386"/>
      <c r="DC1" s="2386"/>
      <c r="DD1" s="2386"/>
      <c r="DE1" s="2386"/>
      <c r="DF1" s="2386"/>
      <c r="DG1" s="2386"/>
      <c r="DH1" s="2386"/>
      <c r="DI1" s="2386"/>
      <c r="DJ1" s="2386" t="str">
        <f>IF(Data!$B$4&lt;&gt;"",Data!$B$4," ")</f>
        <v>HD54</v>
      </c>
      <c r="DK1" s="2386"/>
      <c r="DL1" s="2386"/>
      <c r="DM1" s="2386"/>
      <c r="DN1" s="2386"/>
      <c r="DO1" s="2386"/>
      <c r="DP1" s="2386"/>
      <c r="DQ1" s="2386"/>
      <c r="DR1" s="2386"/>
      <c r="DS1" s="2386"/>
      <c r="DT1" s="2386"/>
      <c r="DU1" s="2386"/>
      <c r="DV1" s="2386"/>
      <c r="DW1" s="2386"/>
      <c r="DX1" s="2386"/>
      <c r="DY1" s="2386"/>
      <c r="DZ1" s="2386"/>
      <c r="EA1" s="2386"/>
      <c r="EB1" s="2386"/>
      <c r="EC1" s="2386"/>
      <c r="ED1" s="2386"/>
      <c r="EE1" s="2386"/>
      <c r="EF1" s="2386"/>
      <c r="EG1" s="2386"/>
      <c r="EH1" s="2386"/>
      <c r="EI1" s="2386"/>
      <c r="EJ1" s="2386"/>
      <c r="EK1" s="2386"/>
      <c r="EL1" s="2386"/>
      <c r="EM1" s="2386"/>
      <c r="EN1" s="2386"/>
      <c r="EO1" s="2386"/>
      <c r="EP1" s="2386" t="str">
        <f>IF(LEN(Data!B3)&gt;3,IF(AND(Data!B43&lt;&gt;"",Data!B43&lt;&gt;"0 0/1"""),Data!B43,""),IF(Data!B3&lt;&gt;"",Data!B3&amp;"""",""))</f>
        <v>6 1/8"</v>
      </c>
      <c r="EQ1" s="2386"/>
      <c r="ER1" s="2386"/>
      <c r="ES1" s="2386"/>
      <c r="ET1" s="2386"/>
      <c r="EU1" s="2386"/>
      <c r="EV1" s="2386"/>
      <c r="EW1" s="2386"/>
      <c r="EX1" s="2386"/>
      <c r="EY1" s="2386"/>
      <c r="EZ1" s="2386"/>
      <c r="FA1" s="2386"/>
      <c r="FB1" s="2386"/>
      <c r="FC1" s="2386"/>
      <c r="FD1" s="2386"/>
      <c r="FE1" s="2386"/>
      <c r="FF1" s="2386"/>
      <c r="FG1" s="2386"/>
      <c r="FH1" s="2386"/>
      <c r="FI1" s="2386"/>
      <c r="FJ1" s="2386"/>
      <c r="FK1" s="2386"/>
      <c r="FL1" s="2386"/>
      <c r="FM1" s="2386"/>
      <c r="FN1" s="2386"/>
      <c r="FO1" s="2386"/>
      <c r="FP1" s="2386"/>
      <c r="FQ1" s="2386"/>
      <c r="FR1" s="2386"/>
      <c r="FS1" s="2386"/>
      <c r="FT1" s="2386"/>
      <c r="FU1" s="2386"/>
      <c r="FV1" s="1160"/>
      <c r="FW1" s="1160"/>
      <c r="FX1" s="1160"/>
      <c r="FY1" s="1160"/>
      <c r="FZ1" s="1160"/>
      <c r="GA1" s="1160"/>
      <c r="GB1" s="1160"/>
      <c r="GC1" s="1160"/>
      <c r="GD1" s="1160"/>
      <c r="GE1" s="1160"/>
      <c r="GF1" s="1160"/>
      <c r="GG1" s="1160"/>
    </row>
    <row r="2" spans="1:223" ht="46.5" customHeight="1" x14ac:dyDescent="0.25">
      <c r="B2" s="2389">
        <f>IF(Data!$BR$44&lt;&gt;"",Data!$BR$44, "")</f>
        <v>1</v>
      </c>
      <c r="C2" s="2389"/>
      <c r="D2" s="2389"/>
      <c r="E2" s="2389"/>
      <c r="F2" s="2389"/>
      <c r="G2" s="2389"/>
      <c r="H2" s="2389"/>
      <c r="I2" s="2389"/>
      <c r="J2" s="2389"/>
      <c r="K2" s="2389"/>
      <c r="L2" s="2389"/>
      <c r="M2" s="2389"/>
      <c r="N2" s="2389"/>
      <c r="O2" s="2389"/>
      <c r="P2" s="2389"/>
      <c r="Q2" s="2389"/>
      <c r="R2" s="2389">
        <f>IF(Data!$BS$44&lt;&gt;"",Data!$BS$44, "")</f>
        <v>2</v>
      </c>
      <c r="S2" s="2389"/>
      <c r="T2" s="2389"/>
      <c r="U2" s="2389"/>
      <c r="V2" s="2389"/>
      <c r="W2" s="2389"/>
      <c r="X2" s="2389"/>
      <c r="Y2" s="2389"/>
      <c r="Z2" s="2389"/>
      <c r="AA2" s="2389"/>
      <c r="AB2" s="2389"/>
      <c r="AC2" s="2389"/>
      <c r="AD2" s="2389"/>
      <c r="AE2" s="2389"/>
      <c r="AF2" s="2389"/>
      <c r="AG2" s="2389"/>
      <c r="AH2" s="2389">
        <f>IF(Data!$BT$44&lt;&gt;"", Data!$BT$44, "")</f>
        <v>3</v>
      </c>
      <c r="AI2" s="2389"/>
      <c r="AJ2" s="2389"/>
      <c r="AK2" s="2389"/>
      <c r="AL2" s="2389"/>
      <c r="AM2" s="2389"/>
      <c r="AN2" s="2389"/>
      <c r="AO2" s="2389"/>
      <c r="AP2" s="2389"/>
      <c r="AQ2" s="2389"/>
      <c r="AR2" s="2389"/>
      <c r="AS2" s="2389"/>
      <c r="AT2" s="2389"/>
      <c r="AU2" s="2389"/>
      <c r="AV2" s="2389"/>
      <c r="AW2" s="2389"/>
      <c r="AX2" s="2389">
        <f>IF(Data!$BU$44&lt;&gt;"", Data!$BU$44, "")</f>
        <v>4</v>
      </c>
      <c r="AY2" s="2389"/>
      <c r="AZ2" s="2389"/>
      <c r="BA2" s="2389"/>
      <c r="BB2" s="2389"/>
      <c r="BC2" s="2389"/>
      <c r="BD2" s="2389"/>
      <c r="BE2" s="2389"/>
      <c r="BF2" s="2389"/>
      <c r="BG2" s="2389"/>
      <c r="BH2" s="2389"/>
      <c r="BI2" s="2389"/>
      <c r="BJ2" s="2389"/>
      <c r="BK2" s="2389"/>
      <c r="BL2" s="2389"/>
      <c r="BM2" s="2389"/>
      <c r="BN2" s="2389">
        <f>IF(Data!$BV$44&lt;&gt;"",Data!$BV$44, "")</f>
        <v>5</v>
      </c>
      <c r="BO2" s="2389"/>
      <c r="BP2" s="2389"/>
      <c r="BQ2" s="2389"/>
      <c r="BR2" s="2389"/>
      <c r="BS2" s="2389"/>
      <c r="BT2" s="2389"/>
      <c r="BU2" s="2389"/>
      <c r="BV2" s="2389"/>
      <c r="BW2" s="2389"/>
      <c r="BX2" s="2389"/>
      <c r="BY2" s="2389"/>
      <c r="BZ2" s="2389"/>
      <c r="CA2" s="2389"/>
      <c r="CB2" s="2389"/>
      <c r="CC2" s="2389"/>
      <c r="CD2" s="2389">
        <f>IF(Data!$BW$44&lt;&gt;"",Data!$BW$44, "")</f>
        <v>6</v>
      </c>
      <c r="CE2" s="2389"/>
      <c r="CF2" s="2389"/>
      <c r="CG2" s="2389"/>
      <c r="CH2" s="2389"/>
      <c r="CI2" s="2389"/>
      <c r="CJ2" s="2389"/>
      <c r="CK2" s="2389"/>
      <c r="CL2" s="2389"/>
      <c r="CM2" s="2389"/>
      <c r="CN2" s="2389"/>
      <c r="CO2" s="2389"/>
      <c r="CP2" s="2389"/>
      <c r="CQ2" s="2389"/>
      <c r="CR2" s="2389"/>
      <c r="CS2" s="2389"/>
      <c r="CT2" s="2389">
        <f>IF(Data!$BX$44&lt;&gt;"", Data!$BX$44, "")</f>
        <v>7</v>
      </c>
      <c r="CU2" s="2389"/>
      <c r="CV2" s="2389"/>
      <c r="CW2" s="2389"/>
      <c r="CX2" s="2389"/>
      <c r="CY2" s="2389"/>
      <c r="CZ2" s="2389"/>
      <c r="DA2" s="2389"/>
      <c r="DB2" s="2389"/>
      <c r="DC2" s="2389"/>
      <c r="DD2" s="2389"/>
      <c r="DE2" s="2389"/>
      <c r="DF2" s="2389"/>
      <c r="DG2" s="2389"/>
      <c r="DH2" s="2389"/>
      <c r="DI2" s="2389"/>
      <c r="DJ2" s="2389">
        <f>IF(Data!$BY$44&lt;&gt;"", Data!$BY$44, "")</f>
        <v>8</v>
      </c>
      <c r="DK2" s="2389"/>
      <c r="DL2" s="2389"/>
      <c r="DM2" s="2389"/>
      <c r="DN2" s="2389"/>
      <c r="DO2" s="2389"/>
      <c r="DP2" s="2389"/>
      <c r="DQ2" s="2389"/>
      <c r="DR2" s="2389"/>
      <c r="DS2" s="2389"/>
      <c r="DT2" s="2389"/>
      <c r="DU2" s="2389"/>
      <c r="DV2" s="2389"/>
      <c r="DW2" s="2389"/>
      <c r="DX2" s="2389"/>
      <c r="DY2" s="2389"/>
      <c r="DZ2" s="2389">
        <f>IF(Data!$BZ$44&lt;&gt;"", Data!$BZ$44, "")</f>
        <v>0</v>
      </c>
      <c r="EA2" s="2389"/>
      <c r="EB2" s="2389"/>
      <c r="EC2" s="2389"/>
      <c r="ED2" s="2389"/>
      <c r="EE2" s="2389"/>
      <c r="EF2" s="2389"/>
      <c r="EG2" s="2389"/>
      <c r="EH2" s="2389"/>
      <c r="EI2" s="2389"/>
      <c r="EJ2" s="2389"/>
      <c r="EK2" s="2389"/>
      <c r="EL2" s="2389"/>
      <c r="EM2" s="2389"/>
      <c r="EN2" s="2389"/>
      <c r="EO2" s="2389"/>
      <c r="EP2" s="2389">
        <f>IF(Data!$CA$44&lt;&gt;"", Data!$CA$44, "")</f>
        <v>0</v>
      </c>
      <c r="EQ2" s="2389"/>
      <c r="ER2" s="2389"/>
      <c r="ES2" s="2389"/>
      <c r="ET2" s="2389"/>
      <c r="EU2" s="2389"/>
      <c r="EV2" s="2389"/>
      <c r="EW2" s="2389"/>
      <c r="EX2" s="2389"/>
      <c r="EY2" s="2389"/>
      <c r="EZ2" s="2389"/>
      <c r="FA2" s="2389"/>
      <c r="FB2" s="2389"/>
      <c r="FC2" s="2389"/>
      <c r="FD2" s="2389"/>
      <c r="FE2" s="2389"/>
      <c r="FF2" s="2389">
        <f>IF(Data!$CB$44&lt;&gt;"", Data!$CB$44, "")</f>
        <v>0</v>
      </c>
      <c r="FG2" s="2389"/>
      <c r="FH2" s="2389"/>
      <c r="FI2" s="2389"/>
      <c r="FJ2" s="2389"/>
      <c r="FK2" s="2389"/>
      <c r="FL2" s="2389"/>
      <c r="FM2" s="2389"/>
      <c r="FN2" s="2389"/>
      <c r="FO2" s="2389"/>
      <c r="FP2" s="2389"/>
      <c r="FQ2" s="2389"/>
      <c r="FR2" s="2389"/>
      <c r="FS2" s="2389"/>
      <c r="FT2" s="2389"/>
      <c r="FU2" s="2389"/>
      <c r="FV2" s="1160"/>
      <c r="FW2" s="1160"/>
      <c r="FX2" s="1160"/>
      <c r="FY2" s="1160"/>
      <c r="FZ2" s="1160"/>
      <c r="GA2" s="1160"/>
      <c r="GB2" s="1160"/>
      <c r="GC2" s="1160"/>
      <c r="GD2" s="1160"/>
      <c r="GE2" s="1160"/>
      <c r="GF2" s="1160"/>
      <c r="GG2" s="1160"/>
      <c r="HO2" s="10"/>
    </row>
    <row r="3" spans="1:223" ht="44.25" customHeight="1" x14ac:dyDescent="0.25">
      <c r="A3" s="338">
        <v>1</v>
      </c>
      <c r="B3" s="2387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3" s="2387"/>
      <c r="D3" s="2387"/>
      <c r="E3" s="2387"/>
      <c r="F3" s="2387"/>
      <c r="G3" s="2387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S3" s="2387"/>
      <c r="T3" s="2387"/>
      <c r="U3" s="2387"/>
      <c r="V3" s="2387"/>
      <c r="W3" s="2387"/>
      <c r="X3" s="2387"/>
      <c r="Y3" s="2387"/>
      <c r="Z3" s="2387"/>
      <c r="AA3" s="2387"/>
      <c r="AB3" s="2387"/>
      <c r="AC3" s="2387"/>
      <c r="AD3" s="2387"/>
      <c r="AE3" s="2387"/>
      <c r="AF3" s="2387"/>
      <c r="AG3" s="2387"/>
      <c r="AH3" s="2387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AI3" s="2387"/>
      <c r="AJ3" s="2387"/>
      <c r="AK3" s="2387"/>
      <c r="AL3" s="2387"/>
      <c r="AM3" s="2387"/>
      <c r="AN3" s="2387"/>
      <c r="AO3" s="2387"/>
      <c r="AP3" s="2387"/>
      <c r="AQ3" s="2387"/>
      <c r="AR3" s="2387"/>
      <c r="AS3" s="2387"/>
      <c r="AT3" s="2387"/>
      <c r="AU3" s="2387"/>
      <c r="AV3" s="2387"/>
      <c r="AW3" s="2387"/>
      <c r="AX3" s="2387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Y3" s="2387"/>
      <c r="AZ3" s="2387"/>
      <c r="BA3" s="2387"/>
      <c r="BB3" s="2387"/>
      <c r="BC3" s="2387"/>
      <c r="BD3" s="2387"/>
      <c r="BE3" s="2387"/>
      <c r="BF3" s="2387"/>
      <c r="BG3" s="2387"/>
      <c r="BH3" s="2387"/>
      <c r="BI3" s="2387"/>
      <c r="BJ3" s="2387"/>
      <c r="BK3" s="2387"/>
      <c r="BL3" s="2387"/>
      <c r="BM3" s="2387"/>
      <c r="BN3" s="2387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BO3" s="2387"/>
      <c r="BP3" s="2387"/>
      <c r="BQ3" s="2387"/>
      <c r="BR3" s="2387"/>
      <c r="BS3" s="2387"/>
      <c r="BT3" s="2387"/>
      <c r="BU3" s="2387"/>
      <c r="BV3" s="2387"/>
      <c r="BW3" s="2387"/>
      <c r="BX3" s="2387"/>
      <c r="BY3" s="2387"/>
      <c r="BZ3" s="2387"/>
      <c r="CA3" s="2387"/>
      <c r="CB3" s="2387"/>
      <c r="CC3" s="2387"/>
      <c r="CD3" s="2387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O</v>
      </c>
      <c r="CE3" s="2387"/>
      <c r="CF3" s="2387"/>
      <c r="CG3" s="2387"/>
      <c r="CH3" s="2387"/>
      <c r="CI3" s="2387"/>
      <c r="CJ3" s="2387"/>
      <c r="CK3" s="2387"/>
      <c r="CL3" s="2387"/>
      <c r="CM3" s="2387"/>
      <c r="CN3" s="2387"/>
      <c r="CO3" s="2387"/>
      <c r="CP3" s="2387"/>
      <c r="CQ3" s="2387"/>
      <c r="CR3" s="2387"/>
      <c r="CS3" s="2387"/>
      <c r="CT3" s="2387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O</v>
      </c>
      <c r="CU3" s="2387"/>
      <c r="CV3" s="2387"/>
      <c r="CW3" s="2387"/>
      <c r="CX3" s="2387"/>
      <c r="CY3" s="2387"/>
      <c r="CZ3" s="2387"/>
      <c r="DA3" s="2387"/>
      <c r="DB3" s="2387"/>
      <c r="DC3" s="2387"/>
      <c r="DD3" s="2387"/>
      <c r="DE3" s="2387"/>
      <c r="DF3" s="2387"/>
      <c r="DG3" s="2387"/>
      <c r="DH3" s="2387"/>
      <c r="DI3" s="2387"/>
      <c r="DJ3" s="2387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O</v>
      </c>
      <c r="DK3" s="2387"/>
      <c r="DL3" s="2387"/>
      <c r="DM3" s="2387"/>
      <c r="DN3" s="2387"/>
      <c r="DO3" s="2387"/>
      <c r="DP3" s="2387"/>
      <c r="DQ3" s="2387"/>
      <c r="DR3" s="2387"/>
      <c r="DS3" s="2387"/>
      <c r="DT3" s="2387"/>
      <c r="DU3" s="2387"/>
      <c r="DV3" s="2387"/>
      <c r="DW3" s="2387"/>
      <c r="DX3" s="2387"/>
      <c r="DY3" s="2387"/>
      <c r="DZ3" s="2387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7"/>
      <c r="EB3" s="2387"/>
      <c r="EC3" s="2387"/>
      <c r="ED3" s="2387"/>
      <c r="EE3" s="2387"/>
      <c r="EF3" s="2387"/>
      <c r="EG3" s="2387"/>
      <c r="EH3" s="2387"/>
      <c r="EI3" s="2387"/>
      <c r="EJ3" s="2387"/>
      <c r="EK3" s="2387"/>
      <c r="EL3" s="2387"/>
      <c r="EM3" s="2387"/>
      <c r="EN3" s="2387"/>
      <c r="EO3" s="2387"/>
      <c r="EP3" s="2387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EQ3" s="2387"/>
      <c r="ER3" s="2387"/>
      <c r="ES3" s="2387"/>
      <c r="ET3" s="2387"/>
      <c r="EU3" s="2387"/>
      <c r="EV3" s="2387"/>
      <c r="EW3" s="2387"/>
      <c r="EX3" s="2387"/>
      <c r="EY3" s="2387"/>
      <c r="EZ3" s="2387"/>
      <c r="FA3" s="2387"/>
      <c r="FB3" s="2387"/>
      <c r="FC3" s="2387"/>
      <c r="FD3" s="2387"/>
      <c r="FE3" s="2387"/>
      <c r="FF3" s="2387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FG3" s="2387"/>
      <c r="FH3" s="2387"/>
      <c r="FI3" s="2387"/>
      <c r="FJ3" s="2387"/>
      <c r="FK3" s="2387"/>
      <c r="FL3" s="2387"/>
      <c r="FM3" s="2387"/>
      <c r="FN3" s="2387"/>
      <c r="FO3" s="2387"/>
      <c r="FP3" s="2387"/>
      <c r="FQ3" s="2387"/>
      <c r="FR3" s="2387"/>
      <c r="FS3" s="2387"/>
      <c r="FT3" s="2387"/>
      <c r="FU3" s="2387"/>
      <c r="FV3" s="1160"/>
      <c r="FW3" s="1160"/>
      <c r="FX3" s="1160"/>
      <c r="FY3" s="1160"/>
      <c r="FZ3" s="1160"/>
      <c r="GA3" s="1160"/>
      <c r="GB3" s="1160"/>
      <c r="GC3" s="1160"/>
      <c r="GD3" s="1160"/>
      <c r="GE3" s="1160"/>
      <c r="GF3" s="1160"/>
      <c r="GG3" s="1160"/>
      <c r="HO3" s="10"/>
    </row>
    <row r="4" spans="1:223" ht="44.25" customHeight="1" x14ac:dyDescent="0.25">
      <c r="A4" s="338">
        <v>2</v>
      </c>
      <c r="B4" s="2387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4" s="2387"/>
      <c r="D4" s="2387"/>
      <c r="E4" s="2387"/>
      <c r="F4" s="2387"/>
      <c r="G4" s="2387"/>
      <c r="H4" s="2387"/>
      <c r="I4" s="2387"/>
      <c r="J4" s="2387"/>
      <c r="K4" s="2387"/>
      <c r="L4" s="2387"/>
      <c r="M4" s="2387"/>
      <c r="N4" s="2387"/>
      <c r="O4" s="2387"/>
      <c r="P4" s="2387"/>
      <c r="Q4" s="2387"/>
      <c r="R4" s="2387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S4" s="2387"/>
      <c r="T4" s="2387"/>
      <c r="U4" s="2387"/>
      <c r="V4" s="2387"/>
      <c r="W4" s="2387"/>
      <c r="X4" s="2387"/>
      <c r="Y4" s="2387"/>
      <c r="Z4" s="2387"/>
      <c r="AA4" s="2387"/>
      <c r="AB4" s="2387"/>
      <c r="AC4" s="2387"/>
      <c r="AD4" s="2387"/>
      <c r="AE4" s="2387"/>
      <c r="AF4" s="2387"/>
      <c r="AG4" s="2387"/>
      <c r="AH4" s="2387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O</v>
      </c>
      <c r="AI4" s="2387"/>
      <c r="AJ4" s="2387"/>
      <c r="AK4" s="2387"/>
      <c r="AL4" s="2387"/>
      <c r="AM4" s="2387"/>
      <c r="AN4" s="2387"/>
      <c r="AO4" s="2387"/>
      <c r="AP4" s="2387"/>
      <c r="AQ4" s="2387"/>
      <c r="AR4" s="2387"/>
      <c r="AS4" s="2387"/>
      <c r="AT4" s="2387"/>
      <c r="AU4" s="2387"/>
      <c r="AV4" s="2387"/>
      <c r="AW4" s="2387"/>
      <c r="AX4" s="2387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O</v>
      </c>
      <c r="AY4" s="2387"/>
      <c r="AZ4" s="2387"/>
      <c r="BA4" s="2387"/>
      <c r="BB4" s="2387"/>
      <c r="BC4" s="2387"/>
      <c r="BD4" s="2387"/>
      <c r="BE4" s="2387"/>
      <c r="BF4" s="2387"/>
      <c r="BG4" s="2387"/>
      <c r="BH4" s="2387"/>
      <c r="BI4" s="2387"/>
      <c r="BJ4" s="2387"/>
      <c r="BK4" s="2387"/>
      <c r="BL4" s="2387"/>
      <c r="BM4" s="2387"/>
      <c r="BN4" s="2387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O</v>
      </c>
      <c r="BO4" s="2387"/>
      <c r="BP4" s="2387"/>
      <c r="BQ4" s="2387"/>
      <c r="BR4" s="2387"/>
      <c r="BS4" s="2387"/>
      <c r="BT4" s="2387"/>
      <c r="BU4" s="2387"/>
      <c r="BV4" s="2387"/>
      <c r="BW4" s="2387"/>
      <c r="BX4" s="2387"/>
      <c r="BY4" s="2387"/>
      <c r="BZ4" s="2387"/>
      <c r="CA4" s="2387"/>
      <c r="CB4" s="2387"/>
      <c r="CC4" s="2387"/>
      <c r="CD4" s="2387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7"/>
      <c r="CF4" s="2387"/>
      <c r="CG4" s="2387"/>
      <c r="CH4" s="2387"/>
      <c r="CI4" s="2387"/>
      <c r="CJ4" s="2387"/>
      <c r="CK4" s="2387"/>
      <c r="CL4" s="2387"/>
      <c r="CM4" s="2387"/>
      <c r="CN4" s="2387"/>
      <c r="CO4" s="2387"/>
      <c r="CP4" s="2387"/>
      <c r="CQ4" s="2387"/>
      <c r="CR4" s="2387"/>
      <c r="CS4" s="2387"/>
      <c r="CT4" s="2387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7"/>
      <c r="CV4" s="2387"/>
      <c r="CW4" s="2387"/>
      <c r="CX4" s="2387"/>
      <c r="CY4" s="2387"/>
      <c r="CZ4" s="2387"/>
      <c r="DA4" s="2387"/>
      <c r="DB4" s="2387"/>
      <c r="DC4" s="2387"/>
      <c r="DD4" s="2387"/>
      <c r="DE4" s="2387"/>
      <c r="DF4" s="2387"/>
      <c r="DG4" s="2387"/>
      <c r="DH4" s="2387"/>
      <c r="DI4" s="2387"/>
      <c r="DJ4" s="2387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7"/>
      <c r="DL4" s="2387"/>
      <c r="DM4" s="2387"/>
      <c r="DN4" s="2387"/>
      <c r="DO4" s="2387"/>
      <c r="DP4" s="2387"/>
      <c r="DQ4" s="2387"/>
      <c r="DR4" s="2387"/>
      <c r="DS4" s="2387"/>
      <c r="DT4" s="2387"/>
      <c r="DU4" s="2387"/>
      <c r="DV4" s="2387"/>
      <c r="DW4" s="2387"/>
      <c r="DX4" s="2387"/>
      <c r="DY4" s="2387"/>
      <c r="DZ4" s="2387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7"/>
      <c r="EB4" s="2387"/>
      <c r="EC4" s="2387"/>
      <c r="ED4" s="2387"/>
      <c r="EE4" s="2387"/>
      <c r="EF4" s="2387"/>
      <c r="EG4" s="2387"/>
      <c r="EH4" s="2387"/>
      <c r="EI4" s="2387"/>
      <c r="EJ4" s="2387"/>
      <c r="EK4" s="2387"/>
      <c r="EL4" s="2387"/>
      <c r="EM4" s="2387"/>
      <c r="EN4" s="2387"/>
      <c r="EO4" s="2387"/>
      <c r="EP4" s="2387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EQ4" s="2387"/>
      <c r="ER4" s="2387"/>
      <c r="ES4" s="2387"/>
      <c r="ET4" s="2387"/>
      <c r="EU4" s="2387"/>
      <c r="EV4" s="2387"/>
      <c r="EW4" s="2387"/>
      <c r="EX4" s="2387"/>
      <c r="EY4" s="2387"/>
      <c r="EZ4" s="2387"/>
      <c r="FA4" s="2387"/>
      <c r="FB4" s="2387"/>
      <c r="FC4" s="2387"/>
      <c r="FD4" s="2387"/>
      <c r="FE4" s="2387"/>
      <c r="FF4" s="2387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FG4" s="2387"/>
      <c r="FH4" s="2387"/>
      <c r="FI4" s="2387"/>
      <c r="FJ4" s="2387"/>
      <c r="FK4" s="2387"/>
      <c r="FL4" s="2387"/>
      <c r="FM4" s="2387"/>
      <c r="FN4" s="2387"/>
      <c r="FO4" s="2387"/>
      <c r="FP4" s="2387"/>
      <c r="FQ4" s="2387"/>
      <c r="FR4" s="2387"/>
      <c r="FS4" s="2387"/>
      <c r="FT4" s="2387"/>
      <c r="FU4" s="2387"/>
      <c r="FV4" s="1160"/>
      <c r="FW4" s="1160"/>
      <c r="FX4" s="1160"/>
      <c r="FY4" s="1160"/>
      <c r="FZ4" s="1160"/>
      <c r="GA4" s="1160"/>
      <c r="GB4" s="1160"/>
      <c r="GC4" s="1160"/>
      <c r="GD4" s="1160"/>
      <c r="GE4" s="1160"/>
      <c r="GF4" s="1160"/>
      <c r="GG4" s="1160"/>
    </row>
    <row r="5" spans="1:223" ht="44.25" customHeight="1" x14ac:dyDescent="0.25">
      <c r="A5" s="338">
        <v>3</v>
      </c>
      <c r="B5" s="2387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5" s="2387"/>
      <c r="D5" s="2387"/>
      <c r="E5" s="2387"/>
      <c r="F5" s="2387"/>
      <c r="G5" s="2387"/>
      <c r="H5" s="2387"/>
      <c r="I5" s="2387"/>
      <c r="J5" s="2387"/>
      <c r="K5" s="2387"/>
      <c r="L5" s="2387"/>
      <c r="M5" s="2387"/>
      <c r="N5" s="2387"/>
      <c r="O5" s="2387"/>
      <c r="P5" s="2387"/>
      <c r="Q5" s="2387"/>
      <c r="R5" s="2387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O</v>
      </c>
      <c r="S5" s="2387"/>
      <c r="T5" s="2387"/>
      <c r="U5" s="2387"/>
      <c r="V5" s="2387"/>
      <c r="W5" s="2387"/>
      <c r="X5" s="2387"/>
      <c r="Y5" s="2387"/>
      <c r="Z5" s="2387"/>
      <c r="AA5" s="2387"/>
      <c r="AB5" s="2387"/>
      <c r="AC5" s="2387"/>
      <c r="AD5" s="2387"/>
      <c r="AE5" s="2387"/>
      <c r="AF5" s="2387"/>
      <c r="AG5" s="2387"/>
      <c r="AH5" s="2387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AI5" s="2387"/>
      <c r="AJ5" s="2387"/>
      <c r="AK5" s="2387"/>
      <c r="AL5" s="2387"/>
      <c r="AM5" s="2387"/>
      <c r="AN5" s="2387"/>
      <c r="AO5" s="2387"/>
      <c r="AP5" s="2387"/>
      <c r="AQ5" s="2387"/>
      <c r="AR5" s="2387"/>
      <c r="AS5" s="2387"/>
      <c r="AT5" s="2387"/>
      <c r="AU5" s="2387"/>
      <c r="AV5" s="2387"/>
      <c r="AW5" s="2387"/>
      <c r="AX5" s="2387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AY5" s="2387"/>
      <c r="AZ5" s="2387"/>
      <c r="BA5" s="2387"/>
      <c r="BB5" s="2387"/>
      <c r="BC5" s="2387"/>
      <c r="BD5" s="2387"/>
      <c r="BE5" s="2387"/>
      <c r="BF5" s="2387"/>
      <c r="BG5" s="2387"/>
      <c r="BH5" s="2387"/>
      <c r="BI5" s="2387"/>
      <c r="BJ5" s="2387"/>
      <c r="BK5" s="2387"/>
      <c r="BL5" s="2387"/>
      <c r="BM5" s="2387"/>
      <c r="BN5" s="2387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O</v>
      </c>
      <c r="BO5" s="2387"/>
      <c r="BP5" s="2387"/>
      <c r="BQ5" s="2387"/>
      <c r="BR5" s="2387"/>
      <c r="BS5" s="2387"/>
      <c r="BT5" s="2387"/>
      <c r="BU5" s="2387"/>
      <c r="BV5" s="2387"/>
      <c r="BW5" s="2387"/>
      <c r="BX5" s="2387"/>
      <c r="BY5" s="2387"/>
      <c r="BZ5" s="2387"/>
      <c r="CA5" s="2387"/>
      <c r="CB5" s="2387"/>
      <c r="CC5" s="2387"/>
      <c r="CD5" s="2387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O</v>
      </c>
      <c r="CE5" s="2387"/>
      <c r="CF5" s="2387"/>
      <c r="CG5" s="2387"/>
      <c r="CH5" s="2387"/>
      <c r="CI5" s="2387"/>
      <c r="CJ5" s="2387"/>
      <c r="CK5" s="2387"/>
      <c r="CL5" s="2387"/>
      <c r="CM5" s="2387"/>
      <c r="CN5" s="2387"/>
      <c r="CO5" s="2387"/>
      <c r="CP5" s="2387"/>
      <c r="CQ5" s="2387"/>
      <c r="CR5" s="2387"/>
      <c r="CS5" s="2387"/>
      <c r="CT5" s="2387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O</v>
      </c>
      <c r="CU5" s="2387"/>
      <c r="CV5" s="2387"/>
      <c r="CW5" s="2387"/>
      <c r="CX5" s="2387"/>
      <c r="CY5" s="2387"/>
      <c r="CZ5" s="2387"/>
      <c r="DA5" s="2387"/>
      <c r="DB5" s="2387"/>
      <c r="DC5" s="2387"/>
      <c r="DD5" s="2387"/>
      <c r="DE5" s="2387"/>
      <c r="DF5" s="2387"/>
      <c r="DG5" s="2387"/>
      <c r="DH5" s="2387"/>
      <c r="DI5" s="2387"/>
      <c r="DJ5" s="2387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7"/>
      <c r="DL5" s="2387"/>
      <c r="DM5" s="2387"/>
      <c r="DN5" s="2387"/>
      <c r="DO5" s="2387"/>
      <c r="DP5" s="2387"/>
      <c r="DQ5" s="2387"/>
      <c r="DR5" s="2387"/>
      <c r="DS5" s="2387"/>
      <c r="DT5" s="2387"/>
      <c r="DU5" s="2387"/>
      <c r="DV5" s="2387"/>
      <c r="DW5" s="2387"/>
      <c r="DX5" s="2387"/>
      <c r="DY5" s="2387"/>
      <c r="DZ5" s="2387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7"/>
      <c r="EB5" s="2387"/>
      <c r="EC5" s="2387"/>
      <c r="ED5" s="2387"/>
      <c r="EE5" s="2387"/>
      <c r="EF5" s="2387"/>
      <c r="EG5" s="2387"/>
      <c r="EH5" s="2387"/>
      <c r="EI5" s="2387"/>
      <c r="EJ5" s="2387"/>
      <c r="EK5" s="2387"/>
      <c r="EL5" s="2387"/>
      <c r="EM5" s="2387"/>
      <c r="EN5" s="2387"/>
      <c r="EO5" s="2387"/>
      <c r="EP5" s="2387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EQ5" s="2387"/>
      <c r="ER5" s="2387"/>
      <c r="ES5" s="2387"/>
      <c r="ET5" s="2387"/>
      <c r="EU5" s="2387"/>
      <c r="EV5" s="2387"/>
      <c r="EW5" s="2387"/>
      <c r="EX5" s="2387"/>
      <c r="EY5" s="2387"/>
      <c r="EZ5" s="2387"/>
      <c r="FA5" s="2387"/>
      <c r="FB5" s="2387"/>
      <c r="FC5" s="2387"/>
      <c r="FD5" s="2387"/>
      <c r="FE5" s="2387"/>
      <c r="FF5" s="2387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FG5" s="2387"/>
      <c r="FH5" s="2387"/>
      <c r="FI5" s="2387"/>
      <c r="FJ5" s="2387"/>
      <c r="FK5" s="2387"/>
      <c r="FL5" s="2387"/>
      <c r="FM5" s="2387"/>
      <c r="FN5" s="2387"/>
      <c r="FO5" s="2387"/>
      <c r="FP5" s="2387"/>
      <c r="FQ5" s="2387"/>
      <c r="FR5" s="2387"/>
      <c r="FS5" s="2387"/>
      <c r="FT5" s="2387"/>
      <c r="FU5" s="2387"/>
      <c r="FV5" s="1160"/>
      <c r="FW5" s="1160"/>
      <c r="FX5" s="1160"/>
      <c r="FY5" s="1160"/>
      <c r="FZ5" s="1160"/>
      <c r="GA5" s="1160"/>
      <c r="GB5" s="1160"/>
      <c r="GC5" s="1160"/>
      <c r="GD5" s="1160"/>
      <c r="GE5" s="1160"/>
      <c r="GF5" s="1160"/>
      <c r="GG5" s="1160"/>
    </row>
    <row r="6" spans="1:223" ht="44.25" customHeight="1" x14ac:dyDescent="0.25">
      <c r="A6" s="338">
        <v>4</v>
      </c>
      <c r="B6" s="2387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6" s="2387"/>
      <c r="D6" s="2387"/>
      <c r="E6" s="2387"/>
      <c r="F6" s="2387"/>
      <c r="G6" s="2387"/>
      <c r="H6" s="2387"/>
      <c r="I6" s="2387"/>
      <c r="J6" s="2387"/>
      <c r="K6" s="2387"/>
      <c r="L6" s="2387"/>
      <c r="M6" s="2387"/>
      <c r="N6" s="2387"/>
      <c r="O6" s="2387"/>
      <c r="P6" s="2387"/>
      <c r="Q6" s="2387"/>
      <c r="R6" s="2387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S6" s="2387"/>
      <c r="T6" s="2387"/>
      <c r="U6" s="2387"/>
      <c r="V6" s="2387"/>
      <c r="W6" s="2387"/>
      <c r="X6" s="2387"/>
      <c r="Y6" s="2387"/>
      <c r="Z6" s="2387"/>
      <c r="AA6" s="2387"/>
      <c r="AB6" s="2387"/>
      <c r="AC6" s="2387"/>
      <c r="AD6" s="2387"/>
      <c r="AE6" s="2387"/>
      <c r="AF6" s="2387"/>
      <c r="AG6" s="2387"/>
      <c r="AH6" s="2387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O</v>
      </c>
      <c r="AI6" s="2387"/>
      <c r="AJ6" s="2387"/>
      <c r="AK6" s="2387"/>
      <c r="AL6" s="2387"/>
      <c r="AM6" s="2387"/>
      <c r="AN6" s="2387"/>
      <c r="AO6" s="2387"/>
      <c r="AP6" s="2387"/>
      <c r="AQ6" s="2387"/>
      <c r="AR6" s="2387"/>
      <c r="AS6" s="2387"/>
      <c r="AT6" s="2387"/>
      <c r="AU6" s="2387"/>
      <c r="AV6" s="2387"/>
      <c r="AW6" s="2387"/>
      <c r="AX6" s="2387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S</v>
      </c>
      <c r="AY6" s="2387"/>
      <c r="AZ6" s="2387"/>
      <c r="BA6" s="2387"/>
      <c r="BB6" s="2387"/>
      <c r="BC6" s="2387"/>
      <c r="BD6" s="2387"/>
      <c r="BE6" s="2387"/>
      <c r="BF6" s="2387"/>
      <c r="BG6" s="2387"/>
      <c r="BH6" s="2387"/>
      <c r="BI6" s="2387"/>
      <c r="BJ6" s="2387"/>
      <c r="BK6" s="2387"/>
      <c r="BL6" s="2387"/>
      <c r="BM6" s="2387"/>
      <c r="BN6" s="2387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O</v>
      </c>
      <c r="BO6" s="2387"/>
      <c r="BP6" s="2387"/>
      <c r="BQ6" s="2387"/>
      <c r="BR6" s="2387"/>
      <c r="BS6" s="2387"/>
      <c r="BT6" s="2387"/>
      <c r="BU6" s="2387"/>
      <c r="BV6" s="2387"/>
      <c r="BW6" s="2387"/>
      <c r="BX6" s="2387"/>
      <c r="BY6" s="2387"/>
      <c r="BZ6" s="2387"/>
      <c r="CA6" s="2387"/>
      <c r="CB6" s="2387"/>
      <c r="CC6" s="2387"/>
      <c r="CD6" s="2387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O</v>
      </c>
      <c r="CE6" s="2387"/>
      <c r="CF6" s="2387"/>
      <c r="CG6" s="2387"/>
      <c r="CH6" s="2387"/>
      <c r="CI6" s="2387"/>
      <c r="CJ6" s="2387"/>
      <c r="CK6" s="2387"/>
      <c r="CL6" s="2387"/>
      <c r="CM6" s="2387"/>
      <c r="CN6" s="2387"/>
      <c r="CO6" s="2387"/>
      <c r="CP6" s="2387"/>
      <c r="CQ6" s="2387"/>
      <c r="CR6" s="2387"/>
      <c r="CS6" s="2387"/>
      <c r="CT6" s="2387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O</v>
      </c>
      <c r="CU6" s="2387"/>
      <c r="CV6" s="2387"/>
      <c r="CW6" s="2387"/>
      <c r="CX6" s="2387"/>
      <c r="CY6" s="2387"/>
      <c r="CZ6" s="2387"/>
      <c r="DA6" s="2387"/>
      <c r="DB6" s="2387"/>
      <c r="DC6" s="2387"/>
      <c r="DD6" s="2387"/>
      <c r="DE6" s="2387"/>
      <c r="DF6" s="2387"/>
      <c r="DG6" s="2387"/>
      <c r="DH6" s="2387"/>
      <c r="DI6" s="2387"/>
      <c r="DJ6" s="2387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O</v>
      </c>
      <c r="DK6" s="2387"/>
      <c r="DL6" s="2387"/>
      <c r="DM6" s="2387"/>
      <c r="DN6" s="2387"/>
      <c r="DO6" s="2387"/>
      <c r="DP6" s="2387"/>
      <c r="DQ6" s="2387"/>
      <c r="DR6" s="2387"/>
      <c r="DS6" s="2387"/>
      <c r="DT6" s="2387"/>
      <c r="DU6" s="2387"/>
      <c r="DV6" s="2387"/>
      <c r="DW6" s="2387"/>
      <c r="DX6" s="2387"/>
      <c r="DY6" s="2387"/>
      <c r="DZ6" s="2387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7"/>
      <c r="EB6" s="2387"/>
      <c r="EC6" s="2387"/>
      <c r="ED6" s="2387"/>
      <c r="EE6" s="2387"/>
      <c r="EF6" s="2387"/>
      <c r="EG6" s="2387"/>
      <c r="EH6" s="2387"/>
      <c r="EI6" s="2387"/>
      <c r="EJ6" s="2387"/>
      <c r="EK6" s="2387"/>
      <c r="EL6" s="2387"/>
      <c r="EM6" s="2387"/>
      <c r="EN6" s="2387"/>
      <c r="EO6" s="2387"/>
      <c r="EP6" s="2387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EQ6" s="2387"/>
      <c r="ER6" s="2387"/>
      <c r="ES6" s="2387"/>
      <c r="ET6" s="2387"/>
      <c r="EU6" s="2387"/>
      <c r="EV6" s="2387"/>
      <c r="EW6" s="2387"/>
      <c r="EX6" s="2387"/>
      <c r="EY6" s="2387"/>
      <c r="EZ6" s="2387"/>
      <c r="FA6" s="2387"/>
      <c r="FB6" s="2387"/>
      <c r="FC6" s="2387"/>
      <c r="FD6" s="2387"/>
      <c r="FE6" s="2387"/>
      <c r="FF6" s="2387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FG6" s="2387"/>
      <c r="FH6" s="2387"/>
      <c r="FI6" s="2387"/>
      <c r="FJ6" s="2387"/>
      <c r="FK6" s="2387"/>
      <c r="FL6" s="2387"/>
      <c r="FM6" s="2387"/>
      <c r="FN6" s="2387"/>
      <c r="FO6" s="2387"/>
      <c r="FP6" s="2387"/>
      <c r="FQ6" s="2387"/>
      <c r="FR6" s="2387"/>
      <c r="FS6" s="2387"/>
      <c r="FT6" s="2387"/>
      <c r="FU6" s="2387"/>
      <c r="FV6" s="1160"/>
      <c r="FW6" s="1160"/>
      <c r="FX6" s="1160"/>
      <c r="FY6" s="1160"/>
      <c r="FZ6" s="1160"/>
      <c r="GA6" s="1160"/>
      <c r="GB6" s="1160"/>
      <c r="GC6" s="1160"/>
      <c r="GD6" s="1160"/>
      <c r="GE6" s="1160"/>
      <c r="GF6" s="1160"/>
      <c r="GG6" s="1160"/>
    </row>
    <row r="7" spans="1:223" ht="44.25" customHeight="1" x14ac:dyDescent="0.25">
      <c r="A7" s="338">
        <v>5</v>
      </c>
      <c r="B7" s="2387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7" s="2387"/>
      <c r="D7" s="2387"/>
      <c r="E7" s="2387"/>
      <c r="F7" s="2387"/>
      <c r="G7" s="2387"/>
      <c r="H7" s="2387"/>
      <c r="I7" s="2387"/>
      <c r="J7" s="2387"/>
      <c r="K7" s="2387"/>
      <c r="L7" s="2387"/>
      <c r="M7" s="2387"/>
      <c r="N7" s="2387"/>
      <c r="O7" s="2387"/>
      <c r="P7" s="2387"/>
      <c r="Q7" s="2387"/>
      <c r="R7" s="2387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7"/>
      <c r="T7" s="2387"/>
      <c r="U7" s="2387"/>
      <c r="V7" s="2387"/>
      <c r="W7" s="2387"/>
      <c r="X7" s="2387"/>
      <c r="Y7" s="2387"/>
      <c r="Z7" s="2387"/>
      <c r="AA7" s="2387"/>
      <c r="AB7" s="2387"/>
      <c r="AC7" s="2387"/>
      <c r="AD7" s="2387"/>
      <c r="AE7" s="2387"/>
      <c r="AF7" s="2387"/>
      <c r="AG7" s="2387"/>
      <c r="AH7" s="2387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O</v>
      </c>
      <c r="AI7" s="2387"/>
      <c r="AJ7" s="2387"/>
      <c r="AK7" s="2387"/>
      <c r="AL7" s="2387"/>
      <c r="AM7" s="2387"/>
      <c r="AN7" s="2387"/>
      <c r="AO7" s="2387"/>
      <c r="AP7" s="2387"/>
      <c r="AQ7" s="2387"/>
      <c r="AR7" s="2387"/>
      <c r="AS7" s="2387"/>
      <c r="AT7" s="2387"/>
      <c r="AU7" s="2387"/>
      <c r="AV7" s="2387"/>
      <c r="AW7" s="2387"/>
      <c r="AX7" s="2387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O</v>
      </c>
      <c r="AY7" s="2387"/>
      <c r="AZ7" s="2387"/>
      <c r="BA7" s="2387"/>
      <c r="BB7" s="2387"/>
      <c r="BC7" s="2387"/>
      <c r="BD7" s="2387"/>
      <c r="BE7" s="2387"/>
      <c r="BF7" s="2387"/>
      <c r="BG7" s="2387"/>
      <c r="BH7" s="2387"/>
      <c r="BI7" s="2387"/>
      <c r="BJ7" s="2387"/>
      <c r="BK7" s="2387"/>
      <c r="BL7" s="2387"/>
      <c r="BM7" s="2387"/>
      <c r="BN7" s="2387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O</v>
      </c>
      <c r="BO7" s="2387"/>
      <c r="BP7" s="2387"/>
      <c r="BQ7" s="2387"/>
      <c r="BR7" s="2387"/>
      <c r="BS7" s="2387"/>
      <c r="BT7" s="2387"/>
      <c r="BU7" s="2387"/>
      <c r="BV7" s="2387"/>
      <c r="BW7" s="2387"/>
      <c r="BX7" s="2387"/>
      <c r="BY7" s="2387"/>
      <c r="BZ7" s="2387"/>
      <c r="CA7" s="2387"/>
      <c r="CB7" s="2387"/>
      <c r="CC7" s="2387"/>
      <c r="CD7" s="2387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CE7" s="2387"/>
      <c r="CF7" s="2387"/>
      <c r="CG7" s="2387"/>
      <c r="CH7" s="2387"/>
      <c r="CI7" s="2387"/>
      <c r="CJ7" s="2387"/>
      <c r="CK7" s="2387"/>
      <c r="CL7" s="2387"/>
      <c r="CM7" s="2387"/>
      <c r="CN7" s="2387"/>
      <c r="CO7" s="2387"/>
      <c r="CP7" s="2387"/>
      <c r="CQ7" s="2387"/>
      <c r="CR7" s="2387"/>
      <c r="CS7" s="2387"/>
      <c r="CT7" s="2387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CU7" s="2387"/>
      <c r="CV7" s="2387"/>
      <c r="CW7" s="2387"/>
      <c r="CX7" s="2387"/>
      <c r="CY7" s="2387"/>
      <c r="CZ7" s="2387"/>
      <c r="DA7" s="2387"/>
      <c r="DB7" s="2387"/>
      <c r="DC7" s="2387"/>
      <c r="DD7" s="2387"/>
      <c r="DE7" s="2387"/>
      <c r="DF7" s="2387"/>
      <c r="DG7" s="2387"/>
      <c r="DH7" s="2387"/>
      <c r="DI7" s="2387"/>
      <c r="DJ7" s="2387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DK7" s="2387"/>
      <c r="DL7" s="2387"/>
      <c r="DM7" s="2387"/>
      <c r="DN7" s="2387"/>
      <c r="DO7" s="2387"/>
      <c r="DP7" s="2387"/>
      <c r="DQ7" s="2387"/>
      <c r="DR7" s="2387"/>
      <c r="DS7" s="2387"/>
      <c r="DT7" s="2387"/>
      <c r="DU7" s="2387"/>
      <c r="DV7" s="2387"/>
      <c r="DW7" s="2387"/>
      <c r="DX7" s="2387"/>
      <c r="DY7" s="2387"/>
      <c r="DZ7" s="2387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7"/>
      <c r="EB7" s="2387"/>
      <c r="EC7" s="2387"/>
      <c r="ED7" s="2387"/>
      <c r="EE7" s="2387"/>
      <c r="EF7" s="2387"/>
      <c r="EG7" s="2387"/>
      <c r="EH7" s="2387"/>
      <c r="EI7" s="2387"/>
      <c r="EJ7" s="2387"/>
      <c r="EK7" s="2387"/>
      <c r="EL7" s="2387"/>
      <c r="EM7" s="2387"/>
      <c r="EN7" s="2387"/>
      <c r="EO7" s="2387"/>
      <c r="EP7" s="2387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EQ7" s="2387"/>
      <c r="ER7" s="2387"/>
      <c r="ES7" s="2387"/>
      <c r="ET7" s="2387"/>
      <c r="EU7" s="2387"/>
      <c r="EV7" s="2387"/>
      <c r="EW7" s="2387"/>
      <c r="EX7" s="2387"/>
      <c r="EY7" s="2387"/>
      <c r="EZ7" s="2387"/>
      <c r="FA7" s="2387"/>
      <c r="FB7" s="2387"/>
      <c r="FC7" s="2387"/>
      <c r="FD7" s="2387"/>
      <c r="FE7" s="2387"/>
      <c r="FF7" s="2387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FG7" s="2387"/>
      <c r="FH7" s="2387"/>
      <c r="FI7" s="2387"/>
      <c r="FJ7" s="2387"/>
      <c r="FK7" s="2387"/>
      <c r="FL7" s="2387"/>
      <c r="FM7" s="2387"/>
      <c r="FN7" s="2387"/>
      <c r="FO7" s="2387"/>
      <c r="FP7" s="2387"/>
      <c r="FQ7" s="2387"/>
      <c r="FR7" s="2387"/>
      <c r="FS7" s="2387"/>
      <c r="FT7" s="2387"/>
      <c r="FU7" s="2387"/>
      <c r="FV7" s="1160"/>
      <c r="FW7" s="1160"/>
      <c r="FX7" s="1160"/>
      <c r="FY7" s="1160"/>
      <c r="FZ7" s="1160"/>
      <c r="GA7" s="1160"/>
      <c r="GB7" s="1160"/>
      <c r="GC7" s="1160"/>
      <c r="GD7" s="1160"/>
      <c r="GE7" s="1160"/>
      <c r="GF7" s="1160"/>
      <c r="GG7" s="1160"/>
    </row>
    <row r="8" spans="1:223" ht="44.25" customHeight="1" x14ac:dyDescent="0.25">
      <c r="A8" s="338">
        <v>6</v>
      </c>
      <c r="B8" s="2387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8" s="2387"/>
      <c r="D8" s="2387"/>
      <c r="E8" s="2387"/>
      <c r="F8" s="2387"/>
      <c r="G8" s="2387"/>
      <c r="H8" s="2387"/>
      <c r="I8" s="2387"/>
      <c r="J8" s="2387"/>
      <c r="K8" s="2387"/>
      <c r="L8" s="2387"/>
      <c r="M8" s="2387"/>
      <c r="N8" s="2387"/>
      <c r="O8" s="2387"/>
      <c r="P8" s="2387"/>
      <c r="Q8" s="2387"/>
      <c r="R8" s="2387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S8" s="2387"/>
      <c r="T8" s="2387"/>
      <c r="U8" s="2387"/>
      <c r="V8" s="2387"/>
      <c r="W8" s="2387"/>
      <c r="X8" s="2387"/>
      <c r="Y8" s="2387"/>
      <c r="Z8" s="2387"/>
      <c r="AA8" s="2387"/>
      <c r="AB8" s="2387"/>
      <c r="AC8" s="2387"/>
      <c r="AD8" s="2387"/>
      <c r="AE8" s="2387"/>
      <c r="AF8" s="2387"/>
      <c r="AG8" s="2387"/>
      <c r="AH8" s="2387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AI8" s="2387"/>
      <c r="AJ8" s="2387"/>
      <c r="AK8" s="2387"/>
      <c r="AL8" s="2387"/>
      <c r="AM8" s="2387"/>
      <c r="AN8" s="2387"/>
      <c r="AO8" s="2387"/>
      <c r="AP8" s="2387"/>
      <c r="AQ8" s="2387"/>
      <c r="AR8" s="2387"/>
      <c r="AS8" s="2387"/>
      <c r="AT8" s="2387"/>
      <c r="AU8" s="2387"/>
      <c r="AV8" s="2387"/>
      <c r="AW8" s="2387"/>
      <c r="AX8" s="2387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Y8" s="2387"/>
      <c r="AZ8" s="2387"/>
      <c r="BA8" s="2387"/>
      <c r="BB8" s="2387"/>
      <c r="BC8" s="2387"/>
      <c r="BD8" s="2387"/>
      <c r="BE8" s="2387"/>
      <c r="BF8" s="2387"/>
      <c r="BG8" s="2387"/>
      <c r="BH8" s="2387"/>
      <c r="BI8" s="2387"/>
      <c r="BJ8" s="2387"/>
      <c r="BK8" s="2387"/>
      <c r="BL8" s="2387"/>
      <c r="BM8" s="2387"/>
      <c r="BN8" s="2387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BO8" s="2387"/>
      <c r="BP8" s="2387"/>
      <c r="BQ8" s="2387"/>
      <c r="BR8" s="2387"/>
      <c r="BS8" s="2387"/>
      <c r="BT8" s="2387"/>
      <c r="BU8" s="2387"/>
      <c r="BV8" s="2387"/>
      <c r="BW8" s="2387"/>
      <c r="BX8" s="2387"/>
      <c r="BY8" s="2387"/>
      <c r="BZ8" s="2387"/>
      <c r="CA8" s="2387"/>
      <c r="CB8" s="2387"/>
      <c r="CC8" s="2387"/>
      <c r="CD8" s="2387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7"/>
      <c r="CF8" s="2387"/>
      <c r="CG8" s="2387"/>
      <c r="CH8" s="2387"/>
      <c r="CI8" s="2387"/>
      <c r="CJ8" s="2387"/>
      <c r="CK8" s="2387"/>
      <c r="CL8" s="2387"/>
      <c r="CM8" s="2387"/>
      <c r="CN8" s="2387"/>
      <c r="CO8" s="2387"/>
      <c r="CP8" s="2387"/>
      <c r="CQ8" s="2387"/>
      <c r="CR8" s="2387"/>
      <c r="CS8" s="2387"/>
      <c r="CT8" s="2387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7"/>
      <c r="CV8" s="2387"/>
      <c r="CW8" s="2387"/>
      <c r="CX8" s="2387"/>
      <c r="CY8" s="2387"/>
      <c r="CZ8" s="2387"/>
      <c r="DA8" s="2387"/>
      <c r="DB8" s="2387"/>
      <c r="DC8" s="2387"/>
      <c r="DD8" s="2387"/>
      <c r="DE8" s="2387"/>
      <c r="DF8" s="2387"/>
      <c r="DG8" s="2387"/>
      <c r="DH8" s="2387"/>
      <c r="DI8" s="2387"/>
      <c r="DJ8" s="2387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7"/>
      <c r="DL8" s="2387"/>
      <c r="DM8" s="2387"/>
      <c r="DN8" s="2387"/>
      <c r="DO8" s="2387"/>
      <c r="DP8" s="2387"/>
      <c r="DQ8" s="2387"/>
      <c r="DR8" s="2387"/>
      <c r="DS8" s="2387"/>
      <c r="DT8" s="2387"/>
      <c r="DU8" s="2387"/>
      <c r="DV8" s="2387"/>
      <c r="DW8" s="2387"/>
      <c r="DX8" s="2387"/>
      <c r="DY8" s="2387"/>
      <c r="DZ8" s="2387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7"/>
      <c r="EB8" s="2387"/>
      <c r="EC8" s="2387"/>
      <c r="ED8" s="2387"/>
      <c r="EE8" s="2387"/>
      <c r="EF8" s="2387"/>
      <c r="EG8" s="2387"/>
      <c r="EH8" s="2387"/>
      <c r="EI8" s="2387"/>
      <c r="EJ8" s="2387"/>
      <c r="EK8" s="2387"/>
      <c r="EL8" s="2387"/>
      <c r="EM8" s="2387"/>
      <c r="EN8" s="2387"/>
      <c r="EO8" s="2387"/>
      <c r="EP8" s="2387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EQ8" s="2387"/>
      <c r="ER8" s="2387"/>
      <c r="ES8" s="2387"/>
      <c r="ET8" s="2387"/>
      <c r="EU8" s="2387"/>
      <c r="EV8" s="2387"/>
      <c r="EW8" s="2387"/>
      <c r="EX8" s="2387"/>
      <c r="EY8" s="2387"/>
      <c r="EZ8" s="2387"/>
      <c r="FA8" s="2387"/>
      <c r="FB8" s="2387"/>
      <c r="FC8" s="2387"/>
      <c r="FD8" s="2387"/>
      <c r="FE8" s="2387"/>
      <c r="FF8" s="2387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FG8" s="2387"/>
      <c r="FH8" s="2387"/>
      <c r="FI8" s="2387"/>
      <c r="FJ8" s="2387"/>
      <c r="FK8" s="2387"/>
      <c r="FL8" s="2387"/>
      <c r="FM8" s="2387"/>
      <c r="FN8" s="2387"/>
      <c r="FO8" s="2387"/>
      <c r="FP8" s="2387"/>
      <c r="FQ8" s="2387"/>
      <c r="FR8" s="2387"/>
      <c r="FS8" s="2387"/>
      <c r="FT8" s="2387"/>
      <c r="FU8" s="2387"/>
      <c r="FV8" s="1160"/>
      <c r="FW8" s="1160"/>
      <c r="FX8" s="1160"/>
      <c r="FY8" s="1160"/>
      <c r="FZ8" s="1160"/>
      <c r="GA8" s="1160"/>
      <c r="GB8" s="1160"/>
      <c r="GC8" s="1160"/>
      <c r="GD8" s="1160"/>
      <c r="GE8" s="1160"/>
      <c r="GF8" s="1160"/>
      <c r="GG8" s="1160"/>
    </row>
    <row r="9" spans="1:223" ht="44.25" customHeight="1" x14ac:dyDescent="0.25">
      <c r="A9" s="338">
        <v>7</v>
      </c>
      <c r="B9" s="2387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7"/>
      <c r="D9" s="2387"/>
      <c r="E9" s="2387"/>
      <c r="F9" s="2387"/>
      <c r="G9" s="2387"/>
      <c r="H9" s="2387"/>
      <c r="I9" s="2387"/>
      <c r="J9" s="2387"/>
      <c r="K9" s="2387"/>
      <c r="L9" s="2387"/>
      <c r="M9" s="2387"/>
      <c r="N9" s="2387"/>
      <c r="O9" s="2387"/>
      <c r="P9" s="2387"/>
      <c r="Q9" s="2387"/>
      <c r="R9" s="2387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7"/>
      <c r="T9" s="2387"/>
      <c r="U9" s="2387"/>
      <c r="V9" s="2387"/>
      <c r="W9" s="2387"/>
      <c r="X9" s="2387"/>
      <c r="Y9" s="2387"/>
      <c r="Z9" s="2387"/>
      <c r="AA9" s="2387"/>
      <c r="AB9" s="2387"/>
      <c r="AC9" s="2387"/>
      <c r="AD9" s="2387"/>
      <c r="AE9" s="2387"/>
      <c r="AF9" s="2387"/>
      <c r="AG9" s="2387"/>
      <c r="AH9" s="2387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7"/>
      <c r="AJ9" s="2387"/>
      <c r="AK9" s="2387"/>
      <c r="AL9" s="2387"/>
      <c r="AM9" s="2387"/>
      <c r="AN9" s="2387"/>
      <c r="AO9" s="2387"/>
      <c r="AP9" s="2387"/>
      <c r="AQ9" s="2387"/>
      <c r="AR9" s="2387"/>
      <c r="AS9" s="2387"/>
      <c r="AT9" s="2387"/>
      <c r="AU9" s="2387"/>
      <c r="AV9" s="2387"/>
      <c r="AW9" s="2387"/>
      <c r="AX9" s="2387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7"/>
      <c r="AZ9" s="2387"/>
      <c r="BA9" s="2387"/>
      <c r="BB9" s="2387"/>
      <c r="BC9" s="2387"/>
      <c r="BD9" s="2387"/>
      <c r="BE9" s="2387"/>
      <c r="BF9" s="2387"/>
      <c r="BG9" s="2387"/>
      <c r="BH9" s="2387"/>
      <c r="BI9" s="2387"/>
      <c r="BJ9" s="2387"/>
      <c r="BK9" s="2387"/>
      <c r="BL9" s="2387"/>
      <c r="BM9" s="2387"/>
      <c r="BN9" s="2387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7"/>
      <c r="BP9" s="2387"/>
      <c r="BQ9" s="2387"/>
      <c r="BR9" s="2387"/>
      <c r="BS9" s="2387"/>
      <c r="BT9" s="2387"/>
      <c r="BU9" s="2387"/>
      <c r="BV9" s="2387"/>
      <c r="BW9" s="2387"/>
      <c r="BX9" s="2387"/>
      <c r="BY9" s="2387"/>
      <c r="BZ9" s="2387"/>
      <c r="CA9" s="2387"/>
      <c r="CB9" s="2387"/>
      <c r="CC9" s="2387"/>
      <c r="CD9" s="2387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7"/>
      <c r="CF9" s="2387"/>
      <c r="CG9" s="2387"/>
      <c r="CH9" s="2387"/>
      <c r="CI9" s="2387"/>
      <c r="CJ9" s="2387"/>
      <c r="CK9" s="2387"/>
      <c r="CL9" s="2387"/>
      <c r="CM9" s="2387"/>
      <c r="CN9" s="2387"/>
      <c r="CO9" s="2387"/>
      <c r="CP9" s="2387"/>
      <c r="CQ9" s="2387"/>
      <c r="CR9" s="2387"/>
      <c r="CS9" s="2387"/>
      <c r="CT9" s="2387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7"/>
      <c r="CV9" s="2387"/>
      <c r="CW9" s="2387"/>
      <c r="CX9" s="2387"/>
      <c r="CY9" s="2387"/>
      <c r="CZ9" s="2387"/>
      <c r="DA9" s="2387"/>
      <c r="DB9" s="2387"/>
      <c r="DC9" s="2387"/>
      <c r="DD9" s="2387"/>
      <c r="DE9" s="2387"/>
      <c r="DF9" s="2387"/>
      <c r="DG9" s="2387"/>
      <c r="DH9" s="2387"/>
      <c r="DI9" s="2387"/>
      <c r="DJ9" s="2387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7"/>
      <c r="DL9" s="2387"/>
      <c r="DM9" s="2387"/>
      <c r="DN9" s="2387"/>
      <c r="DO9" s="2387"/>
      <c r="DP9" s="2387"/>
      <c r="DQ9" s="2387"/>
      <c r="DR9" s="2387"/>
      <c r="DS9" s="2387"/>
      <c r="DT9" s="2387"/>
      <c r="DU9" s="2387"/>
      <c r="DV9" s="2387"/>
      <c r="DW9" s="2387"/>
      <c r="DX9" s="2387"/>
      <c r="DY9" s="2387"/>
      <c r="DZ9" s="2387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7"/>
      <c r="EB9" s="2387"/>
      <c r="EC9" s="2387"/>
      <c r="ED9" s="2387"/>
      <c r="EE9" s="2387"/>
      <c r="EF9" s="2387"/>
      <c r="EG9" s="2387"/>
      <c r="EH9" s="2387"/>
      <c r="EI9" s="2387"/>
      <c r="EJ9" s="2387"/>
      <c r="EK9" s="2387"/>
      <c r="EL9" s="2387"/>
      <c r="EM9" s="2387"/>
      <c r="EN9" s="2387"/>
      <c r="EO9" s="2387"/>
      <c r="EP9" s="2387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7"/>
      <c r="ER9" s="2387"/>
      <c r="ES9" s="2387"/>
      <c r="ET9" s="2387"/>
      <c r="EU9" s="2387"/>
      <c r="EV9" s="2387"/>
      <c r="EW9" s="2387"/>
      <c r="EX9" s="2387"/>
      <c r="EY9" s="2387"/>
      <c r="EZ9" s="2387"/>
      <c r="FA9" s="2387"/>
      <c r="FB9" s="2387"/>
      <c r="FC9" s="2387"/>
      <c r="FD9" s="2387"/>
      <c r="FE9" s="2387"/>
      <c r="FF9" s="2387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7"/>
      <c r="FH9" s="2387"/>
      <c r="FI9" s="2387"/>
      <c r="FJ9" s="2387"/>
      <c r="FK9" s="2387"/>
      <c r="FL9" s="2387"/>
      <c r="FM9" s="2387"/>
      <c r="FN9" s="2387"/>
      <c r="FO9" s="2387"/>
      <c r="FP9" s="2387"/>
      <c r="FQ9" s="2387"/>
      <c r="FR9" s="2387"/>
      <c r="FS9" s="2387"/>
      <c r="FT9" s="2387"/>
      <c r="FU9" s="2387"/>
      <c r="FV9" s="1160"/>
      <c r="FW9" s="1160"/>
      <c r="FX9" s="1160"/>
      <c r="FY9" s="1160"/>
      <c r="FZ9" s="1160"/>
      <c r="GA9" s="1160"/>
      <c r="GB9" s="1160"/>
      <c r="GC9" s="1160"/>
      <c r="GD9" s="1160"/>
      <c r="GE9" s="1160"/>
      <c r="GF9" s="1160"/>
      <c r="GG9" s="1160"/>
    </row>
    <row r="10" spans="1:223" ht="44.25" customHeight="1" x14ac:dyDescent="0.25">
      <c r="A10" s="338">
        <v>8</v>
      </c>
      <c r="B10" s="2387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7"/>
      <c r="D10" s="2387"/>
      <c r="E10" s="2387"/>
      <c r="F10" s="2387"/>
      <c r="G10" s="2387"/>
      <c r="H10" s="2387"/>
      <c r="I10" s="2387"/>
      <c r="J10" s="2387"/>
      <c r="K10" s="2387"/>
      <c r="L10" s="2387"/>
      <c r="M10" s="2387"/>
      <c r="N10" s="2387"/>
      <c r="O10" s="2387"/>
      <c r="P10" s="2387"/>
      <c r="Q10" s="2387"/>
      <c r="R10" s="2387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7"/>
      <c r="T10" s="2387"/>
      <c r="U10" s="2387"/>
      <c r="V10" s="2387"/>
      <c r="W10" s="2387"/>
      <c r="X10" s="2387"/>
      <c r="Y10" s="2387"/>
      <c r="Z10" s="2387"/>
      <c r="AA10" s="2387"/>
      <c r="AB10" s="2387"/>
      <c r="AC10" s="2387"/>
      <c r="AD10" s="2387"/>
      <c r="AE10" s="2387"/>
      <c r="AF10" s="2387"/>
      <c r="AG10" s="2387"/>
      <c r="AH10" s="2387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7"/>
      <c r="AJ10" s="2387"/>
      <c r="AK10" s="2387"/>
      <c r="AL10" s="2387"/>
      <c r="AM10" s="2387"/>
      <c r="AN10" s="2387"/>
      <c r="AO10" s="2387"/>
      <c r="AP10" s="2387"/>
      <c r="AQ10" s="2387"/>
      <c r="AR10" s="2387"/>
      <c r="AS10" s="2387"/>
      <c r="AT10" s="2387"/>
      <c r="AU10" s="2387"/>
      <c r="AV10" s="2387"/>
      <c r="AW10" s="2387"/>
      <c r="AX10" s="2387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7"/>
      <c r="AZ10" s="2387"/>
      <c r="BA10" s="2387"/>
      <c r="BB10" s="2387"/>
      <c r="BC10" s="2387"/>
      <c r="BD10" s="2387"/>
      <c r="BE10" s="2387"/>
      <c r="BF10" s="2387"/>
      <c r="BG10" s="2387"/>
      <c r="BH10" s="2387"/>
      <c r="BI10" s="2387"/>
      <c r="BJ10" s="2387"/>
      <c r="BK10" s="2387"/>
      <c r="BL10" s="2387"/>
      <c r="BM10" s="2387"/>
      <c r="BN10" s="2387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7"/>
      <c r="BP10" s="2387"/>
      <c r="BQ10" s="2387"/>
      <c r="BR10" s="2387"/>
      <c r="BS10" s="2387"/>
      <c r="BT10" s="2387"/>
      <c r="BU10" s="2387"/>
      <c r="BV10" s="2387"/>
      <c r="BW10" s="2387"/>
      <c r="BX10" s="2387"/>
      <c r="BY10" s="2387"/>
      <c r="BZ10" s="2387"/>
      <c r="CA10" s="2387"/>
      <c r="CB10" s="2387"/>
      <c r="CC10" s="2387"/>
      <c r="CD10" s="2387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7"/>
      <c r="CF10" s="2387"/>
      <c r="CG10" s="2387"/>
      <c r="CH10" s="2387"/>
      <c r="CI10" s="2387"/>
      <c r="CJ10" s="2387"/>
      <c r="CK10" s="2387"/>
      <c r="CL10" s="2387"/>
      <c r="CM10" s="2387"/>
      <c r="CN10" s="2387"/>
      <c r="CO10" s="2387"/>
      <c r="CP10" s="2387"/>
      <c r="CQ10" s="2387"/>
      <c r="CR10" s="2387"/>
      <c r="CS10" s="2387"/>
      <c r="CT10" s="2387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7"/>
      <c r="CV10" s="2387"/>
      <c r="CW10" s="2387"/>
      <c r="CX10" s="2387"/>
      <c r="CY10" s="2387"/>
      <c r="CZ10" s="2387"/>
      <c r="DA10" s="2387"/>
      <c r="DB10" s="2387"/>
      <c r="DC10" s="2387"/>
      <c r="DD10" s="2387"/>
      <c r="DE10" s="2387"/>
      <c r="DF10" s="2387"/>
      <c r="DG10" s="2387"/>
      <c r="DH10" s="2387"/>
      <c r="DI10" s="2387"/>
      <c r="DJ10" s="2387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7"/>
      <c r="DL10" s="2387"/>
      <c r="DM10" s="2387"/>
      <c r="DN10" s="2387"/>
      <c r="DO10" s="2387"/>
      <c r="DP10" s="2387"/>
      <c r="DQ10" s="2387"/>
      <c r="DR10" s="2387"/>
      <c r="DS10" s="2387"/>
      <c r="DT10" s="2387"/>
      <c r="DU10" s="2387"/>
      <c r="DV10" s="2387"/>
      <c r="DW10" s="2387"/>
      <c r="DX10" s="2387"/>
      <c r="DY10" s="2387"/>
      <c r="DZ10" s="2387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7"/>
      <c r="EB10" s="2387"/>
      <c r="EC10" s="2387"/>
      <c r="ED10" s="2387"/>
      <c r="EE10" s="2387"/>
      <c r="EF10" s="2387"/>
      <c r="EG10" s="2387"/>
      <c r="EH10" s="2387"/>
      <c r="EI10" s="2387"/>
      <c r="EJ10" s="2387"/>
      <c r="EK10" s="2387"/>
      <c r="EL10" s="2387"/>
      <c r="EM10" s="2387"/>
      <c r="EN10" s="2387"/>
      <c r="EO10" s="2387"/>
      <c r="EP10" s="2387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7"/>
      <c r="ER10" s="2387"/>
      <c r="ES10" s="2387"/>
      <c r="ET10" s="2387"/>
      <c r="EU10" s="2387"/>
      <c r="EV10" s="2387"/>
      <c r="EW10" s="2387"/>
      <c r="EX10" s="2387"/>
      <c r="EY10" s="2387"/>
      <c r="EZ10" s="2387"/>
      <c r="FA10" s="2387"/>
      <c r="FB10" s="2387"/>
      <c r="FC10" s="2387"/>
      <c r="FD10" s="2387"/>
      <c r="FE10" s="2387"/>
      <c r="FF10" s="2387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7"/>
      <c r="FH10" s="2387"/>
      <c r="FI10" s="2387"/>
      <c r="FJ10" s="2387"/>
      <c r="FK10" s="2387"/>
      <c r="FL10" s="2387"/>
      <c r="FM10" s="2387"/>
      <c r="FN10" s="2387"/>
      <c r="FO10" s="2387"/>
      <c r="FP10" s="2387"/>
      <c r="FQ10" s="2387"/>
      <c r="FR10" s="2387"/>
      <c r="FS10" s="2387"/>
      <c r="FT10" s="2387"/>
      <c r="FU10" s="2387"/>
      <c r="FV10" s="1160"/>
      <c r="FW10" s="1160"/>
      <c r="FX10" s="1160"/>
      <c r="FY10" s="1160"/>
      <c r="FZ10" s="1160"/>
      <c r="GA10" s="1160"/>
      <c r="GB10" s="1160"/>
      <c r="GC10" s="1160"/>
      <c r="GD10" s="1160"/>
      <c r="GE10" s="1160"/>
      <c r="GF10" s="1160"/>
      <c r="GG10" s="1160"/>
    </row>
    <row r="11" spans="1:223" ht="44.25" customHeight="1" x14ac:dyDescent="0.25">
      <c r="A11" s="338">
        <v>9</v>
      </c>
      <c r="B11" s="2387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7"/>
      <c r="D11" s="2387"/>
      <c r="E11" s="2387"/>
      <c r="F11" s="2387"/>
      <c r="G11" s="2387"/>
      <c r="H11" s="2387"/>
      <c r="I11" s="2387"/>
      <c r="J11" s="2387"/>
      <c r="K11" s="2387"/>
      <c r="L11" s="2387"/>
      <c r="M11" s="2387"/>
      <c r="N11" s="2387"/>
      <c r="O11" s="2387"/>
      <c r="P11" s="2387"/>
      <c r="Q11" s="2387"/>
      <c r="R11" s="2387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7"/>
      <c r="T11" s="2387"/>
      <c r="U11" s="2387"/>
      <c r="V11" s="2387"/>
      <c r="W11" s="2387"/>
      <c r="X11" s="2387"/>
      <c r="Y11" s="2387"/>
      <c r="Z11" s="2387"/>
      <c r="AA11" s="2387"/>
      <c r="AB11" s="2387"/>
      <c r="AC11" s="2387"/>
      <c r="AD11" s="2387"/>
      <c r="AE11" s="2387"/>
      <c r="AF11" s="2387"/>
      <c r="AG11" s="2387"/>
      <c r="AH11" s="2387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7"/>
      <c r="AJ11" s="2387"/>
      <c r="AK11" s="2387"/>
      <c r="AL11" s="2387"/>
      <c r="AM11" s="2387"/>
      <c r="AN11" s="2387"/>
      <c r="AO11" s="2387"/>
      <c r="AP11" s="2387"/>
      <c r="AQ11" s="2387"/>
      <c r="AR11" s="2387"/>
      <c r="AS11" s="2387"/>
      <c r="AT11" s="2387"/>
      <c r="AU11" s="2387"/>
      <c r="AV11" s="2387"/>
      <c r="AW11" s="2387"/>
      <c r="AX11" s="2387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7"/>
      <c r="AZ11" s="2387"/>
      <c r="BA11" s="2387"/>
      <c r="BB11" s="2387"/>
      <c r="BC11" s="2387"/>
      <c r="BD11" s="2387"/>
      <c r="BE11" s="2387"/>
      <c r="BF11" s="2387"/>
      <c r="BG11" s="2387"/>
      <c r="BH11" s="2387"/>
      <c r="BI11" s="2387"/>
      <c r="BJ11" s="2387"/>
      <c r="BK11" s="2387"/>
      <c r="BL11" s="2387"/>
      <c r="BM11" s="2387"/>
      <c r="BN11" s="2387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7"/>
      <c r="BP11" s="2387"/>
      <c r="BQ11" s="2387"/>
      <c r="BR11" s="2387"/>
      <c r="BS11" s="2387"/>
      <c r="BT11" s="2387"/>
      <c r="BU11" s="2387"/>
      <c r="BV11" s="2387"/>
      <c r="BW11" s="2387"/>
      <c r="BX11" s="2387"/>
      <c r="BY11" s="2387"/>
      <c r="BZ11" s="2387"/>
      <c r="CA11" s="2387"/>
      <c r="CB11" s="2387"/>
      <c r="CC11" s="2387"/>
      <c r="CD11" s="2387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7"/>
      <c r="CF11" s="2387"/>
      <c r="CG11" s="2387"/>
      <c r="CH11" s="2387"/>
      <c r="CI11" s="2387"/>
      <c r="CJ11" s="2387"/>
      <c r="CK11" s="2387"/>
      <c r="CL11" s="2387"/>
      <c r="CM11" s="2387"/>
      <c r="CN11" s="2387"/>
      <c r="CO11" s="2387"/>
      <c r="CP11" s="2387"/>
      <c r="CQ11" s="2387"/>
      <c r="CR11" s="2387"/>
      <c r="CS11" s="2387"/>
      <c r="CT11" s="2387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7"/>
      <c r="CV11" s="2387"/>
      <c r="CW11" s="2387"/>
      <c r="CX11" s="2387"/>
      <c r="CY11" s="2387"/>
      <c r="CZ11" s="2387"/>
      <c r="DA11" s="2387"/>
      <c r="DB11" s="2387"/>
      <c r="DC11" s="2387"/>
      <c r="DD11" s="2387"/>
      <c r="DE11" s="2387"/>
      <c r="DF11" s="2387"/>
      <c r="DG11" s="2387"/>
      <c r="DH11" s="2387"/>
      <c r="DI11" s="2387"/>
      <c r="DJ11" s="2387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7"/>
      <c r="DL11" s="2387"/>
      <c r="DM11" s="2387"/>
      <c r="DN11" s="2387"/>
      <c r="DO11" s="2387"/>
      <c r="DP11" s="2387"/>
      <c r="DQ11" s="2387"/>
      <c r="DR11" s="2387"/>
      <c r="DS11" s="2387"/>
      <c r="DT11" s="2387"/>
      <c r="DU11" s="2387"/>
      <c r="DV11" s="2387"/>
      <c r="DW11" s="2387"/>
      <c r="DX11" s="2387"/>
      <c r="DY11" s="2387"/>
      <c r="DZ11" s="2387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7"/>
      <c r="EB11" s="2387"/>
      <c r="EC11" s="2387"/>
      <c r="ED11" s="2387"/>
      <c r="EE11" s="2387"/>
      <c r="EF11" s="2387"/>
      <c r="EG11" s="2387"/>
      <c r="EH11" s="2387"/>
      <c r="EI11" s="2387"/>
      <c r="EJ11" s="2387"/>
      <c r="EK11" s="2387"/>
      <c r="EL11" s="2387"/>
      <c r="EM11" s="2387"/>
      <c r="EN11" s="2387"/>
      <c r="EO11" s="2387"/>
      <c r="EP11" s="2387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7"/>
      <c r="ER11" s="2387"/>
      <c r="ES11" s="2387"/>
      <c r="ET11" s="2387"/>
      <c r="EU11" s="2387"/>
      <c r="EV11" s="2387"/>
      <c r="EW11" s="2387"/>
      <c r="EX11" s="2387"/>
      <c r="EY11" s="2387"/>
      <c r="EZ11" s="2387"/>
      <c r="FA11" s="2387"/>
      <c r="FB11" s="2387"/>
      <c r="FC11" s="2387"/>
      <c r="FD11" s="2387"/>
      <c r="FE11" s="2387"/>
      <c r="FF11" s="2387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7"/>
      <c r="FH11" s="2387"/>
      <c r="FI11" s="2387"/>
      <c r="FJ11" s="2387"/>
      <c r="FK11" s="2387"/>
      <c r="FL11" s="2387"/>
      <c r="FM11" s="2387"/>
      <c r="FN11" s="2387"/>
      <c r="FO11" s="2387"/>
      <c r="FP11" s="2387"/>
      <c r="FQ11" s="2387"/>
      <c r="FR11" s="2387"/>
      <c r="FS11" s="2387"/>
      <c r="FT11" s="2387"/>
      <c r="FU11" s="2387"/>
      <c r="FV11" s="1160"/>
      <c r="FW11" s="1160"/>
      <c r="FX11" s="1160"/>
      <c r="FY11" s="1160"/>
      <c r="FZ11" s="1160"/>
      <c r="GA11" s="1160"/>
      <c r="GB11" s="1160"/>
      <c r="GC11" s="1160"/>
      <c r="GD11" s="1160"/>
      <c r="GE11" s="1160"/>
      <c r="GF11" s="1160"/>
      <c r="GG11" s="1160"/>
    </row>
    <row r="12" spans="1:223" ht="44.25" customHeight="1" x14ac:dyDescent="0.25">
      <c r="A12" s="339"/>
      <c r="B12" s="2380" t="str">
        <f>IF(Data!$GI$2&lt;&gt;"","X1: "&amp; Data!$GI$2, " ")</f>
        <v>X1: 1313 CT427 0.010</v>
      </c>
      <c r="C12" s="2380"/>
      <c r="D12" s="2380"/>
      <c r="E12" s="2380"/>
      <c r="F12" s="2380"/>
      <c r="G12" s="2380"/>
      <c r="H12" s="2380"/>
      <c r="I12" s="2380"/>
      <c r="J12" s="2380"/>
      <c r="K12" s="2380"/>
      <c r="L12" s="2380"/>
      <c r="M12" s="2380"/>
      <c r="N12" s="2380"/>
      <c r="O12" s="2380"/>
      <c r="P12" s="2380"/>
      <c r="Q12" s="2380"/>
      <c r="R12" s="2380"/>
      <c r="S12" s="2380"/>
      <c r="T12" s="2380"/>
      <c r="U12" s="2380"/>
      <c r="V12" s="2380"/>
      <c r="W12" s="2380"/>
      <c r="X12" s="2380"/>
      <c r="Y12" s="2380"/>
      <c r="Z12" s="2380"/>
      <c r="AA12" s="2380"/>
      <c r="AB12" s="2380"/>
      <c r="AC12" s="2380" t="str">
        <f>IF(Data!$GI$3&lt;&gt;"","X2: "&amp; Data!$GI$3, " ")</f>
        <v xml:space="preserve">X2: 1308 CT31 Drop in </v>
      </c>
      <c r="AD12" s="2380"/>
      <c r="AE12" s="2380"/>
      <c r="AF12" s="2380"/>
      <c r="AG12" s="2380"/>
      <c r="AH12" s="2380"/>
      <c r="AI12" s="2380"/>
      <c r="AJ12" s="2380"/>
      <c r="AK12" s="2380"/>
      <c r="AL12" s="2380"/>
      <c r="AM12" s="2380"/>
      <c r="AN12" s="2380"/>
      <c r="AO12" s="2380"/>
      <c r="AP12" s="2380"/>
      <c r="AQ12" s="2380"/>
      <c r="AR12" s="2380"/>
      <c r="AS12" s="2380"/>
      <c r="AT12" s="2380"/>
      <c r="AU12" s="2380"/>
      <c r="AV12" s="2380"/>
      <c r="AW12" s="2380"/>
      <c r="AX12" s="2380"/>
      <c r="AY12" s="2380"/>
      <c r="AZ12" s="2380"/>
      <c r="BA12" s="2380"/>
      <c r="BB12" s="2380"/>
      <c r="BC12" s="2380"/>
      <c r="BD12" s="2380" t="str">
        <f>IF(Data!$GI$4&lt;&gt;"","X3: "&amp; Data!$GI$4, " ")</f>
        <v>X3: 1313 CT147G U</v>
      </c>
      <c r="BE12" s="2380"/>
      <c r="BF12" s="2380"/>
      <c r="BG12" s="2380"/>
      <c r="BH12" s="2380"/>
      <c r="BI12" s="2380"/>
      <c r="BJ12" s="2380"/>
      <c r="BK12" s="2380"/>
      <c r="BL12" s="2380"/>
      <c r="BM12" s="2380"/>
      <c r="BN12" s="2380"/>
      <c r="BO12" s="2380"/>
      <c r="BP12" s="2380"/>
      <c r="BQ12" s="2380"/>
      <c r="BR12" s="2380"/>
      <c r="BS12" s="2380"/>
      <c r="BT12" s="2380"/>
      <c r="BU12" s="2380"/>
      <c r="BV12" s="2380"/>
      <c r="BW12" s="2380"/>
      <c r="BX12" s="2380"/>
      <c r="BY12" s="2380"/>
      <c r="BZ12" s="2380"/>
      <c r="CA12" s="2380"/>
      <c r="CB12" s="2380"/>
      <c r="CC12" s="2380"/>
      <c r="CD12" s="2380"/>
      <c r="CE12" s="2380" t="str">
        <f>IF(Data!$GI$5&lt;&gt;"","X4: "&amp; Data!$GI$5, " ")</f>
        <v>X4: 1313 CT418 18C-60</v>
      </c>
      <c r="CF12" s="2380"/>
      <c r="CG12" s="2380"/>
      <c r="CH12" s="2380"/>
      <c r="CI12" s="2380"/>
      <c r="CJ12" s="2380"/>
      <c r="CK12" s="2380"/>
      <c r="CL12" s="2380"/>
      <c r="CM12" s="2380"/>
      <c r="CN12" s="2380"/>
      <c r="CO12" s="2380"/>
      <c r="CP12" s="2380"/>
      <c r="CQ12" s="2380"/>
      <c r="CR12" s="2380"/>
      <c r="CS12" s="2380"/>
      <c r="CT12" s="2380"/>
      <c r="CU12" s="2380"/>
      <c r="CV12" s="2380"/>
      <c r="CW12" s="2380"/>
      <c r="CX12" s="2380"/>
      <c r="CY12" s="2380"/>
      <c r="CZ12" s="2380"/>
      <c r="DA12" s="2380"/>
      <c r="DB12" s="2380"/>
      <c r="DC12" s="2380"/>
      <c r="DD12" s="2380"/>
      <c r="DE12" s="2380"/>
      <c r="DF12" s="2380" t="str">
        <f>IF(Data!$GI$6&lt;&gt;"","X5: "&amp; Data!$GI$6, " ")</f>
        <v>X5: 1313 CT179T U-60</v>
      </c>
      <c r="DG12" s="2380"/>
      <c r="DH12" s="2380"/>
      <c r="DI12" s="2380"/>
      <c r="DJ12" s="2380"/>
      <c r="DK12" s="2380"/>
      <c r="DL12" s="2380"/>
      <c r="DM12" s="2380"/>
      <c r="DN12" s="2380"/>
      <c r="DO12" s="2380"/>
      <c r="DP12" s="2380"/>
      <c r="DQ12" s="2380"/>
      <c r="DR12" s="2380"/>
      <c r="DS12" s="2380"/>
      <c r="DT12" s="2380"/>
      <c r="DU12" s="2380"/>
      <c r="DV12" s="2380"/>
      <c r="DW12" s="2380"/>
      <c r="DX12" s="2380"/>
      <c r="DY12" s="2380"/>
      <c r="DZ12" s="2380"/>
      <c r="EA12" s="2380"/>
      <c r="EB12" s="2380"/>
      <c r="EC12" s="2380"/>
      <c r="ED12" s="2380"/>
      <c r="EE12" s="2380"/>
      <c r="EF12" s="2380"/>
      <c r="EG12" s="2380" t="str">
        <f>IF(Data!$GI$7&lt;&gt;"","X6: "&amp; Data!$GI$7, " ")</f>
        <v xml:space="preserve"> </v>
      </c>
      <c r="EH12" s="2380"/>
      <c r="EI12" s="2380"/>
      <c r="EJ12" s="2380"/>
      <c r="EK12" s="2380"/>
      <c r="EL12" s="2380"/>
      <c r="EM12" s="2380"/>
      <c r="EN12" s="2380"/>
      <c r="EO12" s="2380"/>
      <c r="EP12" s="2380"/>
      <c r="EQ12" s="2380"/>
      <c r="ER12" s="2380"/>
      <c r="ES12" s="2380"/>
      <c r="ET12" s="2380"/>
      <c r="EU12" s="2380"/>
      <c r="EV12" s="2380"/>
      <c r="EW12" s="2380"/>
      <c r="EX12" s="2380"/>
      <c r="EY12" s="2380"/>
      <c r="EZ12" s="2380"/>
      <c r="FA12" s="2380"/>
      <c r="FB12" s="2380"/>
      <c r="FC12" s="2380"/>
      <c r="FD12" s="2380"/>
      <c r="FE12" s="2380"/>
      <c r="FF12" s="2380"/>
      <c r="FG12" s="2380"/>
      <c r="FH12" s="2380" t="str">
        <f>IF(Data!$GI$8&lt;&gt;"","X7: "&amp; Data!$GI$8, " ")</f>
        <v xml:space="preserve"> </v>
      </c>
      <c r="FI12" s="2380"/>
      <c r="FJ12" s="2380"/>
      <c r="FK12" s="2380"/>
      <c r="FL12" s="2380"/>
      <c r="FM12" s="2380"/>
      <c r="FN12" s="2380"/>
      <c r="FO12" s="2380"/>
      <c r="FP12" s="2380"/>
      <c r="FQ12" s="2380"/>
      <c r="FR12" s="2380"/>
      <c r="FS12" s="2380"/>
      <c r="FT12" s="2380"/>
      <c r="FU12" s="2380"/>
      <c r="FV12" s="2380"/>
      <c r="FW12" s="2380"/>
      <c r="FX12" s="2380"/>
      <c r="FY12" s="2380"/>
      <c r="FZ12" s="2380"/>
      <c r="GA12" s="2380"/>
      <c r="GB12" s="2380"/>
      <c r="GC12" s="2380"/>
      <c r="GD12" s="2380"/>
      <c r="GE12" s="2380"/>
      <c r="GF12" s="2380"/>
      <c r="GG12" s="2380"/>
      <c r="GH12" s="159"/>
    </row>
    <row r="13" spans="1:223" ht="47.25" customHeight="1" x14ac:dyDescent="0.25">
      <c r="A13" s="340"/>
      <c r="B13" s="2383"/>
      <c r="C13" s="2383"/>
      <c r="D13" s="2383"/>
      <c r="E13" s="2383"/>
      <c r="F13" s="2383"/>
      <c r="G13" s="2383"/>
      <c r="H13" s="2383"/>
      <c r="I13" s="2383"/>
      <c r="J13" s="2383"/>
      <c r="K13" s="2383"/>
      <c r="L13" s="2383"/>
      <c r="M13" s="2383"/>
      <c r="N13" s="2383"/>
      <c r="O13" s="2383"/>
      <c r="P13" s="2383"/>
      <c r="Q13" s="2383"/>
      <c r="R13" s="2386">
        <f>IF(Data!$B$1&lt;&gt;"", Data!$B$1, " ")</f>
        <v>20261004</v>
      </c>
      <c r="S13" s="2386"/>
      <c r="T13" s="2386"/>
      <c r="U13" s="2386"/>
      <c r="V13" s="2386"/>
      <c r="W13" s="2386"/>
      <c r="X13" s="2386"/>
      <c r="Y13" s="2386"/>
      <c r="Z13" s="2386"/>
      <c r="AA13" s="2386"/>
      <c r="AB13" s="2386"/>
      <c r="AC13" s="2386"/>
      <c r="AD13" s="2386"/>
      <c r="AE13" s="2386"/>
      <c r="AF13" s="2386"/>
      <c r="AG13" s="2386"/>
      <c r="AH13" s="2386"/>
      <c r="AI13" s="2386"/>
      <c r="AJ13" s="2386"/>
      <c r="AK13" s="2386"/>
      <c r="AL13" s="2386"/>
      <c r="AM13" s="2386"/>
      <c r="AN13" s="2386"/>
      <c r="AO13" s="2386"/>
      <c r="AP13" s="2386"/>
      <c r="AQ13" s="2386"/>
      <c r="AR13" s="2386"/>
      <c r="AS13" s="2386"/>
      <c r="AT13" s="2386"/>
      <c r="AU13" s="2386"/>
      <c r="AV13" s="2386"/>
      <c r="AW13" s="2386"/>
      <c r="AX13" s="2386"/>
      <c r="AY13" s="2386"/>
      <c r="AZ13" s="2386"/>
      <c r="BA13" s="2386"/>
      <c r="BB13" s="2386"/>
      <c r="BC13" s="2386"/>
      <c r="BD13" s="2386"/>
      <c r="BE13" s="2386"/>
      <c r="BF13" s="2386"/>
      <c r="BG13" s="2386"/>
      <c r="BH13" s="2386"/>
      <c r="BI13" s="2386" t="str">
        <f>IF(Data!$B$2&lt;&gt;"", Data!$B$2, " ")</f>
        <v>14304769R1</v>
      </c>
      <c r="BJ13" s="2386"/>
      <c r="BK13" s="2386"/>
      <c r="BL13" s="2386"/>
      <c r="BM13" s="2386"/>
      <c r="BN13" s="2386"/>
      <c r="BO13" s="2386"/>
      <c r="BP13" s="2386"/>
      <c r="BQ13" s="2386"/>
      <c r="BR13" s="2386"/>
      <c r="BS13" s="2386"/>
      <c r="BT13" s="2386"/>
      <c r="BU13" s="2386"/>
      <c r="BV13" s="2386"/>
      <c r="BW13" s="2386"/>
      <c r="BX13" s="2386"/>
      <c r="BY13" s="2386"/>
      <c r="BZ13" s="2386"/>
      <c r="CA13" s="2386"/>
      <c r="CB13" s="2386"/>
      <c r="CC13" s="2386"/>
      <c r="CD13" s="2386"/>
      <c r="CE13" s="2386"/>
      <c r="CF13" s="2386"/>
      <c r="CG13" s="2386"/>
      <c r="CH13" s="2386"/>
      <c r="CI13" s="2386"/>
      <c r="CJ13" s="2386"/>
      <c r="CK13" s="2386"/>
      <c r="CL13" s="2386"/>
      <c r="CM13" s="2386"/>
      <c r="CN13" s="2386"/>
      <c r="CO13" s="2386"/>
      <c r="CP13" s="2386"/>
      <c r="CQ13" s="2386"/>
      <c r="CR13" s="2386"/>
      <c r="CS13" s="2386"/>
      <c r="CT13" s="2386"/>
      <c r="CU13" s="2386"/>
      <c r="CV13" s="2386"/>
      <c r="CW13" s="2386"/>
      <c r="CX13" s="2386"/>
      <c r="CY13" s="2386"/>
      <c r="CZ13" s="2386"/>
      <c r="DA13" s="2386"/>
      <c r="DB13" s="2386"/>
      <c r="DC13" s="2386"/>
      <c r="DD13" s="2386"/>
      <c r="DE13" s="2386"/>
      <c r="DF13" s="2386"/>
      <c r="DG13" s="2386"/>
      <c r="DH13" s="2386"/>
      <c r="DI13" s="2386"/>
      <c r="DJ13" s="2386" t="str">
        <f>IF(Data!$B$4&lt;&gt;"",Data!$B$4," ")</f>
        <v>HD54</v>
      </c>
      <c r="DK13" s="2386"/>
      <c r="DL13" s="2386"/>
      <c r="DM13" s="2386"/>
      <c r="DN13" s="2386"/>
      <c r="DO13" s="2386"/>
      <c r="DP13" s="2386"/>
      <c r="DQ13" s="2386"/>
      <c r="DR13" s="2386"/>
      <c r="DS13" s="2386"/>
      <c r="DT13" s="2386"/>
      <c r="DU13" s="2386"/>
      <c r="DV13" s="2386"/>
      <c r="DW13" s="2386"/>
      <c r="DX13" s="2386"/>
      <c r="DY13" s="2386"/>
      <c r="DZ13" s="2386"/>
      <c r="EA13" s="2386"/>
      <c r="EB13" s="2386"/>
      <c r="EC13" s="2386"/>
      <c r="ED13" s="2386"/>
      <c r="EE13" s="2386"/>
      <c r="EF13" s="2386"/>
      <c r="EG13" s="2386"/>
      <c r="EH13" s="2386"/>
      <c r="EI13" s="2386"/>
      <c r="EJ13" s="2386"/>
      <c r="EK13" s="2386"/>
      <c r="EL13" s="2386"/>
      <c r="EM13" s="2386"/>
      <c r="EN13" s="2386"/>
      <c r="EO13" s="2386"/>
      <c r="EP13" s="2386" t="str">
        <f>IF(LEN(Data!B3)&gt;3,IF(AND(Data!B43&lt;&gt;"",Data!B43&lt;&gt;"0 0/1"""),Data!B43,""),IF(Data!B3&lt;&gt;"",Data!B3,""))</f>
        <v>6 1/8"</v>
      </c>
      <c r="EQ13" s="2386"/>
      <c r="ER13" s="2386"/>
      <c r="ES13" s="2386"/>
      <c r="ET13" s="2386"/>
      <c r="EU13" s="2386"/>
      <c r="EV13" s="2386"/>
      <c r="EW13" s="2386"/>
      <c r="EX13" s="2386"/>
      <c r="EY13" s="2386"/>
      <c r="EZ13" s="2386"/>
      <c r="FA13" s="2386"/>
      <c r="FB13" s="2386"/>
      <c r="FC13" s="2386"/>
      <c r="FD13" s="2386"/>
      <c r="FE13" s="2386"/>
      <c r="FF13" s="2386"/>
      <c r="FG13" s="2386"/>
      <c r="FH13" s="2386"/>
      <c r="FI13" s="2386"/>
      <c r="FJ13" s="2386"/>
      <c r="FK13" s="2386"/>
      <c r="FL13" s="2386"/>
      <c r="FM13" s="2386"/>
      <c r="FN13" s="2386"/>
      <c r="FO13" s="2386"/>
      <c r="FP13" s="2386"/>
      <c r="FQ13" s="2386"/>
      <c r="FR13" s="2386"/>
      <c r="FS13" s="2386"/>
      <c r="FT13" s="2386"/>
      <c r="FU13" s="2386"/>
      <c r="FV13" s="2383"/>
      <c r="FW13" s="2383"/>
      <c r="FX13" s="2383"/>
      <c r="FY13" s="2383"/>
      <c r="FZ13" s="2383"/>
      <c r="GA13" s="2383"/>
      <c r="GB13" s="2383"/>
      <c r="GC13" s="2383"/>
      <c r="GD13" s="2383"/>
      <c r="GE13" s="2383"/>
      <c r="GF13" s="2383"/>
      <c r="GG13" s="2383"/>
    </row>
    <row r="14" spans="1:223" ht="46.5" customHeight="1" x14ac:dyDescent="0.25">
      <c r="B14" s="2381">
        <f>IF(Data!$BR$44&lt;&gt;"",Data!$BR$44, "")</f>
        <v>1</v>
      </c>
      <c r="C14" s="2381"/>
      <c r="D14" s="2381"/>
      <c r="E14" s="2381"/>
      <c r="F14" s="2381"/>
      <c r="G14" s="2381"/>
      <c r="H14" s="2381"/>
      <c r="I14" s="2381"/>
      <c r="J14" s="2381">
        <f>IF(Data!$BS$44&lt;&gt;"",Data!$BS$44, "")</f>
        <v>2</v>
      </c>
      <c r="K14" s="2381"/>
      <c r="L14" s="2381"/>
      <c r="M14" s="2381"/>
      <c r="N14" s="2381"/>
      <c r="O14" s="2381"/>
      <c r="P14" s="2381"/>
      <c r="Q14" s="2381"/>
      <c r="R14" s="2381">
        <f>IF(Data!$BT$44&lt;&gt;"", Data!$BT$44, "")</f>
        <v>3</v>
      </c>
      <c r="S14" s="2381"/>
      <c r="T14" s="2381"/>
      <c r="U14" s="2381"/>
      <c r="V14" s="2381"/>
      <c r="W14" s="2381"/>
      <c r="X14" s="2381"/>
      <c r="Y14" s="2381"/>
      <c r="Z14" s="2381">
        <f>IF(Data!$BU$44&lt;&gt;"", Data!$BU$44, "")</f>
        <v>4</v>
      </c>
      <c r="AA14" s="2381"/>
      <c r="AB14" s="2381"/>
      <c r="AC14" s="2381"/>
      <c r="AD14" s="2381"/>
      <c r="AE14" s="2381"/>
      <c r="AF14" s="2381"/>
      <c r="AG14" s="2381"/>
      <c r="AH14" s="2381">
        <f>IF(Data!$BV$44&lt;&gt;"",Data!$BV$44, "")</f>
        <v>5</v>
      </c>
      <c r="AI14" s="2381"/>
      <c r="AJ14" s="2381"/>
      <c r="AK14" s="2381"/>
      <c r="AL14" s="2381"/>
      <c r="AM14" s="2381"/>
      <c r="AN14" s="2381"/>
      <c r="AO14" s="2381"/>
      <c r="AP14" s="2381">
        <f>IF(Data!$BW$44&lt;&gt;"",Data!$BW$44, "")</f>
        <v>6</v>
      </c>
      <c r="AQ14" s="2381"/>
      <c r="AR14" s="2381"/>
      <c r="AS14" s="2381"/>
      <c r="AT14" s="2381"/>
      <c r="AU14" s="2381"/>
      <c r="AV14" s="2381"/>
      <c r="AW14" s="2381"/>
      <c r="AX14" s="2381">
        <f>IF(Data!$BX$44&lt;&gt;"", Data!$BX$44, "")</f>
        <v>7</v>
      </c>
      <c r="AY14" s="2381"/>
      <c r="AZ14" s="2381"/>
      <c r="BA14" s="2381"/>
      <c r="BB14" s="2381"/>
      <c r="BC14" s="2381"/>
      <c r="BD14" s="2381"/>
      <c r="BE14" s="2381"/>
      <c r="BF14" s="2381">
        <f>IF(Data!$BY$44&lt;&gt;"", Data!$BY$44, "")</f>
        <v>8</v>
      </c>
      <c r="BG14" s="2381"/>
      <c r="BH14" s="2381"/>
      <c r="BI14" s="2381"/>
      <c r="BJ14" s="2381"/>
      <c r="BK14" s="2381"/>
      <c r="BL14" s="2381"/>
      <c r="BM14" s="2381"/>
      <c r="BN14" s="2381">
        <f>IF(Data!$BZ$44&lt;&gt;"", Data!$BZ$44, "")</f>
        <v>0</v>
      </c>
      <c r="BO14" s="2381"/>
      <c r="BP14" s="2381"/>
      <c r="BQ14" s="2381"/>
      <c r="BR14" s="2381"/>
      <c r="BS14" s="2381"/>
      <c r="BT14" s="2381"/>
      <c r="BU14" s="2381"/>
      <c r="BV14" s="2381">
        <f>IF(Data!$CA$44&lt;&gt;"", Data!$CA$44, "")</f>
        <v>0</v>
      </c>
      <c r="BW14" s="2381"/>
      <c r="BX14" s="2381"/>
      <c r="BY14" s="2381"/>
      <c r="BZ14" s="2381"/>
      <c r="CA14" s="2381"/>
      <c r="CB14" s="2381"/>
      <c r="CC14" s="2381"/>
      <c r="CD14" s="2381">
        <f>IF(Data!$CB$44&lt;&gt;"", Data!$CB$44, "")</f>
        <v>0</v>
      </c>
      <c r="CE14" s="2381"/>
      <c r="CF14" s="2381"/>
      <c r="CG14" s="2381"/>
      <c r="CH14" s="2381"/>
      <c r="CI14" s="2381"/>
      <c r="CJ14" s="2381"/>
      <c r="CK14" s="2381"/>
      <c r="CL14" s="2381">
        <f>IF(Data!$CC$44&lt;&gt;"", Data!$CC$44, "")</f>
        <v>0</v>
      </c>
      <c r="CM14" s="2381"/>
      <c r="CN14" s="2381"/>
      <c r="CO14" s="2381"/>
      <c r="CP14" s="2381"/>
      <c r="CQ14" s="2381"/>
      <c r="CR14" s="2381"/>
      <c r="CS14" s="2381"/>
      <c r="CT14" s="2381">
        <f>IF(Data!$CD$44&lt;&gt;"",Data!$CD$44, "")</f>
        <v>0</v>
      </c>
      <c r="CU14" s="2381"/>
      <c r="CV14" s="2381"/>
      <c r="CW14" s="2381"/>
      <c r="CX14" s="2381"/>
      <c r="CY14" s="2381"/>
      <c r="CZ14" s="2381"/>
      <c r="DA14" s="2381"/>
      <c r="DB14" s="2381">
        <f>IF(Data!$CE$44&lt;&gt;"",Data!$CE$44, "")</f>
        <v>0</v>
      </c>
      <c r="DC14" s="2381"/>
      <c r="DD14" s="2381"/>
      <c r="DE14" s="2381"/>
      <c r="DF14" s="2381"/>
      <c r="DG14" s="2381"/>
      <c r="DH14" s="2381"/>
      <c r="DI14" s="2381"/>
      <c r="DJ14" s="2381">
        <f>IF(Data!$CF$44&lt;&gt;"",Data!$CF$44, "")</f>
        <v>0</v>
      </c>
      <c r="DK14" s="2381"/>
      <c r="DL14" s="2381"/>
      <c r="DM14" s="2381"/>
      <c r="DN14" s="2381"/>
      <c r="DO14" s="2381"/>
      <c r="DP14" s="2381"/>
      <c r="DQ14" s="2381"/>
      <c r="DR14" s="2381">
        <f>IF(Data!$CG$44&lt;&gt;"",Data!$CG$44, "")</f>
        <v>0</v>
      </c>
      <c r="DS14" s="2381"/>
      <c r="DT14" s="2381"/>
      <c r="DU14" s="2381"/>
      <c r="DV14" s="2381"/>
      <c r="DW14" s="2381"/>
      <c r="DX14" s="2381"/>
      <c r="DY14" s="2381"/>
      <c r="DZ14" s="2381">
        <f>IF(Data!$CH$44&lt;&gt;"",Data!$CH$44, "")</f>
        <v>0</v>
      </c>
      <c r="EA14" s="2381"/>
      <c r="EB14" s="2381"/>
      <c r="EC14" s="2381"/>
      <c r="ED14" s="2381"/>
      <c r="EE14" s="2381"/>
      <c r="EF14" s="2381"/>
      <c r="EG14" s="2381"/>
      <c r="EH14" s="2381">
        <f>IF(Data!$C$48&lt;&gt;"",Data!$CI$44, "")</f>
        <v>0</v>
      </c>
      <c r="EI14" s="2381"/>
      <c r="EJ14" s="2381"/>
      <c r="EK14" s="2381"/>
      <c r="EL14" s="2381"/>
      <c r="EM14" s="2381"/>
      <c r="EN14" s="2381"/>
      <c r="EO14" s="2381"/>
      <c r="EP14" s="2381">
        <f>IF(Data!$CJ$44&lt;&gt;"",Data!$CJ$44, "")</f>
        <v>0</v>
      </c>
      <c r="EQ14" s="2381"/>
      <c r="ER14" s="2381"/>
      <c r="ES14" s="2381"/>
      <c r="ET14" s="2381"/>
      <c r="EU14" s="2381"/>
      <c r="EV14" s="2381"/>
      <c r="EW14" s="2381"/>
      <c r="EX14" s="2381">
        <f>IF(Data!$CK$44&lt;&gt;"",Data!$CK$44, "")</f>
        <v>0</v>
      </c>
      <c r="EY14" s="2381"/>
      <c r="EZ14" s="2381"/>
      <c r="FA14" s="2381"/>
      <c r="FB14" s="2381"/>
      <c r="FC14" s="2381"/>
      <c r="FD14" s="2381"/>
      <c r="FE14" s="2381"/>
      <c r="FF14" s="2381">
        <f>IF(Data!$CL$44&lt;&gt;"",Data!$CL$44, "")</f>
        <v>0</v>
      </c>
      <c r="FG14" s="2381"/>
      <c r="FH14" s="2381"/>
      <c r="FI14" s="2381"/>
      <c r="FJ14" s="2381"/>
      <c r="FK14" s="2381"/>
      <c r="FL14" s="2381"/>
      <c r="FM14" s="2381"/>
      <c r="FN14" s="2381">
        <f>IF(Data!$CM$44&lt;&gt;"",Data!$CM$44, "")</f>
        <v>0</v>
      </c>
      <c r="FO14" s="2381"/>
      <c r="FP14" s="2381"/>
      <c r="FQ14" s="2381"/>
      <c r="FR14" s="2381"/>
      <c r="FS14" s="2381"/>
      <c r="FT14" s="2381"/>
      <c r="FU14" s="2381"/>
      <c r="FV14" s="2381">
        <f>IF(Data!$CN$44&lt;&gt;"",Data!$CN$44, "")</f>
        <v>0</v>
      </c>
      <c r="FW14" s="2381"/>
      <c r="FX14" s="2381"/>
      <c r="FY14" s="2381"/>
      <c r="FZ14" s="2381"/>
      <c r="GA14" s="2381"/>
      <c r="GB14" s="2381"/>
      <c r="GC14" s="2381"/>
      <c r="GD14" s="2383"/>
      <c r="GE14" s="2383"/>
      <c r="GF14" s="2383"/>
      <c r="GG14" s="2383"/>
    </row>
    <row r="15" spans="1:223" ht="44.25" customHeight="1" x14ac:dyDescent="0.35">
      <c r="A15" s="338">
        <v>1</v>
      </c>
      <c r="B15" s="2382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15" s="2382"/>
      <c r="D15" s="2382"/>
      <c r="E15" s="2382"/>
      <c r="F15" s="2382"/>
      <c r="G15" s="2382"/>
      <c r="H15" s="2382"/>
      <c r="I15" s="2382"/>
      <c r="J15" s="2382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K15" s="2382"/>
      <c r="L15" s="2382"/>
      <c r="M15" s="2382"/>
      <c r="N15" s="2382"/>
      <c r="O15" s="2382"/>
      <c r="P15" s="2382"/>
      <c r="Q15" s="2382"/>
      <c r="R15" s="2382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S15" s="2382"/>
      <c r="T15" s="2382"/>
      <c r="U15" s="2382"/>
      <c r="V15" s="2382"/>
      <c r="W15" s="2382"/>
      <c r="X15" s="2382"/>
      <c r="Y15" s="2382"/>
      <c r="Z15" s="2382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A15" s="2382"/>
      <c r="AB15" s="2382"/>
      <c r="AC15" s="2382"/>
      <c r="AD15" s="2382"/>
      <c r="AE15" s="2382"/>
      <c r="AF15" s="2382"/>
      <c r="AG15" s="2382"/>
      <c r="AH15" s="2382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AI15" s="2382"/>
      <c r="AJ15" s="2382"/>
      <c r="AK15" s="2382"/>
      <c r="AL15" s="2382"/>
      <c r="AM15" s="2382"/>
      <c r="AN15" s="2382"/>
      <c r="AO15" s="2382"/>
      <c r="AP15" s="2382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O</v>
      </c>
      <c r="AQ15" s="2382"/>
      <c r="AR15" s="2382"/>
      <c r="AS15" s="2382"/>
      <c r="AT15" s="2382"/>
      <c r="AU15" s="2382"/>
      <c r="AV15" s="2382"/>
      <c r="AW15" s="2382"/>
      <c r="AX15" s="2382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O</v>
      </c>
      <c r="AY15" s="2382"/>
      <c r="AZ15" s="2382"/>
      <c r="BA15" s="2382"/>
      <c r="BB15" s="2382"/>
      <c r="BC15" s="2382"/>
      <c r="BD15" s="2382"/>
      <c r="BE15" s="2382"/>
      <c r="BF15" s="2382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O</v>
      </c>
      <c r="BG15" s="2382"/>
      <c r="BH15" s="2382"/>
      <c r="BI15" s="2382"/>
      <c r="BJ15" s="2382"/>
      <c r="BK15" s="2382"/>
      <c r="BL15" s="2382"/>
      <c r="BM15" s="2382"/>
      <c r="BN15" s="2382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2"/>
      <c r="BP15" s="2382"/>
      <c r="BQ15" s="2382"/>
      <c r="BR15" s="2382"/>
      <c r="BS15" s="2382"/>
      <c r="BT15" s="2382"/>
      <c r="BU15" s="2382"/>
      <c r="BV15" s="2382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W15" s="2382"/>
      <c r="BX15" s="2382"/>
      <c r="BY15" s="2382"/>
      <c r="BZ15" s="2382"/>
      <c r="CA15" s="2382"/>
      <c r="CB15" s="2382"/>
      <c r="CC15" s="2382"/>
      <c r="CD15" s="2382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CE15" s="2382"/>
      <c r="CF15" s="2382"/>
      <c r="CG15" s="2382"/>
      <c r="CH15" s="2382"/>
      <c r="CI15" s="2382"/>
      <c r="CJ15" s="2382"/>
      <c r="CK15" s="2382"/>
      <c r="CL15" s="2382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CM15" s="2382"/>
      <c r="CN15" s="2382"/>
      <c r="CO15" s="2382"/>
      <c r="CP15" s="2382"/>
      <c r="CQ15" s="2382"/>
      <c r="CR15" s="2382"/>
      <c r="CS15" s="2382"/>
      <c r="CT15" s="2382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CU15" s="2382"/>
      <c r="CV15" s="2382"/>
      <c r="CW15" s="2382"/>
      <c r="CX15" s="2382"/>
      <c r="CY15" s="2382"/>
      <c r="CZ15" s="2382"/>
      <c r="DA15" s="2382"/>
      <c r="DB15" s="2382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2"/>
      <c r="DD15" s="2382"/>
      <c r="DE15" s="2382"/>
      <c r="DF15" s="2382"/>
      <c r="DG15" s="2382"/>
      <c r="DH15" s="2382"/>
      <c r="DI15" s="2382"/>
      <c r="DJ15" s="2382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2"/>
      <c r="DL15" s="2382"/>
      <c r="DM15" s="2382"/>
      <c r="DN15" s="2382"/>
      <c r="DO15" s="2382"/>
      <c r="DP15" s="2382"/>
      <c r="DQ15" s="2382"/>
      <c r="DR15" s="2382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2"/>
      <c r="DT15" s="2382"/>
      <c r="DU15" s="2382"/>
      <c r="DV15" s="2382"/>
      <c r="DW15" s="2382"/>
      <c r="DX15" s="2382"/>
      <c r="DY15" s="2382"/>
      <c r="DZ15" s="2382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2"/>
      <c r="EB15" s="2382"/>
      <c r="EC15" s="2382"/>
      <c r="ED15" s="2382"/>
      <c r="EE15" s="2382"/>
      <c r="EF15" s="2382"/>
      <c r="EG15" s="2382"/>
      <c r="EH15" s="2382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2"/>
      <c r="EJ15" s="2382"/>
      <c r="EK15" s="2382"/>
      <c r="EL15" s="2382"/>
      <c r="EM15" s="2382"/>
      <c r="EN15" s="2382"/>
      <c r="EO15" s="2382"/>
      <c r="EP15" s="2382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2"/>
      <c r="ER15" s="2382"/>
      <c r="ES15" s="2382"/>
      <c r="ET15" s="2382"/>
      <c r="EU15" s="2382"/>
      <c r="EV15" s="2382"/>
      <c r="EW15" s="2382"/>
      <c r="EX15" s="2382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2"/>
      <c r="EZ15" s="2382"/>
      <c r="FA15" s="2382"/>
      <c r="FB15" s="2382"/>
      <c r="FC15" s="2382"/>
      <c r="FD15" s="2382"/>
      <c r="FE15" s="2382"/>
      <c r="FF15" s="2382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2"/>
      <c r="FH15" s="2382"/>
      <c r="FI15" s="2382"/>
      <c r="FJ15" s="2382"/>
      <c r="FK15" s="2382"/>
      <c r="FL15" s="2382"/>
      <c r="FM15" s="2382"/>
      <c r="FN15" s="2382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2"/>
      <c r="FP15" s="2382"/>
      <c r="FQ15" s="2382"/>
      <c r="FR15" s="2382"/>
      <c r="FS15" s="2382"/>
      <c r="FT15" s="2382"/>
      <c r="FU15" s="2382"/>
      <c r="FV15" s="2382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2"/>
      <c r="FX15" s="2382"/>
      <c r="FY15" s="2382"/>
      <c r="FZ15" s="2382"/>
      <c r="GA15" s="2382"/>
      <c r="GB15" s="2382"/>
      <c r="GC15" s="2382"/>
      <c r="GD15" s="2383"/>
      <c r="GE15" s="2383"/>
      <c r="GF15" s="2383"/>
      <c r="GG15" s="2383"/>
    </row>
    <row r="16" spans="1:223" ht="44.25" customHeight="1" x14ac:dyDescent="0.35">
      <c r="A16" s="338">
        <v>2</v>
      </c>
      <c r="B16" s="2382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16" s="2382"/>
      <c r="D16" s="2382"/>
      <c r="E16" s="2382"/>
      <c r="F16" s="2382"/>
      <c r="G16" s="2382"/>
      <c r="H16" s="2382"/>
      <c r="I16" s="2382"/>
      <c r="J16" s="2382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K16" s="2382"/>
      <c r="L16" s="2382"/>
      <c r="M16" s="2382"/>
      <c r="N16" s="2382"/>
      <c r="O16" s="2382"/>
      <c r="P16" s="2382"/>
      <c r="Q16" s="2382"/>
      <c r="R16" s="2382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O</v>
      </c>
      <c r="S16" s="2382"/>
      <c r="T16" s="2382"/>
      <c r="U16" s="2382"/>
      <c r="V16" s="2382"/>
      <c r="W16" s="2382"/>
      <c r="X16" s="2382"/>
      <c r="Y16" s="2382"/>
      <c r="Z16" s="2382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O</v>
      </c>
      <c r="AA16" s="2382"/>
      <c r="AB16" s="2382"/>
      <c r="AC16" s="2382"/>
      <c r="AD16" s="2382"/>
      <c r="AE16" s="2382"/>
      <c r="AF16" s="2382"/>
      <c r="AG16" s="2382"/>
      <c r="AH16" s="2382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O</v>
      </c>
      <c r="AI16" s="2382"/>
      <c r="AJ16" s="2382"/>
      <c r="AK16" s="2382"/>
      <c r="AL16" s="2382"/>
      <c r="AM16" s="2382"/>
      <c r="AN16" s="2382"/>
      <c r="AO16" s="2382"/>
      <c r="AP16" s="2382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2"/>
      <c r="AR16" s="2382"/>
      <c r="AS16" s="2382"/>
      <c r="AT16" s="2382"/>
      <c r="AU16" s="2382"/>
      <c r="AV16" s="2382"/>
      <c r="AW16" s="2382"/>
      <c r="AX16" s="2382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2"/>
      <c r="AZ16" s="2382"/>
      <c r="BA16" s="2382"/>
      <c r="BB16" s="2382"/>
      <c r="BC16" s="2382"/>
      <c r="BD16" s="2382"/>
      <c r="BE16" s="2382"/>
      <c r="BF16" s="2382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2"/>
      <c r="BH16" s="2382"/>
      <c r="BI16" s="2382"/>
      <c r="BJ16" s="2382"/>
      <c r="BK16" s="2382"/>
      <c r="BL16" s="2382"/>
      <c r="BM16" s="2382"/>
      <c r="BN16" s="2382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2"/>
      <c r="BP16" s="2382"/>
      <c r="BQ16" s="2382"/>
      <c r="BR16" s="2382"/>
      <c r="BS16" s="2382"/>
      <c r="BT16" s="2382"/>
      <c r="BU16" s="2382"/>
      <c r="BV16" s="2382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W16" s="2382"/>
      <c r="BX16" s="2382"/>
      <c r="BY16" s="2382"/>
      <c r="BZ16" s="2382"/>
      <c r="CA16" s="2382"/>
      <c r="CB16" s="2382"/>
      <c r="CC16" s="2382"/>
      <c r="CD16" s="2382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CE16" s="2382"/>
      <c r="CF16" s="2382"/>
      <c r="CG16" s="2382"/>
      <c r="CH16" s="2382"/>
      <c r="CI16" s="2382"/>
      <c r="CJ16" s="2382"/>
      <c r="CK16" s="2382"/>
      <c r="CL16" s="2382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CM16" s="2382"/>
      <c r="CN16" s="2382"/>
      <c r="CO16" s="2382"/>
      <c r="CP16" s="2382"/>
      <c r="CQ16" s="2382"/>
      <c r="CR16" s="2382"/>
      <c r="CS16" s="2382"/>
      <c r="CT16" s="2382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CU16" s="2382"/>
      <c r="CV16" s="2382"/>
      <c r="CW16" s="2382"/>
      <c r="CX16" s="2382"/>
      <c r="CY16" s="2382"/>
      <c r="CZ16" s="2382"/>
      <c r="DA16" s="2382"/>
      <c r="DB16" s="2382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2"/>
      <c r="DD16" s="2382"/>
      <c r="DE16" s="2382"/>
      <c r="DF16" s="2382"/>
      <c r="DG16" s="2382"/>
      <c r="DH16" s="2382"/>
      <c r="DI16" s="2382"/>
      <c r="DJ16" s="2382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2"/>
      <c r="DL16" s="2382"/>
      <c r="DM16" s="2382"/>
      <c r="DN16" s="2382"/>
      <c r="DO16" s="2382"/>
      <c r="DP16" s="2382"/>
      <c r="DQ16" s="2382"/>
      <c r="DR16" s="2382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2"/>
      <c r="DT16" s="2382"/>
      <c r="DU16" s="2382"/>
      <c r="DV16" s="2382"/>
      <c r="DW16" s="2382"/>
      <c r="DX16" s="2382"/>
      <c r="DY16" s="2382"/>
      <c r="DZ16" s="2382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2"/>
      <c r="EB16" s="2382"/>
      <c r="EC16" s="2382"/>
      <c r="ED16" s="2382"/>
      <c r="EE16" s="2382"/>
      <c r="EF16" s="2382"/>
      <c r="EG16" s="2382"/>
      <c r="EH16" s="2382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2"/>
      <c r="EJ16" s="2382"/>
      <c r="EK16" s="2382"/>
      <c r="EL16" s="2382"/>
      <c r="EM16" s="2382"/>
      <c r="EN16" s="2382"/>
      <c r="EO16" s="2382"/>
      <c r="EP16" s="2382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2"/>
      <c r="ER16" s="2382"/>
      <c r="ES16" s="2382"/>
      <c r="ET16" s="2382"/>
      <c r="EU16" s="2382"/>
      <c r="EV16" s="2382"/>
      <c r="EW16" s="2382"/>
      <c r="EX16" s="2382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2"/>
      <c r="EZ16" s="2382"/>
      <c r="FA16" s="2382"/>
      <c r="FB16" s="2382"/>
      <c r="FC16" s="2382"/>
      <c r="FD16" s="2382"/>
      <c r="FE16" s="2382"/>
      <c r="FF16" s="2382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2"/>
      <c r="FH16" s="2382"/>
      <c r="FI16" s="2382"/>
      <c r="FJ16" s="2382"/>
      <c r="FK16" s="2382"/>
      <c r="FL16" s="2382"/>
      <c r="FM16" s="2382"/>
      <c r="FN16" s="2382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2"/>
      <c r="FP16" s="2382"/>
      <c r="FQ16" s="2382"/>
      <c r="FR16" s="2382"/>
      <c r="FS16" s="2382"/>
      <c r="FT16" s="2382"/>
      <c r="FU16" s="2382"/>
      <c r="FV16" s="2382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2"/>
      <c r="FX16" s="2382"/>
      <c r="FY16" s="2382"/>
      <c r="FZ16" s="2382"/>
      <c r="GA16" s="2382"/>
      <c r="GB16" s="2382"/>
      <c r="GC16" s="2382"/>
      <c r="GD16" s="2383"/>
      <c r="GE16" s="2383"/>
      <c r="GF16" s="2383"/>
      <c r="GG16" s="2383"/>
    </row>
    <row r="17" spans="1:206" ht="44.25" customHeight="1" x14ac:dyDescent="0.35">
      <c r="A17" s="338">
        <v>3</v>
      </c>
      <c r="B17" s="2382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17" s="2382"/>
      <c r="D17" s="2382"/>
      <c r="E17" s="2382"/>
      <c r="F17" s="2382"/>
      <c r="G17" s="2382"/>
      <c r="H17" s="2382"/>
      <c r="I17" s="2382"/>
      <c r="J17" s="2382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O</v>
      </c>
      <c r="K17" s="2382"/>
      <c r="L17" s="2382"/>
      <c r="M17" s="2382"/>
      <c r="N17" s="2382"/>
      <c r="O17" s="2382"/>
      <c r="P17" s="2382"/>
      <c r="Q17" s="2382"/>
      <c r="R17" s="2382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S17" s="2382"/>
      <c r="T17" s="2382"/>
      <c r="U17" s="2382"/>
      <c r="V17" s="2382"/>
      <c r="W17" s="2382"/>
      <c r="X17" s="2382"/>
      <c r="Y17" s="2382"/>
      <c r="Z17" s="2382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AA17" s="2382"/>
      <c r="AB17" s="2382"/>
      <c r="AC17" s="2382"/>
      <c r="AD17" s="2382"/>
      <c r="AE17" s="2382"/>
      <c r="AF17" s="2382"/>
      <c r="AG17" s="2382"/>
      <c r="AH17" s="2382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O</v>
      </c>
      <c r="AI17" s="2382"/>
      <c r="AJ17" s="2382"/>
      <c r="AK17" s="2382"/>
      <c r="AL17" s="2382"/>
      <c r="AM17" s="2382"/>
      <c r="AN17" s="2382"/>
      <c r="AO17" s="2382"/>
      <c r="AP17" s="2382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O</v>
      </c>
      <c r="AQ17" s="2382"/>
      <c r="AR17" s="2382"/>
      <c r="AS17" s="2382"/>
      <c r="AT17" s="2382"/>
      <c r="AU17" s="2382"/>
      <c r="AV17" s="2382"/>
      <c r="AW17" s="2382"/>
      <c r="AX17" s="2382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O</v>
      </c>
      <c r="AY17" s="2382"/>
      <c r="AZ17" s="2382"/>
      <c r="BA17" s="2382"/>
      <c r="BB17" s="2382"/>
      <c r="BC17" s="2382"/>
      <c r="BD17" s="2382"/>
      <c r="BE17" s="2382"/>
      <c r="BF17" s="2382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2"/>
      <c r="BH17" s="2382"/>
      <c r="BI17" s="2382"/>
      <c r="BJ17" s="2382"/>
      <c r="BK17" s="2382"/>
      <c r="BL17" s="2382"/>
      <c r="BM17" s="2382"/>
      <c r="BN17" s="2382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2"/>
      <c r="BP17" s="2382"/>
      <c r="BQ17" s="2382"/>
      <c r="BR17" s="2382"/>
      <c r="BS17" s="2382"/>
      <c r="BT17" s="2382"/>
      <c r="BU17" s="2382"/>
      <c r="BV17" s="2382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W17" s="2382"/>
      <c r="BX17" s="2382"/>
      <c r="BY17" s="2382"/>
      <c r="BZ17" s="2382"/>
      <c r="CA17" s="2382"/>
      <c r="CB17" s="2382"/>
      <c r="CC17" s="2382"/>
      <c r="CD17" s="2382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CE17" s="2382"/>
      <c r="CF17" s="2382"/>
      <c r="CG17" s="2382"/>
      <c r="CH17" s="2382"/>
      <c r="CI17" s="2382"/>
      <c r="CJ17" s="2382"/>
      <c r="CK17" s="2382"/>
      <c r="CL17" s="2382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CM17" s="2382"/>
      <c r="CN17" s="2382"/>
      <c r="CO17" s="2382"/>
      <c r="CP17" s="2382"/>
      <c r="CQ17" s="2382"/>
      <c r="CR17" s="2382"/>
      <c r="CS17" s="2382"/>
      <c r="CT17" s="2382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2"/>
      <c r="CV17" s="2382"/>
      <c r="CW17" s="2382"/>
      <c r="CX17" s="2382"/>
      <c r="CY17" s="2382"/>
      <c r="CZ17" s="2382"/>
      <c r="DA17" s="2382"/>
      <c r="DB17" s="2382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2"/>
      <c r="DD17" s="2382"/>
      <c r="DE17" s="2382"/>
      <c r="DF17" s="2382"/>
      <c r="DG17" s="2382"/>
      <c r="DH17" s="2382"/>
      <c r="DI17" s="2382"/>
      <c r="DJ17" s="2382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2"/>
      <c r="DL17" s="2382"/>
      <c r="DM17" s="2382"/>
      <c r="DN17" s="2382"/>
      <c r="DO17" s="2382"/>
      <c r="DP17" s="2382"/>
      <c r="DQ17" s="2382"/>
      <c r="DR17" s="2382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2"/>
      <c r="DT17" s="2382"/>
      <c r="DU17" s="2382"/>
      <c r="DV17" s="2382"/>
      <c r="DW17" s="2382"/>
      <c r="DX17" s="2382"/>
      <c r="DY17" s="2382"/>
      <c r="DZ17" s="2382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2"/>
      <c r="EB17" s="2382"/>
      <c r="EC17" s="2382"/>
      <c r="ED17" s="2382"/>
      <c r="EE17" s="2382"/>
      <c r="EF17" s="2382"/>
      <c r="EG17" s="2382"/>
      <c r="EH17" s="2382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2"/>
      <c r="EJ17" s="2382"/>
      <c r="EK17" s="2382"/>
      <c r="EL17" s="2382"/>
      <c r="EM17" s="2382"/>
      <c r="EN17" s="2382"/>
      <c r="EO17" s="2382"/>
      <c r="EP17" s="2382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2"/>
      <c r="ER17" s="2382"/>
      <c r="ES17" s="2382"/>
      <c r="ET17" s="2382"/>
      <c r="EU17" s="2382"/>
      <c r="EV17" s="2382"/>
      <c r="EW17" s="2382"/>
      <c r="EX17" s="2382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2"/>
      <c r="EZ17" s="2382"/>
      <c r="FA17" s="2382"/>
      <c r="FB17" s="2382"/>
      <c r="FC17" s="2382"/>
      <c r="FD17" s="2382"/>
      <c r="FE17" s="2382"/>
      <c r="FF17" s="2382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2"/>
      <c r="FH17" s="2382"/>
      <c r="FI17" s="2382"/>
      <c r="FJ17" s="2382"/>
      <c r="FK17" s="2382"/>
      <c r="FL17" s="2382"/>
      <c r="FM17" s="2382"/>
      <c r="FN17" s="2382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2"/>
      <c r="FP17" s="2382"/>
      <c r="FQ17" s="2382"/>
      <c r="FR17" s="2382"/>
      <c r="FS17" s="2382"/>
      <c r="FT17" s="2382"/>
      <c r="FU17" s="2382"/>
      <c r="FV17" s="2382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2"/>
      <c r="FX17" s="2382"/>
      <c r="FY17" s="2382"/>
      <c r="FZ17" s="2382"/>
      <c r="GA17" s="2382"/>
      <c r="GB17" s="2382"/>
      <c r="GC17" s="2382"/>
      <c r="GD17" s="2383"/>
      <c r="GE17" s="2383"/>
      <c r="GF17" s="2383"/>
      <c r="GG17" s="2383"/>
    </row>
    <row r="18" spans="1:206" ht="44.25" customHeight="1" x14ac:dyDescent="0.35">
      <c r="A18" s="338">
        <v>4</v>
      </c>
      <c r="B18" s="2382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18" s="2382"/>
      <c r="D18" s="2382"/>
      <c r="E18" s="2382"/>
      <c r="F18" s="2382"/>
      <c r="G18" s="2382"/>
      <c r="H18" s="2382"/>
      <c r="I18" s="2382"/>
      <c r="J18" s="2382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K18" s="2382"/>
      <c r="L18" s="2382"/>
      <c r="M18" s="2382"/>
      <c r="N18" s="2382"/>
      <c r="O18" s="2382"/>
      <c r="P18" s="2382"/>
      <c r="Q18" s="2382"/>
      <c r="R18" s="2382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O</v>
      </c>
      <c r="S18" s="2382"/>
      <c r="T18" s="2382"/>
      <c r="U18" s="2382"/>
      <c r="V18" s="2382"/>
      <c r="W18" s="2382"/>
      <c r="X18" s="2382"/>
      <c r="Y18" s="2382"/>
      <c r="Z18" s="2382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S</v>
      </c>
      <c r="AA18" s="2382"/>
      <c r="AB18" s="2382"/>
      <c r="AC18" s="2382"/>
      <c r="AD18" s="2382"/>
      <c r="AE18" s="2382"/>
      <c r="AF18" s="2382"/>
      <c r="AG18" s="2382"/>
      <c r="AH18" s="2382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O</v>
      </c>
      <c r="AI18" s="2382"/>
      <c r="AJ18" s="2382"/>
      <c r="AK18" s="2382"/>
      <c r="AL18" s="2382"/>
      <c r="AM18" s="2382"/>
      <c r="AN18" s="2382"/>
      <c r="AO18" s="2382"/>
      <c r="AP18" s="2382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O</v>
      </c>
      <c r="AQ18" s="2382"/>
      <c r="AR18" s="2382"/>
      <c r="AS18" s="2382"/>
      <c r="AT18" s="2382"/>
      <c r="AU18" s="2382"/>
      <c r="AV18" s="2382"/>
      <c r="AW18" s="2382"/>
      <c r="AX18" s="2382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O</v>
      </c>
      <c r="AY18" s="2382"/>
      <c r="AZ18" s="2382"/>
      <c r="BA18" s="2382"/>
      <c r="BB18" s="2382"/>
      <c r="BC18" s="2382"/>
      <c r="BD18" s="2382"/>
      <c r="BE18" s="2382"/>
      <c r="BF18" s="2382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O</v>
      </c>
      <c r="BG18" s="2382"/>
      <c r="BH18" s="2382"/>
      <c r="BI18" s="2382"/>
      <c r="BJ18" s="2382"/>
      <c r="BK18" s="2382"/>
      <c r="BL18" s="2382"/>
      <c r="BM18" s="2382"/>
      <c r="BN18" s="2382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2"/>
      <c r="BP18" s="2382"/>
      <c r="BQ18" s="2382"/>
      <c r="BR18" s="2382"/>
      <c r="BS18" s="2382"/>
      <c r="BT18" s="2382"/>
      <c r="BU18" s="2382"/>
      <c r="BV18" s="2382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W18" s="2382"/>
      <c r="BX18" s="2382"/>
      <c r="BY18" s="2382"/>
      <c r="BZ18" s="2382"/>
      <c r="CA18" s="2382"/>
      <c r="CB18" s="2382"/>
      <c r="CC18" s="2382"/>
      <c r="CD18" s="2382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CE18" s="2382"/>
      <c r="CF18" s="2382"/>
      <c r="CG18" s="2382"/>
      <c r="CH18" s="2382"/>
      <c r="CI18" s="2382"/>
      <c r="CJ18" s="2382"/>
      <c r="CK18" s="2382"/>
      <c r="CL18" s="2382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CM18" s="2382"/>
      <c r="CN18" s="2382"/>
      <c r="CO18" s="2382"/>
      <c r="CP18" s="2382"/>
      <c r="CQ18" s="2382"/>
      <c r="CR18" s="2382"/>
      <c r="CS18" s="2382"/>
      <c r="CT18" s="2382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CU18" s="2382"/>
      <c r="CV18" s="2382"/>
      <c r="CW18" s="2382"/>
      <c r="CX18" s="2382"/>
      <c r="CY18" s="2382"/>
      <c r="CZ18" s="2382"/>
      <c r="DA18" s="2382"/>
      <c r="DB18" s="2382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2"/>
      <c r="DD18" s="2382"/>
      <c r="DE18" s="2382"/>
      <c r="DF18" s="2382"/>
      <c r="DG18" s="2382"/>
      <c r="DH18" s="2382"/>
      <c r="DI18" s="2382"/>
      <c r="DJ18" s="2382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2"/>
      <c r="DL18" s="2382"/>
      <c r="DM18" s="2382"/>
      <c r="DN18" s="2382"/>
      <c r="DO18" s="2382"/>
      <c r="DP18" s="2382"/>
      <c r="DQ18" s="2382"/>
      <c r="DR18" s="2382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2"/>
      <c r="DT18" s="2382"/>
      <c r="DU18" s="2382"/>
      <c r="DV18" s="2382"/>
      <c r="DW18" s="2382"/>
      <c r="DX18" s="2382"/>
      <c r="DY18" s="2382"/>
      <c r="DZ18" s="2382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2"/>
      <c r="EB18" s="2382"/>
      <c r="EC18" s="2382"/>
      <c r="ED18" s="2382"/>
      <c r="EE18" s="2382"/>
      <c r="EF18" s="2382"/>
      <c r="EG18" s="2382"/>
      <c r="EH18" s="2382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2"/>
      <c r="EJ18" s="2382"/>
      <c r="EK18" s="2382"/>
      <c r="EL18" s="2382"/>
      <c r="EM18" s="2382"/>
      <c r="EN18" s="2382"/>
      <c r="EO18" s="2382"/>
      <c r="EP18" s="2382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2"/>
      <c r="ER18" s="2382"/>
      <c r="ES18" s="2382"/>
      <c r="ET18" s="2382"/>
      <c r="EU18" s="2382"/>
      <c r="EV18" s="2382"/>
      <c r="EW18" s="2382"/>
      <c r="EX18" s="2382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2"/>
      <c r="EZ18" s="2382"/>
      <c r="FA18" s="2382"/>
      <c r="FB18" s="2382"/>
      <c r="FC18" s="2382"/>
      <c r="FD18" s="2382"/>
      <c r="FE18" s="2382"/>
      <c r="FF18" s="2382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2"/>
      <c r="FH18" s="2382"/>
      <c r="FI18" s="2382"/>
      <c r="FJ18" s="2382"/>
      <c r="FK18" s="2382"/>
      <c r="FL18" s="2382"/>
      <c r="FM18" s="2382"/>
      <c r="FN18" s="2382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2"/>
      <c r="FP18" s="2382"/>
      <c r="FQ18" s="2382"/>
      <c r="FR18" s="2382"/>
      <c r="FS18" s="2382"/>
      <c r="FT18" s="2382"/>
      <c r="FU18" s="2382"/>
      <c r="FV18" s="2382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2"/>
      <c r="FX18" s="2382"/>
      <c r="FY18" s="2382"/>
      <c r="FZ18" s="2382"/>
      <c r="GA18" s="2382"/>
      <c r="GB18" s="2382"/>
      <c r="GC18" s="2382"/>
      <c r="GD18" s="2383"/>
      <c r="GE18" s="2383"/>
      <c r="GF18" s="2383"/>
      <c r="GG18" s="2383"/>
    </row>
    <row r="19" spans="1:206" ht="44.25" customHeight="1" x14ac:dyDescent="0.35">
      <c r="A19" s="338">
        <v>5</v>
      </c>
      <c r="B19" s="2382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19" s="2382"/>
      <c r="D19" s="2382"/>
      <c r="E19" s="2382"/>
      <c r="F19" s="2382"/>
      <c r="G19" s="2382"/>
      <c r="H19" s="2382"/>
      <c r="I19" s="2382"/>
      <c r="J19" s="2382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2"/>
      <c r="L19" s="2382"/>
      <c r="M19" s="2382"/>
      <c r="N19" s="2382"/>
      <c r="O19" s="2382"/>
      <c r="P19" s="2382"/>
      <c r="Q19" s="2382"/>
      <c r="R19" s="2382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O</v>
      </c>
      <c r="S19" s="2382"/>
      <c r="T19" s="2382"/>
      <c r="U19" s="2382"/>
      <c r="V19" s="2382"/>
      <c r="W19" s="2382"/>
      <c r="X19" s="2382"/>
      <c r="Y19" s="2382"/>
      <c r="Z19" s="2382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O</v>
      </c>
      <c r="AA19" s="2382"/>
      <c r="AB19" s="2382"/>
      <c r="AC19" s="2382"/>
      <c r="AD19" s="2382"/>
      <c r="AE19" s="2382"/>
      <c r="AF19" s="2382"/>
      <c r="AG19" s="2382"/>
      <c r="AH19" s="2382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O</v>
      </c>
      <c r="AI19" s="2382"/>
      <c r="AJ19" s="2382"/>
      <c r="AK19" s="2382"/>
      <c r="AL19" s="2382"/>
      <c r="AM19" s="2382"/>
      <c r="AN19" s="2382"/>
      <c r="AO19" s="2382"/>
      <c r="AP19" s="2382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Q19" s="2382"/>
      <c r="AR19" s="2382"/>
      <c r="AS19" s="2382"/>
      <c r="AT19" s="2382"/>
      <c r="AU19" s="2382"/>
      <c r="AV19" s="2382"/>
      <c r="AW19" s="2382"/>
      <c r="AX19" s="2382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Y19" s="2382"/>
      <c r="AZ19" s="2382"/>
      <c r="BA19" s="2382"/>
      <c r="BB19" s="2382"/>
      <c r="BC19" s="2382"/>
      <c r="BD19" s="2382"/>
      <c r="BE19" s="2382"/>
      <c r="BF19" s="2382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BG19" s="2382"/>
      <c r="BH19" s="2382"/>
      <c r="BI19" s="2382"/>
      <c r="BJ19" s="2382"/>
      <c r="BK19" s="2382"/>
      <c r="BL19" s="2382"/>
      <c r="BM19" s="2382"/>
      <c r="BN19" s="2382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2"/>
      <c r="BP19" s="2382"/>
      <c r="BQ19" s="2382"/>
      <c r="BR19" s="2382"/>
      <c r="BS19" s="2382"/>
      <c r="BT19" s="2382"/>
      <c r="BU19" s="2382"/>
      <c r="BV19" s="2382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W19" s="2382"/>
      <c r="BX19" s="2382"/>
      <c r="BY19" s="2382"/>
      <c r="BZ19" s="2382"/>
      <c r="CA19" s="2382"/>
      <c r="CB19" s="2382"/>
      <c r="CC19" s="2382"/>
      <c r="CD19" s="2382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CE19" s="2382"/>
      <c r="CF19" s="2382"/>
      <c r="CG19" s="2382"/>
      <c r="CH19" s="2382"/>
      <c r="CI19" s="2382"/>
      <c r="CJ19" s="2382"/>
      <c r="CK19" s="2382"/>
      <c r="CL19" s="2382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CM19" s="2382"/>
      <c r="CN19" s="2382"/>
      <c r="CO19" s="2382"/>
      <c r="CP19" s="2382"/>
      <c r="CQ19" s="2382"/>
      <c r="CR19" s="2382"/>
      <c r="CS19" s="2382"/>
      <c r="CT19" s="2382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CU19" s="2382"/>
      <c r="CV19" s="2382"/>
      <c r="CW19" s="2382"/>
      <c r="CX19" s="2382"/>
      <c r="CY19" s="2382"/>
      <c r="CZ19" s="2382"/>
      <c r="DA19" s="2382"/>
      <c r="DB19" s="2382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2"/>
      <c r="DD19" s="2382"/>
      <c r="DE19" s="2382"/>
      <c r="DF19" s="2382"/>
      <c r="DG19" s="2382"/>
      <c r="DH19" s="2382"/>
      <c r="DI19" s="2382"/>
      <c r="DJ19" s="2382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2"/>
      <c r="DL19" s="2382"/>
      <c r="DM19" s="2382"/>
      <c r="DN19" s="2382"/>
      <c r="DO19" s="2382"/>
      <c r="DP19" s="2382"/>
      <c r="DQ19" s="2382"/>
      <c r="DR19" s="2382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2"/>
      <c r="DT19" s="2382"/>
      <c r="DU19" s="2382"/>
      <c r="DV19" s="2382"/>
      <c r="DW19" s="2382"/>
      <c r="DX19" s="2382"/>
      <c r="DY19" s="2382"/>
      <c r="DZ19" s="2382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2"/>
      <c r="EB19" s="2382"/>
      <c r="EC19" s="2382"/>
      <c r="ED19" s="2382"/>
      <c r="EE19" s="2382"/>
      <c r="EF19" s="2382"/>
      <c r="EG19" s="2382"/>
      <c r="EH19" s="2382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2"/>
      <c r="EJ19" s="2382"/>
      <c r="EK19" s="2382"/>
      <c r="EL19" s="2382"/>
      <c r="EM19" s="2382"/>
      <c r="EN19" s="2382"/>
      <c r="EO19" s="2382"/>
      <c r="EP19" s="2382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2"/>
      <c r="ER19" s="2382"/>
      <c r="ES19" s="2382"/>
      <c r="ET19" s="2382"/>
      <c r="EU19" s="2382"/>
      <c r="EV19" s="2382"/>
      <c r="EW19" s="2382"/>
      <c r="EX19" s="2382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2"/>
      <c r="EZ19" s="2382"/>
      <c r="FA19" s="2382"/>
      <c r="FB19" s="2382"/>
      <c r="FC19" s="2382"/>
      <c r="FD19" s="2382"/>
      <c r="FE19" s="2382"/>
      <c r="FF19" s="2382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2"/>
      <c r="FH19" s="2382"/>
      <c r="FI19" s="2382"/>
      <c r="FJ19" s="2382"/>
      <c r="FK19" s="2382"/>
      <c r="FL19" s="2382"/>
      <c r="FM19" s="2382"/>
      <c r="FN19" s="2382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2"/>
      <c r="FP19" s="2382"/>
      <c r="FQ19" s="2382"/>
      <c r="FR19" s="2382"/>
      <c r="FS19" s="2382"/>
      <c r="FT19" s="2382"/>
      <c r="FU19" s="2382"/>
      <c r="FV19" s="2382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2"/>
      <c r="FX19" s="2382"/>
      <c r="FY19" s="2382"/>
      <c r="FZ19" s="2382"/>
      <c r="GA19" s="2382"/>
      <c r="GB19" s="2382"/>
      <c r="GC19" s="2382"/>
      <c r="GD19" s="2383"/>
      <c r="GE19" s="2383"/>
      <c r="GF19" s="2383"/>
      <c r="GG19" s="2383"/>
    </row>
    <row r="20" spans="1:206" ht="44.25" customHeight="1" x14ac:dyDescent="0.35">
      <c r="A20" s="338">
        <v>6</v>
      </c>
      <c r="B20" s="2382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20" s="2382"/>
      <c r="D20" s="2382"/>
      <c r="E20" s="2382"/>
      <c r="F20" s="2382"/>
      <c r="G20" s="2382"/>
      <c r="H20" s="2382"/>
      <c r="I20" s="2382"/>
      <c r="J20" s="2382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K20" s="2382"/>
      <c r="L20" s="2382"/>
      <c r="M20" s="2382"/>
      <c r="N20" s="2382"/>
      <c r="O20" s="2382"/>
      <c r="P20" s="2382"/>
      <c r="Q20" s="2382"/>
      <c r="R20" s="2382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S20" s="2382"/>
      <c r="T20" s="2382"/>
      <c r="U20" s="2382"/>
      <c r="V20" s="2382"/>
      <c r="W20" s="2382"/>
      <c r="X20" s="2382"/>
      <c r="Y20" s="2382"/>
      <c r="Z20" s="2382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A20" s="2382"/>
      <c r="AB20" s="2382"/>
      <c r="AC20" s="2382"/>
      <c r="AD20" s="2382"/>
      <c r="AE20" s="2382"/>
      <c r="AF20" s="2382"/>
      <c r="AG20" s="2382"/>
      <c r="AH20" s="2382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I20" s="2382"/>
      <c r="AJ20" s="2382"/>
      <c r="AK20" s="2382"/>
      <c r="AL20" s="2382"/>
      <c r="AM20" s="2382"/>
      <c r="AN20" s="2382"/>
      <c r="AO20" s="2382"/>
      <c r="AP20" s="2382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2"/>
      <c r="AR20" s="2382"/>
      <c r="AS20" s="2382"/>
      <c r="AT20" s="2382"/>
      <c r="AU20" s="2382"/>
      <c r="AV20" s="2382"/>
      <c r="AW20" s="2382"/>
      <c r="AX20" s="2382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2"/>
      <c r="AZ20" s="2382"/>
      <c r="BA20" s="2382"/>
      <c r="BB20" s="2382"/>
      <c r="BC20" s="2382"/>
      <c r="BD20" s="2382"/>
      <c r="BE20" s="2382"/>
      <c r="BF20" s="2382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2"/>
      <c r="BH20" s="2382"/>
      <c r="BI20" s="2382"/>
      <c r="BJ20" s="2382"/>
      <c r="BK20" s="2382"/>
      <c r="BL20" s="2382"/>
      <c r="BM20" s="2382"/>
      <c r="BN20" s="2382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2"/>
      <c r="BP20" s="2382"/>
      <c r="BQ20" s="2382"/>
      <c r="BR20" s="2382"/>
      <c r="BS20" s="2382"/>
      <c r="BT20" s="2382"/>
      <c r="BU20" s="2382"/>
      <c r="BV20" s="2382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W20" s="2382"/>
      <c r="BX20" s="2382"/>
      <c r="BY20" s="2382"/>
      <c r="BZ20" s="2382"/>
      <c r="CA20" s="2382"/>
      <c r="CB20" s="2382"/>
      <c r="CC20" s="2382"/>
      <c r="CD20" s="2382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CE20" s="2382"/>
      <c r="CF20" s="2382"/>
      <c r="CG20" s="2382"/>
      <c r="CH20" s="2382"/>
      <c r="CI20" s="2382"/>
      <c r="CJ20" s="2382"/>
      <c r="CK20" s="2382"/>
      <c r="CL20" s="2382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CM20" s="2382"/>
      <c r="CN20" s="2382"/>
      <c r="CO20" s="2382"/>
      <c r="CP20" s="2382"/>
      <c r="CQ20" s="2382"/>
      <c r="CR20" s="2382"/>
      <c r="CS20" s="2382"/>
      <c r="CT20" s="2382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CU20" s="2382"/>
      <c r="CV20" s="2382"/>
      <c r="CW20" s="2382"/>
      <c r="CX20" s="2382"/>
      <c r="CY20" s="2382"/>
      <c r="CZ20" s="2382"/>
      <c r="DA20" s="2382"/>
      <c r="DB20" s="2382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2"/>
      <c r="DD20" s="2382"/>
      <c r="DE20" s="2382"/>
      <c r="DF20" s="2382"/>
      <c r="DG20" s="2382"/>
      <c r="DH20" s="2382"/>
      <c r="DI20" s="2382"/>
      <c r="DJ20" s="2382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2"/>
      <c r="DL20" s="2382"/>
      <c r="DM20" s="2382"/>
      <c r="DN20" s="2382"/>
      <c r="DO20" s="2382"/>
      <c r="DP20" s="2382"/>
      <c r="DQ20" s="2382"/>
      <c r="DR20" s="2382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2"/>
      <c r="DT20" s="2382"/>
      <c r="DU20" s="2382"/>
      <c r="DV20" s="2382"/>
      <c r="DW20" s="2382"/>
      <c r="DX20" s="2382"/>
      <c r="DY20" s="2382"/>
      <c r="DZ20" s="2382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2"/>
      <c r="EB20" s="2382"/>
      <c r="EC20" s="2382"/>
      <c r="ED20" s="2382"/>
      <c r="EE20" s="2382"/>
      <c r="EF20" s="2382"/>
      <c r="EG20" s="2382"/>
      <c r="EH20" s="2382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2"/>
      <c r="EJ20" s="2382"/>
      <c r="EK20" s="2382"/>
      <c r="EL20" s="2382"/>
      <c r="EM20" s="2382"/>
      <c r="EN20" s="2382"/>
      <c r="EO20" s="2382"/>
      <c r="EP20" s="2382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2"/>
      <c r="ER20" s="2382"/>
      <c r="ES20" s="2382"/>
      <c r="ET20" s="2382"/>
      <c r="EU20" s="2382"/>
      <c r="EV20" s="2382"/>
      <c r="EW20" s="2382"/>
      <c r="EX20" s="2382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2"/>
      <c r="EZ20" s="2382"/>
      <c r="FA20" s="2382"/>
      <c r="FB20" s="2382"/>
      <c r="FC20" s="2382"/>
      <c r="FD20" s="2382"/>
      <c r="FE20" s="2382"/>
      <c r="FF20" s="2382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2"/>
      <c r="FH20" s="2382"/>
      <c r="FI20" s="2382"/>
      <c r="FJ20" s="2382"/>
      <c r="FK20" s="2382"/>
      <c r="FL20" s="2382"/>
      <c r="FM20" s="2382"/>
      <c r="FN20" s="2382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2"/>
      <c r="FP20" s="2382"/>
      <c r="FQ20" s="2382"/>
      <c r="FR20" s="2382"/>
      <c r="FS20" s="2382"/>
      <c r="FT20" s="2382"/>
      <c r="FU20" s="2382"/>
      <c r="FV20" s="2382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2"/>
      <c r="FX20" s="2382"/>
      <c r="FY20" s="2382"/>
      <c r="FZ20" s="2382"/>
      <c r="GA20" s="2382"/>
      <c r="GB20" s="2382"/>
      <c r="GC20" s="2382"/>
      <c r="GD20" s="2383"/>
      <c r="GE20" s="2383"/>
      <c r="GF20" s="2383"/>
      <c r="GG20" s="2383"/>
    </row>
    <row r="21" spans="1:206" ht="44.25" customHeight="1" x14ac:dyDescent="0.35">
      <c r="A21" s="338">
        <v>7</v>
      </c>
      <c r="B21" s="2382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2"/>
      <c r="D21" s="2382"/>
      <c r="E21" s="2382"/>
      <c r="F21" s="2382"/>
      <c r="G21" s="2382"/>
      <c r="H21" s="2382"/>
      <c r="I21" s="2382"/>
      <c r="J21" s="2382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2"/>
      <c r="L21" s="2382"/>
      <c r="M21" s="2382"/>
      <c r="N21" s="2382"/>
      <c r="O21" s="2382"/>
      <c r="P21" s="2382"/>
      <c r="Q21" s="2382"/>
      <c r="R21" s="2382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2"/>
      <c r="T21" s="2382"/>
      <c r="U21" s="2382"/>
      <c r="V21" s="2382"/>
      <c r="W21" s="2382"/>
      <c r="X21" s="2382"/>
      <c r="Y21" s="2382"/>
      <c r="Z21" s="2382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2"/>
      <c r="AB21" s="2382"/>
      <c r="AC21" s="2382"/>
      <c r="AD21" s="2382"/>
      <c r="AE21" s="2382"/>
      <c r="AF21" s="2382"/>
      <c r="AG21" s="2382"/>
      <c r="AH21" s="2382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2"/>
      <c r="AJ21" s="2382"/>
      <c r="AK21" s="2382"/>
      <c r="AL21" s="2382"/>
      <c r="AM21" s="2382"/>
      <c r="AN21" s="2382"/>
      <c r="AO21" s="2382"/>
      <c r="AP21" s="2382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2"/>
      <c r="AR21" s="2382"/>
      <c r="AS21" s="2382"/>
      <c r="AT21" s="2382"/>
      <c r="AU21" s="2382"/>
      <c r="AV21" s="2382"/>
      <c r="AW21" s="2382"/>
      <c r="AX21" s="2382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2"/>
      <c r="AZ21" s="2382"/>
      <c r="BA21" s="2382"/>
      <c r="BB21" s="2382"/>
      <c r="BC21" s="2382"/>
      <c r="BD21" s="2382"/>
      <c r="BE21" s="2382"/>
      <c r="BF21" s="2382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2"/>
      <c r="BH21" s="2382"/>
      <c r="BI21" s="2382"/>
      <c r="BJ21" s="2382"/>
      <c r="BK21" s="2382"/>
      <c r="BL21" s="2382"/>
      <c r="BM21" s="2382"/>
      <c r="BN21" s="2382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2"/>
      <c r="BP21" s="2382"/>
      <c r="BQ21" s="2382"/>
      <c r="BR21" s="2382"/>
      <c r="BS21" s="2382"/>
      <c r="BT21" s="2382"/>
      <c r="BU21" s="2382"/>
      <c r="BV21" s="2382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2"/>
      <c r="BX21" s="2382"/>
      <c r="BY21" s="2382"/>
      <c r="BZ21" s="2382"/>
      <c r="CA21" s="2382"/>
      <c r="CB21" s="2382"/>
      <c r="CC21" s="2382"/>
      <c r="CD21" s="2382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2"/>
      <c r="CF21" s="2382"/>
      <c r="CG21" s="2382"/>
      <c r="CH21" s="2382"/>
      <c r="CI21" s="2382"/>
      <c r="CJ21" s="2382"/>
      <c r="CK21" s="2382"/>
      <c r="CL21" s="2382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2"/>
      <c r="CN21" s="2382"/>
      <c r="CO21" s="2382"/>
      <c r="CP21" s="2382"/>
      <c r="CQ21" s="2382"/>
      <c r="CR21" s="2382"/>
      <c r="CS21" s="2382"/>
      <c r="CT21" s="2382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2"/>
      <c r="CV21" s="2382"/>
      <c r="CW21" s="2382"/>
      <c r="CX21" s="2382"/>
      <c r="CY21" s="2382"/>
      <c r="CZ21" s="2382"/>
      <c r="DA21" s="2382"/>
      <c r="DB21" s="2382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2"/>
      <c r="DD21" s="2382"/>
      <c r="DE21" s="2382"/>
      <c r="DF21" s="2382"/>
      <c r="DG21" s="2382"/>
      <c r="DH21" s="2382"/>
      <c r="DI21" s="2382"/>
      <c r="DJ21" s="2382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2"/>
      <c r="DL21" s="2382"/>
      <c r="DM21" s="2382"/>
      <c r="DN21" s="2382"/>
      <c r="DO21" s="2382"/>
      <c r="DP21" s="2382"/>
      <c r="DQ21" s="2382"/>
      <c r="DR21" s="2382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2"/>
      <c r="DT21" s="2382"/>
      <c r="DU21" s="2382"/>
      <c r="DV21" s="2382"/>
      <c r="DW21" s="2382"/>
      <c r="DX21" s="2382"/>
      <c r="DY21" s="2382"/>
      <c r="DZ21" s="2382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2"/>
      <c r="EB21" s="2382"/>
      <c r="EC21" s="2382"/>
      <c r="ED21" s="2382"/>
      <c r="EE21" s="2382"/>
      <c r="EF21" s="2382"/>
      <c r="EG21" s="2382"/>
      <c r="EH21" s="2382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2"/>
      <c r="EJ21" s="2382"/>
      <c r="EK21" s="2382"/>
      <c r="EL21" s="2382"/>
      <c r="EM21" s="2382"/>
      <c r="EN21" s="2382"/>
      <c r="EO21" s="2382"/>
      <c r="EP21" s="2382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2"/>
      <c r="ER21" s="2382"/>
      <c r="ES21" s="2382"/>
      <c r="ET21" s="2382"/>
      <c r="EU21" s="2382"/>
      <c r="EV21" s="2382"/>
      <c r="EW21" s="2382"/>
      <c r="EX21" s="2382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2"/>
      <c r="EZ21" s="2382"/>
      <c r="FA21" s="2382"/>
      <c r="FB21" s="2382"/>
      <c r="FC21" s="2382"/>
      <c r="FD21" s="2382"/>
      <c r="FE21" s="2382"/>
      <c r="FF21" s="2382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2"/>
      <c r="FH21" s="2382"/>
      <c r="FI21" s="2382"/>
      <c r="FJ21" s="2382"/>
      <c r="FK21" s="2382"/>
      <c r="FL21" s="2382"/>
      <c r="FM21" s="2382"/>
      <c r="FN21" s="2382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2"/>
      <c r="FP21" s="2382"/>
      <c r="FQ21" s="2382"/>
      <c r="FR21" s="2382"/>
      <c r="FS21" s="2382"/>
      <c r="FT21" s="2382"/>
      <c r="FU21" s="2382"/>
      <c r="FV21" s="2382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2"/>
      <c r="FX21" s="2382"/>
      <c r="FY21" s="2382"/>
      <c r="FZ21" s="2382"/>
      <c r="GA21" s="2382"/>
      <c r="GB21" s="2382"/>
      <c r="GC21" s="2382"/>
      <c r="GD21" s="2383"/>
      <c r="GE21" s="2383"/>
      <c r="GF21" s="2383"/>
      <c r="GG21" s="2383"/>
    </row>
    <row r="22" spans="1:206" ht="44.25" customHeight="1" x14ac:dyDescent="0.35">
      <c r="A22" s="338">
        <v>8</v>
      </c>
      <c r="B22" s="2382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2"/>
      <c r="D22" s="2382"/>
      <c r="E22" s="2382"/>
      <c r="F22" s="2382"/>
      <c r="G22" s="2382"/>
      <c r="H22" s="2382"/>
      <c r="I22" s="2382"/>
      <c r="J22" s="2382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2"/>
      <c r="L22" s="2382"/>
      <c r="M22" s="2382"/>
      <c r="N22" s="2382"/>
      <c r="O22" s="2382"/>
      <c r="P22" s="2382"/>
      <c r="Q22" s="2382"/>
      <c r="R22" s="2382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2"/>
      <c r="T22" s="2382"/>
      <c r="U22" s="2382"/>
      <c r="V22" s="2382"/>
      <c r="W22" s="2382"/>
      <c r="X22" s="2382"/>
      <c r="Y22" s="2382"/>
      <c r="Z22" s="2382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2"/>
      <c r="AB22" s="2382"/>
      <c r="AC22" s="2382"/>
      <c r="AD22" s="2382"/>
      <c r="AE22" s="2382"/>
      <c r="AF22" s="2382"/>
      <c r="AG22" s="2382"/>
      <c r="AH22" s="2382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2"/>
      <c r="AJ22" s="2382"/>
      <c r="AK22" s="2382"/>
      <c r="AL22" s="2382"/>
      <c r="AM22" s="2382"/>
      <c r="AN22" s="2382"/>
      <c r="AO22" s="2382"/>
      <c r="AP22" s="2382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2"/>
      <c r="AR22" s="2382"/>
      <c r="AS22" s="2382"/>
      <c r="AT22" s="2382"/>
      <c r="AU22" s="2382"/>
      <c r="AV22" s="2382"/>
      <c r="AW22" s="2382"/>
      <c r="AX22" s="2382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2"/>
      <c r="AZ22" s="2382"/>
      <c r="BA22" s="2382"/>
      <c r="BB22" s="2382"/>
      <c r="BC22" s="2382"/>
      <c r="BD22" s="2382"/>
      <c r="BE22" s="2382"/>
      <c r="BF22" s="2382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2"/>
      <c r="BH22" s="2382"/>
      <c r="BI22" s="2382"/>
      <c r="BJ22" s="2382"/>
      <c r="BK22" s="2382"/>
      <c r="BL22" s="2382"/>
      <c r="BM22" s="2382"/>
      <c r="BN22" s="2382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2"/>
      <c r="BP22" s="2382"/>
      <c r="BQ22" s="2382"/>
      <c r="BR22" s="2382"/>
      <c r="BS22" s="2382"/>
      <c r="BT22" s="2382"/>
      <c r="BU22" s="2382"/>
      <c r="BV22" s="2382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2"/>
      <c r="BX22" s="2382"/>
      <c r="BY22" s="2382"/>
      <c r="BZ22" s="2382"/>
      <c r="CA22" s="2382"/>
      <c r="CB22" s="2382"/>
      <c r="CC22" s="2382"/>
      <c r="CD22" s="2382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2"/>
      <c r="CF22" s="2382"/>
      <c r="CG22" s="2382"/>
      <c r="CH22" s="2382"/>
      <c r="CI22" s="2382"/>
      <c r="CJ22" s="2382"/>
      <c r="CK22" s="2382"/>
      <c r="CL22" s="2382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2"/>
      <c r="CN22" s="2382"/>
      <c r="CO22" s="2382"/>
      <c r="CP22" s="2382"/>
      <c r="CQ22" s="2382"/>
      <c r="CR22" s="2382"/>
      <c r="CS22" s="2382"/>
      <c r="CT22" s="2382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2"/>
      <c r="CV22" s="2382"/>
      <c r="CW22" s="2382"/>
      <c r="CX22" s="2382"/>
      <c r="CY22" s="2382"/>
      <c r="CZ22" s="2382"/>
      <c r="DA22" s="2382"/>
      <c r="DB22" s="2382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2"/>
      <c r="DD22" s="2382"/>
      <c r="DE22" s="2382"/>
      <c r="DF22" s="2382"/>
      <c r="DG22" s="2382"/>
      <c r="DH22" s="2382"/>
      <c r="DI22" s="2382"/>
      <c r="DJ22" s="2382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2"/>
      <c r="DL22" s="2382"/>
      <c r="DM22" s="2382"/>
      <c r="DN22" s="2382"/>
      <c r="DO22" s="2382"/>
      <c r="DP22" s="2382"/>
      <c r="DQ22" s="2382"/>
      <c r="DR22" s="2382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2"/>
      <c r="DT22" s="2382"/>
      <c r="DU22" s="2382"/>
      <c r="DV22" s="2382"/>
      <c r="DW22" s="2382"/>
      <c r="DX22" s="2382"/>
      <c r="DY22" s="2382"/>
      <c r="DZ22" s="2382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2"/>
      <c r="EB22" s="2382"/>
      <c r="EC22" s="2382"/>
      <c r="ED22" s="2382"/>
      <c r="EE22" s="2382"/>
      <c r="EF22" s="2382"/>
      <c r="EG22" s="2382"/>
      <c r="EH22" s="2382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2"/>
      <c r="EJ22" s="2382"/>
      <c r="EK22" s="2382"/>
      <c r="EL22" s="2382"/>
      <c r="EM22" s="2382"/>
      <c r="EN22" s="2382"/>
      <c r="EO22" s="2382"/>
      <c r="EP22" s="2382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2"/>
      <c r="ER22" s="2382"/>
      <c r="ES22" s="2382"/>
      <c r="ET22" s="2382"/>
      <c r="EU22" s="2382"/>
      <c r="EV22" s="2382"/>
      <c r="EW22" s="2382"/>
      <c r="EX22" s="2382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2"/>
      <c r="EZ22" s="2382"/>
      <c r="FA22" s="2382"/>
      <c r="FB22" s="2382"/>
      <c r="FC22" s="2382"/>
      <c r="FD22" s="2382"/>
      <c r="FE22" s="2382"/>
      <c r="FF22" s="2382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2"/>
      <c r="FH22" s="2382"/>
      <c r="FI22" s="2382"/>
      <c r="FJ22" s="2382"/>
      <c r="FK22" s="2382"/>
      <c r="FL22" s="2382"/>
      <c r="FM22" s="2382"/>
      <c r="FN22" s="2382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2"/>
      <c r="FP22" s="2382"/>
      <c r="FQ22" s="2382"/>
      <c r="FR22" s="2382"/>
      <c r="FS22" s="2382"/>
      <c r="FT22" s="2382"/>
      <c r="FU22" s="2382"/>
      <c r="FV22" s="2382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2"/>
      <c r="FX22" s="2382"/>
      <c r="FY22" s="2382"/>
      <c r="FZ22" s="2382"/>
      <c r="GA22" s="2382"/>
      <c r="GB22" s="2382"/>
      <c r="GC22" s="2382"/>
      <c r="GD22" s="2383"/>
      <c r="GE22" s="2383"/>
      <c r="GF22" s="2383"/>
      <c r="GG22" s="2383"/>
    </row>
    <row r="23" spans="1:206" ht="44.25" customHeight="1" x14ac:dyDescent="0.35">
      <c r="A23" s="338">
        <v>9</v>
      </c>
      <c r="B23" s="2382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2"/>
      <c r="D23" s="2382"/>
      <c r="E23" s="2382"/>
      <c r="F23" s="2382"/>
      <c r="G23" s="2382"/>
      <c r="H23" s="2382"/>
      <c r="I23" s="2382"/>
      <c r="J23" s="2382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2"/>
      <c r="L23" s="2382"/>
      <c r="M23" s="2382"/>
      <c r="N23" s="2382"/>
      <c r="O23" s="2382"/>
      <c r="P23" s="2382"/>
      <c r="Q23" s="2382"/>
      <c r="R23" s="2382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2"/>
      <c r="T23" s="2382"/>
      <c r="U23" s="2382"/>
      <c r="V23" s="2382"/>
      <c r="W23" s="2382"/>
      <c r="X23" s="2382"/>
      <c r="Y23" s="2382"/>
      <c r="Z23" s="2382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2"/>
      <c r="AB23" s="2382"/>
      <c r="AC23" s="2382"/>
      <c r="AD23" s="2382"/>
      <c r="AE23" s="2382"/>
      <c r="AF23" s="2382"/>
      <c r="AG23" s="2382"/>
      <c r="AH23" s="2382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2"/>
      <c r="AJ23" s="2382"/>
      <c r="AK23" s="2382"/>
      <c r="AL23" s="2382"/>
      <c r="AM23" s="2382"/>
      <c r="AN23" s="2382"/>
      <c r="AO23" s="2382"/>
      <c r="AP23" s="2382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2"/>
      <c r="AR23" s="2382"/>
      <c r="AS23" s="2382"/>
      <c r="AT23" s="2382"/>
      <c r="AU23" s="2382"/>
      <c r="AV23" s="2382"/>
      <c r="AW23" s="2382"/>
      <c r="AX23" s="2382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2"/>
      <c r="AZ23" s="2382"/>
      <c r="BA23" s="2382"/>
      <c r="BB23" s="2382"/>
      <c r="BC23" s="2382"/>
      <c r="BD23" s="2382"/>
      <c r="BE23" s="2382"/>
      <c r="BF23" s="2382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2"/>
      <c r="BH23" s="2382"/>
      <c r="BI23" s="2382"/>
      <c r="BJ23" s="2382"/>
      <c r="BK23" s="2382"/>
      <c r="BL23" s="2382"/>
      <c r="BM23" s="2382"/>
      <c r="BN23" s="2382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2"/>
      <c r="BP23" s="2382"/>
      <c r="BQ23" s="2382"/>
      <c r="BR23" s="2382"/>
      <c r="BS23" s="2382"/>
      <c r="BT23" s="2382"/>
      <c r="BU23" s="2382"/>
      <c r="BV23" s="2382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2"/>
      <c r="BX23" s="2382"/>
      <c r="BY23" s="2382"/>
      <c r="BZ23" s="2382"/>
      <c r="CA23" s="2382"/>
      <c r="CB23" s="2382"/>
      <c r="CC23" s="2382"/>
      <c r="CD23" s="2382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2"/>
      <c r="CF23" s="2382"/>
      <c r="CG23" s="2382"/>
      <c r="CH23" s="2382"/>
      <c r="CI23" s="2382"/>
      <c r="CJ23" s="2382"/>
      <c r="CK23" s="2382"/>
      <c r="CL23" s="2382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2"/>
      <c r="CN23" s="2382"/>
      <c r="CO23" s="2382"/>
      <c r="CP23" s="2382"/>
      <c r="CQ23" s="2382"/>
      <c r="CR23" s="2382"/>
      <c r="CS23" s="2382"/>
      <c r="CT23" s="2382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2"/>
      <c r="CV23" s="2382"/>
      <c r="CW23" s="2382"/>
      <c r="CX23" s="2382"/>
      <c r="CY23" s="2382"/>
      <c r="CZ23" s="2382"/>
      <c r="DA23" s="2382"/>
      <c r="DB23" s="2382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2"/>
      <c r="DD23" s="2382"/>
      <c r="DE23" s="2382"/>
      <c r="DF23" s="2382"/>
      <c r="DG23" s="2382"/>
      <c r="DH23" s="2382"/>
      <c r="DI23" s="2382"/>
      <c r="DJ23" s="2382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2"/>
      <c r="DL23" s="2382"/>
      <c r="DM23" s="2382"/>
      <c r="DN23" s="2382"/>
      <c r="DO23" s="2382"/>
      <c r="DP23" s="2382"/>
      <c r="DQ23" s="2382"/>
      <c r="DR23" s="2382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2"/>
      <c r="DT23" s="2382"/>
      <c r="DU23" s="2382"/>
      <c r="DV23" s="2382"/>
      <c r="DW23" s="2382"/>
      <c r="DX23" s="2382"/>
      <c r="DY23" s="2382"/>
      <c r="DZ23" s="2382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2"/>
      <c r="EB23" s="2382"/>
      <c r="EC23" s="2382"/>
      <c r="ED23" s="2382"/>
      <c r="EE23" s="2382"/>
      <c r="EF23" s="2382"/>
      <c r="EG23" s="2382"/>
      <c r="EH23" s="2382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2"/>
      <c r="EJ23" s="2382"/>
      <c r="EK23" s="2382"/>
      <c r="EL23" s="2382"/>
      <c r="EM23" s="2382"/>
      <c r="EN23" s="2382"/>
      <c r="EO23" s="2382"/>
      <c r="EP23" s="2382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2"/>
      <c r="ER23" s="2382"/>
      <c r="ES23" s="2382"/>
      <c r="ET23" s="2382"/>
      <c r="EU23" s="2382"/>
      <c r="EV23" s="2382"/>
      <c r="EW23" s="2382"/>
      <c r="EX23" s="2382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2"/>
      <c r="EZ23" s="2382"/>
      <c r="FA23" s="2382"/>
      <c r="FB23" s="2382"/>
      <c r="FC23" s="2382"/>
      <c r="FD23" s="2382"/>
      <c r="FE23" s="2382"/>
      <c r="FF23" s="2382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2"/>
      <c r="FH23" s="2382"/>
      <c r="FI23" s="2382"/>
      <c r="FJ23" s="2382"/>
      <c r="FK23" s="2382"/>
      <c r="FL23" s="2382"/>
      <c r="FM23" s="2382"/>
      <c r="FN23" s="2382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2"/>
      <c r="FP23" s="2382"/>
      <c r="FQ23" s="2382"/>
      <c r="FR23" s="2382"/>
      <c r="FS23" s="2382"/>
      <c r="FT23" s="2382"/>
      <c r="FU23" s="2382"/>
      <c r="FV23" s="2382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2"/>
      <c r="FX23" s="2382"/>
      <c r="FY23" s="2382"/>
      <c r="FZ23" s="2382"/>
      <c r="GA23" s="2382"/>
      <c r="GB23" s="2382"/>
      <c r="GC23" s="2382"/>
      <c r="GD23" s="1160"/>
      <c r="GE23" s="1160"/>
      <c r="GF23" s="1160"/>
      <c r="GG23" s="1160"/>
    </row>
    <row r="24" spans="1:206" ht="44.25" customHeight="1" x14ac:dyDescent="0.25">
      <c r="A24" s="339"/>
      <c r="B24" s="2380" t="str">
        <f>IF(Data!$GI$2&lt;&gt;"","X1: "&amp; Data!$GI$2, " ")</f>
        <v>X1: 1313 CT427 0.010</v>
      </c>
      <c r="C24" s="2380"/>
      <c r="D24" s="2380"/>
      <c r="E24" s="2380"/>
      <c r="F24" s="2380"/>
      <c r="G24" s="2380"/>
      <c r="H24" s="2380"/>
      <c r="I24" s="2380"/>
      <c r="J24" s="2380"/>
      <c r="K24" s="2380"/>
      <c r="L24" s="2380"/>
      <c r="M24" s="2380"/>
      <c r="N24" s="2380"/>
      <c r="O24" s="2380"/>
      <c r="P24" s="2380"/>
      <c r="Q24" s="2380"/>
      <c r="R24" s="2380"/>
      <c r="S24" s="2380"/>
      <c r="T24" s="2380"/>
      <c r="U24" s="2380"/>
      <c r="V24" s="2380"/>
      <c r="W24" s="2380"/>
      <c r="X24" s="2380"/>
      <c r="Y24" s="2380"/>
      <c r="Z24" s="2380"/>
      <c r="AA24" s="2380"/>
      <c r="AB24" s="2380"/>
      <c r="AC24" s="2380" t="str">
        <f>IF(Data!$GI$3&lt;&gt;"","X2: "&amp; Data!$GI$3, " ")</f>
        <v xml:space="preserve">X2: 1308 CT31 Drop in </v>
      </c>
      <c r="AD24" s="2380"/>
      <c r="AE24" s="2380"/>
      <c r="AF24" s="2380"/>
      <c r="AG24" s="2380"/>
      <c r="AH24" s="2380"/>
      <c r="AI24" s="2380"/>
      <c r="AJ24" s="2380"/>
      <c r="AK24" s="2380"/>
      <c r="AL24" s="2380"/>
      <c r="AM24" s="2380"/>
      <c r="AN24" s="2380"/>
      <c r="AO24" s="2380"/>
      <c r="AP24" s="2380"/>
      <c r="AQ24" s="2380"/>
      <c r="AR24" s="2380"/>
      <c r="AS24" s="2380"/>
      <c r="AT24" s="2380"/>
      <c r="AU24" s="2380"/>
      <c r="AV24" s="2380"/>
      <c r="AW24" s="2380"/>
      <c r="AX24" s="2380"/>
      <c r="AY24" s="2380"/>
      <c r="AZ24" s="2380"/>
      <c r="BA24" s="2380"/>
      <c r="BB24" s="2380"/>
      <c r="BC24" s="2380"/>
      <c r="BD24" s="2380" t="str">
        <f>IF(Data!$GI$4&lt;&gt;"","X3: "&amp; Data!$GI$4, " ")</f>
        <v>X3: 1313 CT147G U</v>
      </c>
      <c r="BE24" s="2380"/>
      <c r="BF24" s="2380"/>
      <c r="BG24" s="2380"/>
      <c r="BH24" s="2380"/>
      <c r="BI24" s="2380"/>
      <c r="BJ24" s="2380"/>
      <c r="BK24" s="2380"/>
      <c r="BL24" s="2380"/>
      <c r="BM24" s="2380"/>
      <c r="BN24" s="2380"/>
      <c r="BO24" s="2380"/>
      <c r="BP24" s="2380"/>
      <c r="BQ24" s="2380"/>
      <c r="BR24" s="2380"/>
      <c r="BS24" s="2380"/>
      <c r="BT24" s="2380"/>
      <c r="BU24" s="2380"/>
      <c r="BV24" s="2380"/>
      <c r="BW24" s="2380"/>
      <c r="BX24" s="2380"/>
      <c r="BY24" s="2380"/>
      <c r="BZ24" s="2380"/>
      <c r="CA24" s="2380"/>
      <c r="CB24" s="2380"/>
      <c r="CC24" s="2380"/>
      <c r="CD24" s="2380"/>
      <c r="CE24" s="2380" t="str">
        <f>IF(Data!$GI$5&lt;&gt;"","X4: "&amp; Data!$GI$5, " ")</f>
        <v>X4: 1313 CT418 18C-60</v>
      </c>
      <c r="CF24" s="2380"/>
      <c r="CG24" s="2380"/>
      <c r="CH24" s="2380"/>
      <c r="CI24" s="2380"/>
      <c r="CJ24" s="2380"/>
      <c r="CK24" s="2380"/>
      <c r="CL24" s="2380"/>
      <c r="CM24" s="2380"/>
      <c r="CN24" s="2380"/>
      <c r="CO24" s="2380"/>
      <c r="CP24" s="2380"/>
      <c r="CQ24" s="2380"/>
      <c r="CR24" s="2380"/>
      <c r="CS24" s="2380"/>
      <c r="CT24" s="2380"/>
      <c r="CU24" s="2380"/>
      <c r="CV24" s="2380"/>
      <c r="CW24" s="2380"/>
      <c r="CX24" s="2380"/>
      <c r="CY24" s="2380"/>
      <c r="CZ24" s="2380"/>
      <c r="DA24" s="2380"/>
      <c r="DB24" s="2380"/>
      <c r="DC24" s="2380"/>
      <c r="DD24" s="2380"/>
      <c r="DE24" s="2380"/>
      <c r="DF24" s="2380" t="str">
        <f>IF(Data!$GI$6&lt;&gt;"","X5: "&amp; Data!$GI$6, " ")</f>
        <v>X5: 1313 CT179T U-60</v>
      </c>
      <c r="DG24" s="2380"/>
      <c r="DH24" s="2380"/>
      <c r="DI24" s="2380"/>
      <c r="DJ24" s="2380"/>
      <c r="DK24" s="2380"/>
      <c r="DL24" s="2380"/>
      <c r="DM24" s="2380"/>
      <c r="DN24" s="2380"/>
      <c r="DO24" s="2380"/>
      <c r="DP24" s="2380"/>
      <c r="DQ24" s="2380"/>
      <c r="DR24" s="2380"/>
      <c r="DS24" s="2380"/>
      <c r="DT24" s="2380"/>
      <c r="DU24" s="2380"/>
      <c r="DV24" s="2380"/>
      <c r="DW24" s="2380"/>
      <c r="DX24" s="2380"/>
      <c r="DY24" s="2380"/>
      <c r="DZ24" s="2380"/>
      <c r="EA24" s="2380"/>
      <c r="EB24" s="2380"/>
      <c r="EC24" s="2380"/>
      <c r="ED24" s="2380"/>
      <c r="EE24" s="2380"/>
      <c r="EF24" s="2380"/>
      <c r="EG24" s="2380" t="str">
        <f>IF(Data!$GI$7&lt;&gt;"","X6: "&amp; Data!$GI$7, " ")</f>
        <v xml:space="preserve"> </v>
      </c>
      <c r="EH24" s="2380"/>
      <c r="EI24" s="2380"/>
      <c r="EJ24" s="2380"/>
      <c r="EK24" s="2380"/>
      <c r="EL24" s="2380"/>
      <c r="EM24" s="2380"/>
      <c r="EN24" s="2380"/>
      <c r="EO24" s="2380"/>
      <c r="EP24" s="2380"/>
      <c r="EQ24" s="2380"/>
      <c r="ER24" s="2380"/>
      <c r="ES24" s="2380"/>
      <c r="ET24" s="2380"/>
      <c r="EU24" s="2380"/>
      <c r="EV24" s="2380"/>
      <c r="EW24" s="2380"/>
      <c r="EX24" s="2380"/>
      <c r="EY24" s="2380"/>
      <c r="EZ24" s="2380"/>
      <c r="FA24" s="2380"/>
      <c r="FB24" s="2380"/>
      <c r="FC24" s="2380"/>
      <c r="FD24" s="2380"/>
      <c r="FE24" s="2380"/>
      <c r="FF24" s="2380"/>
      <c r="FG24" s="2380"/>
      <c r="FH24" s="2380" t="str">
        <f>IF(Data!$GI$8&lt;&gt;"","X7: "&amp; Data!$GI$8, " ")</f>
        <v xml:space="preserve"> </v>
      </c>
      <c r="FI24" s="2380"/>
      <c r="FJ24" s="2380"/>
      <c r="FK24" s="2380"/>
      <c r="FL24" s="2380"/>
      <c r="FM24" s="2380"/>
      <c r="FN24" s="2380"/>
      <c r="FO24" s="2380"/>
      <c r="FP24" s="2380"/>
      <c r="FQ24" s="2380"/>
      <c r="FR24" s="2380"/>
      <c r="FS24" s="2380"/>
      <c r="FT24" s="2380"/>
      <c r="FU24" s="2380"/>
      <c r="FV24" s="2380"/>
      <c r="FW24" s="2380"/>
      <c r="FX24" s="2380"/>
      <c r="FY24" s="2380"/>
      <c r="FZ24" s="2380"/>
      <c r="GA24" s="2380"/>
      <c r="GB24" s="2380"/>
      <c r="GC24" s="2380"/>
      <c r="GD24" s="2380"/>
      <c r="GE24" s="2380"/>
      <c r="GF24" s="2380"/>
      <c r="GG24" s="2380"/>
      <c r="GH24" s="159"/>
    </row>
    <row r="25" spans="1:206" ht="47.25" customHeight="1" x14ac:dyDescent="0.25">
      <c r="B25" s="1160"/>
      <c r="C25" s="1160"/>
      <c r="D25" s="1160"/>
      <c r="E25" s="1160"/>
      <c r="F25" s="1160"/>
      <c r="G25" s="1160"/>
      <c r="H25" s="2386">
        <f>IF(Data!$B$1&lt;&gt;"", Data!$B$1, " ")</f>
        <v>20261004</v>
      </c>
      <c r="I25" s="2386"/>
      <c r="J25" s="2386"/>
      <c r="K25" s="2386"/>
      <c r="L25" s="2386"/>
      <c r="M25" s="2386"/>
      <c r="N25" s="2386"/>
      <c r="O25" s="2386"/>
      <c r="P25" s="2386"/>
      <c r="Q25" s="2386"/>
      <c r="R25" s="2386"/>
      <c r="S25" s="2386"/>
      <c r="T25" s="2386"/>
      <c r="U25" s="2386"/>
      <c r="V25" s="2386"/>
      <c r="W25" s="2386"/>
      <c r="X25" s="2386"/>
      <c r="Y25" s="2386"/>
      <c r="Z25" s="2386"/>
      <c r="AA25" s="2386"/>
      <c r="AB25" s="2386"/>
      <c r="AC25" s="2386"/>
      <c r="AD25" s="2386"/>
      <c r="AE25" s="2386"/>
      <c r="AF25" s="2386"/>
      <c r="AG25" s="2386"/>
      <c r="AH25" s="2386"/>
      <c r="AI25" s="2386"/>
      <c r="AJ25" s="2386"/>
      <c r="AK25" s="2386"/>
      <c r="AL25" s="2386"/>
      <c r="AM25" s="2386"/>
      <c r="AN25" s="2386"/>
      <c r="AO25" s="2386"/>
      <c r="AP25" s="2386"/>
      <c r="AQ25" s="2386"/>
      <c r="AR25" s="2386"/>
      <c r="AS25" s="2386"/>
      <c r="AT25" s="2386"/>
      <c r="AU25" s="2386"/>
      <c r="AV25" s="2386"/>
      <c r="AW25" s="2386"/>
      <c r="AX25" s="2386"/>
      <c r="AY25" s="2386" t="str">
        <f>IF(Data!$B$2&lt;&gt;"", Data!$B$2, " ")</f>
        <v>14304769R1</v>
      </c>
      <c r="AZ25" s="2386"/>
      <c r="BA25" s="2386"/>
      <c r="BB25" s="2386"/>
      <c r="BC25" s="2386"/>
      <c r="BD25" s="2386"/>
      <c r="BE25" s="2386"/>
      <c r="BF25" s="2386"/>
      <c r="BG25" s="2386"/>
      <c r="BH25" s="2386"/>
      <c r="BI25" s="2386"/>
      <c r="BJ25" s="2386"/>
      <c r="BK25" s="2386"/>
      <c r="BL25" s="2386"/>
      <c r="BM25" s="2386"/>
      <c r="BN25" s="2386"/>
      <c r="BO25" s="2386"/>
      <c r="BP25" s="2386"/>
      <c r="BQ25" s="2386"/>
      <c r="BR25" s="2386"/>
      <c r="BS25" s="2386"/>
      <c r="BT25" s="2386"/>
      <c r="BU25" s="2386"/>
      <c r="BV25" s="2386"/>
      <c r="BW25" s="2386"/>
      <c r="BX25" s="2386"/>
      <c r="BY25" s="2386"/>
      <c r="BZ25" s="2386"/>
      <c r="CA25" s="2386"/>
      <c r="CB25" s="2386"/>
      <c r="CC25" s="2386"/>
      <c r="CD25" s="2386"/>
      <c r="CE25" s="2386"/>
      <c r="CF25" s="2386"/>
      <c r="CG25" s="2386"/>
      <c r="CH25" s="2386"/>
      <c r="CI25" s="2386"/>
      <c r="CJ25" s="2386"/>
      <c r="CK25" s="2386"/>
      <c r="CL25" s="2386"/>
      <c r="CM25" s="2386"/>
      <c r="CN25" s="2386"/>
      <c r="CO25" s="2386"/>
      <c r="CP25" s="2386"/>
      <c r="CQ25" s="2386"/>
      <c r="CR25" s="2386"/>
      <c r="CS25" s="2386"/>
      <c r="CT25" s="2386"/>
      <c r="CU25" s="2386"/>
      <c r="CV25" s="2386"/>
      <c r="CW25" s="2386"/>
      <c r="CX25" s="2386"/>
      <c r="CY25" s="2386"/>
      <c r="CZ25" s="2386" t="str">
        <f>IF(Data!$B$4&lt;&gt;"",Data!$B$4," ")</f>
        <v>HD54</v>
      </c>
      <c r="DA25" s="2386"/>
      <c r="DB25" s="2386"/>
      <c r="DC25" s="2386"/>
      <c r="DD25" s="2386"/>
      <c r="DE25" s="2386"/>
      <c r="DF25" s="2386"/>
      <c r="DG25" s="2386"/>
      <c r="DH25" s="2386"/>
      <c r="DI25" s="2386"/>
      <c r="DJ25" s="2386"/>
      <c r="DK25" s="2386"/>
      <c r="DL25" s="2386"/>
      <c r="DM25" s="2386"/>
      <c r="DN25" s="2386"/>
      <c r="DO25" s="2386"/>
      <c r="DP25" s="2386"/>
      <c r="DQ25" s="2386"/>
      <c r="DR25" s="2386"/>
      <c r="DS25" s="2386"/>
      <c r="DT25" s="2386"/>
      <c r="DU25" s="2386"/>
      <c r="DV25" s="2386"/>
      <c r="DW25" s="2386"/>
      <c r="DX25" s="2386"/>
      <c r="DY25" s="2386"/>
      <c r="DZ25" s="2386"/>
      <c r="EA25" s="2386"/>
      <c r="EB25" s="2386"/>
      <c r="EC25" s="2386"/>
      <c r="ED25" s="2386"/>
      <c r="EE25" s="2386"/>
      <c r="EF25" s="2386" t="str">
        <f>IF(LEN(Data!B3)&gt;3,IF(AND(Data!B43&lt;&gt;"",Data!B43&lt;&gt;"0 0/1"""),Data!B43,""),IF(Data!B3&lt;&gt;"",Data!B3,""))</f>
        <v>6 1/8"</v>
      </c>
      <c r="EG25" s="2386"/>
      <c r="EH25" s="2386"/>
      <c r="EI25" s="2386"/>
      <c r="EJ25" s="2386"/>
      <c r="EK25" s="2386"/>
      <c r="EL25" s="2386"/>
      <c r="EM25" s="2386"/>
      <c r="EN25" s="2386"/>
      <c r="EO25" s="2386"/>
      <c r="EP25" s="2386"/>
      <c r="EQ25" s="2386"/>
      <c r="ER25" s="2386"/>
      <c r="ES25" s="2386"/>
      <c r="ET25" s="2386"/>
      <c r="EU25" s="2386"/>
      <c r="EV25" s="2386"/>
      <c r="EW25" s="2386"/>
      <c r="EX25" s="2386"/>
      <c r="EY25" s="2386"/>
      <c r="EZ25" s="2386"/>
      <c r="FA25" s="2386"/>
      <c r="FB25" s="2386"/>
      <c r="FC25" s="2386"/>
      <c r="FD25" s="2386"/>
      <c r="FE25" s="2386"/>
      <c r="FF25" s="2386"/>
      <c r="FG25" s="2386"/>
      <c r="FH25" s="2386"/>
      <c r="FI25" s="2386"/>
      <c r="FJ25" s="2386"/>
      <c r="FK25" s="2386"/>
      <c r="FL25" s="1160"/>
      <c r="FM25" s="1160"/>
      <c r="FN25" s="1160"/>
      <c r="FO25" s="1160"/>
      <c r="FP25" s="1160"/>
      <c r="FQ25" s="1160"/>
      <c r="FR25" s="1160"/>
      <c r="FS25" s="1160"/>
      <c r="FT25" s="1160"/>
      <c r="FU25" s="1160"/>
      <c r="FV25" s="1160"/>
      <c r="FW25" s="1160"/>
      <c r="FX25" s="1160"/>
      <c r="FY25" s="1160"/>
      <c r="FZ25" s="1160"/>
      <c r="GA25" s="1160"/>
      <c r="GB25" s="1160"/>
      <c r="GC25" s="1160"/>
      <c r="GD25" s="1160"/>
      <c r="GE25" s="1160"/>
      <c r="GF25" s="1160"/>
      <c r="GG25" s="1160"/>
    </row>
    <row r="26" spans="1:206" ht="46.5" customHeight="1" x14ac:dyDescent="0.25">
      <c r="B26" s="2385">
        <f>IF(Data!$BR$44&lt;&gt;"",Data!$BR$44, "")</f>
        <v>1</v>
      </c>
      <c r="C26" s="2385"/>
      <c r="D26" s="2385"/>
      <c r="E26" s="2385"/>
      <c r="F26" s="2385"/>
      <c r="G26" s="2385"/>
      <c r="H26" s="2385">
        <f>IF(Data!$BS$44&lt;&gt;"",Data!$BS$44, "")</f>
        <v>2</v>
      </c>
      <c r="I26" s="2385"/>
      <c r="J26" s="2385"/>
      <c r="K26" s="2385"/>
      <c r="L26" s="2385"/>
      <c r="M26" s="2385"/>
      <c r="N26" s="2385">
        <f>IF(Data!$BT$44&lt;&gt;"", Data!$BT$44, "")</f>
        <v>3</v>
      </c>
      <c r="O26" s="2385"/>
      <c r="P26" s="2385"/>
      <c r="Q26" s="2385"/>
      <c r="R26" s="2385"/>
      <c r="S26" s="2385"/>
      <c r="T26" s="2385">
        <f>IF(Data!$BU$44&lt;&gt;"", Data!$BU$44, "")</f>
        <v>4</v>
      </c>
      <c r="U26" s="2385"/>
      <c r="V26" s="2385"/>
      <c r="W26" s="2385"/>
      <c r="X26" s="2385"/>
      <c r="Y26" s="2385"/>
      <c r="Z26" s="2385">
        <f>IF(Data!$BV$44&lt;&gt;"",Data!$BV$44, "")</f>
        <v>5</v>
      </c>
      <c r="AA26" s="2385"/>
      <c r="AB26" s="2385"/>
      <c r="AC26" s="2385"/>
      <c r="AD26" s="2385"/>
      <c r="AE26" s="2385"/>
      <c r="AF26" s="2385">
        <f>IF(Data!$BW$44&lt;&gt;"",Data!$BW$44, "")</f>
        <v>6</v>
      </c>
      <c r="AG26" s="2385"/>
      <c r="AH26" s="2385"/>
      <c r="AI26" s="2385"/>
      <c r="AJ26" s="2385"/>
      <c r="AK26" s="2385"/>
      <c r="AL26" s="2385">
        <f>IF(Data!$BX$44&lt;&gt;"", Data!$BX$44, "")</f>
        <v>7</v>
      </c>
      <c r="AM26" s="2385"/>
      <c r="AN26" s="2385"/>
      <c r="AO26" s="2385"/>
      <c r="AP26" s="2385"/>
      <c r="AQ26" s="2385"/>
      <c r="AR26" s="2385">
        <f>IF(Data!$BY$44&lt;&gt;"", Data!$BY$44, "")</f>
        <v>8</v>
      </c>
      <c r="AS26" s="2385"/>
      <c r="AT26" s="2385"/>
      <c r="AU26" s="2385"/>
      <c r="AV26" s="2385"/>
      <c r="AW26" s="2385"/>
      <c r="AX26" s="2385">
        <f>IF(Data!$BZ$44&lt;&gt;"", Data!$BZ$44, "")</f>
        <v>0</v>
      </c>
      <c r="AY26" s="2385"/>
      <c r="AZ26" s="2385"/>
      <c r="BA26" s="2385"/>
      <c r="BB26" s="2385"/>
      <c r="BC26" s="2385"/>
      <c r="BD26" s="2385">
        <f>IF(Data!$CA$44&lt;&gt;"", Data!$CA$44, "")</f>
        <v>0</v>
      </c>
      <c r="BE26" s="2385"/>
      <c r="BF26" s="2385"/>
      <c r="BG26" s="2385"/>
      <c r="BH26" s="2385"/>
      <c r="BI26" s="2385"/>
      <c r="BJ26" s="2385">
        <f>IF(Data!$CB$44&lt;&gt;"", Data!$CB$44, "")</f>
        <v>0</v>
      </c>
      <c r="BK26" s="2385"/>
      <c r="BL26" s="2385"/>
      <c r="BM26" s="2385"/>
      <c r="BN26" s="2385"/>
      <c r="BO26" s="2385"/>
      <c r="BP26" s="2385">
        <f>IF(Data!$CC$44&lt;&gt;"", Data!$CC$44, "")</f>
        <v>0</v>
      </c>
      <c r="BQ26" s="2385"/>
      <c r="BR26" s="2385"/>
      <c r="BS26" s="2385"/>
      <c r="BT26" s="2385"/>
      <c r="BU26" s="2385"/>
      <c r="BV26" s="2385">
        <f>IF(Data!$CD$44&lt;&gt;"",Data!$CD$44, "")</f>
        <v>0</v>
      </c>
      <c r="BW26" s="2385"/>
      <c r="BX26" s="2385"/>
      <c r="BY26" s="2385"/>
      <c r="BZ26" s="2385"/>
      <c r="CA26" s="2385"/>
      <c r="CB26" s="2385">
        <f>IF(Data!$CE$44&lt;&gt;"",Data!$CE$44, "")</f>
        <v>0</v>
      </c>
      <c r="CC26" s="2385"/>
      <c r="CD26" s="2385"/>
      <c r="CE26" s="2385"/>
      <c r="CF26" s="2385"/>
      <c r="CG26" s="2385"/>
      <c r="CH26" s="2385">
        <f>IF(Data!$CF$44&lt;&gt;"",Data!$CF$44, "")</f>
        <v>0</v>
      </c>
      <c r="CI26" s="2385"/>
      <c r="CJ26" s="2385"/>
      <c r="CK26" s="2385"/>
      <c r="CL26" s="2385"/>
      <c r="CM26" s="2385"/>
      <c r="CN26" s="2385">
        <f>IF(Data!$CG$44&lt;&gt;"",Data!$CG$44, "")</f>
        <v>0</v>
      </c>
      <c r="CO26" s="2385"/>
      <c r="CP26" s="2385"/>
      <c r="CQ26" s="2385"/>
      <c r="CR26" s="2385"/>
      <c r="CS26" s="2385"/>
      <c r="CT26" s="2385">
        <f>IF(Data!$CH$44&lt;&gt;"",Data!$CH$44, "")</f>
        <v>0</v>
      </c>
      <c r="CU26" s="2385"/>
      <c r="CV26" s="2385"/>
      <c r="CW26" s="2385"/>
      <c r="CX26" s="2385"/>
      <c r="CY26" s="2385"/>
      <c r="CZ26" s="2385">
        <f>IF(Data!$CI$44&lt;&gt;"",Data!$CI$44, "")</f>
        <v>0</v>
      </c>
      <c r="DA26" s="2385"/>
      <c r="DB26" s="2385"/>
      <c r="DC26" s="2385"/>
      <c r="DD26" s="2385"/>
      <c r="DE26" s="2385"/>
      <c r="DF26" s="2385">
        <f>IF(Data!$CJ$44&lt;&gt;"",Data!$CJ$44, "")</f>
        <v>0</v>
      </c>
      <c r="DG26" s="2385"/>
      <c r="DH26" s="2385"/>
      <c r="DI26" s="2385"/>
      <c r="DJ26" s="2385"/>
      <c r="DK26" s="2385"/>
      <c r="DL26" s="2385">
        <f>IF(Data!$CK$44&lt;&gt;"",Data!$CK$44, "")</f>
        <v>0</v>
      </c>
      <c r="DM26" s="2385"/>
      <c r="DN26" s="2385"/>
      <c r="DO26" s="2385"/>
      <c r="DP26" s="2385"/>
      <c r="DQ26" s="2385"/>
      <c r="DR26" s="2385">
        <f>IF(Data!$CL$44&lt;&gt;"",Data!$CL$44, "")</f>
        <v>0</v>
      </c>
      <c r="DS26" s="2385"/>
      <c r="DT26" s="2385"/>
      <c r="DU26" s="2385"/>
      <c r="DV26" s="2385"/>
      <c r="DW26" s="2385"/>
      <c r="DX26" s="2385">
        <f>IF(Data!$CM$44&lt;&gt;"",Data!$CM$44, "")</f>
        <v>0</v>
      </c>
      <c r="DY26" s="2385"/>
      <c r="DZ26" s="2385"/>
      <c r="EA26" s="2385"/>
      <c r="EB26" s="2385"/>
      <c r="EC26" s="2385"/>
      <c r="ED26" s="2385">
        <f>IF(Data!$CN$44&lt;&gt;"",Data!$CN$44, "")</f>
        <v>0</v>
      </c>
      <c r="EE26" s="2385"/>
      <c r="EF26" s="2385"/>
      <c r="EG26" s="2385"/>
      <c r="EH26" s="2385"/>
      <c r="EI26" s="2385"/>
      <c r="EJ26" s="2385">
        <f>IF(Data!$CO$44&lt;&gt;"",Data!$CO$44, "")</f>
        <v>0</v>
      </c>
      <c r="EK26" s="2385"/>
      <c r="EL26" s="2385"/>
      <c r="EM26" s="2385"/>
      <c r="EN26" s="2385"/>
      <c r="EO26" s="2385"/>
      <c r="EP26" s="2385">
        <f>IF(Data!$CP$44&lt;&gt;"",Data!$CP$44, "")</f>
        <v>0</v>
      </c>
      <c r="EQ26" s="2385"/>
      <c r="ER26" s="2385"/>
      <c r="ES26" s="2385"/>
      <c r="ET26" s="2385"/>
      <c r="EU26" s="2385"/>
      <c r="EV26" s="2385">
        <f>IF(Data!$CQ$44&lt;&gt;"",Data!$CQ$44, "")</f>
        <v>0</v>
      </c>
      <c r="EW26" s="2385"/>
      <c r="EX26" s="2385"/>
      <c r="EY26" s="2385"/>
      <c r="EZ26" s="2385"/>
      <c r="FA26" s="2385"/>
      <c r="FB26" s="2385">
        <f>IF(Data!$CR$44&lt;&gt;"",Data!$CR$44, "")</f>
        <v>0</v>
      </c>
      <c r="FC26" s="2385"/>
      <c r="FD26" s="2385"/>
      <c r="FE26" s="2385"/>
      <c r="FF26" s="2385"/>
      <c r="FG26" s="2385"/>
      <c r="FH26" s="2385">
        <f>IF(Data!$CS$44&lt;&gt;"",Data!$CS$44, "")</f>
        <v>0</v>
      </c>
      <c r="FI26" s="2385"/>
      <c r="FJ26" s="2385"/>
      <c r="FK26" s="2385"/>
      <c r="FL26" s="2385"/>
      <c r="FM26" s="2385"/>
      <c r="FN26" s="2385">
        <f>IF(Data!$CT$44&lt;&gt;"",Data!$CT$44, "")</f>
        <v>0</v>
      </c>
      <c r="FO26" s="2385"/>
      <c r="FP26" s="2385"/>
      <c r="FQ26" s="2385"/>
      <c r="FR26" s="2385"/>
      <c r="FS26" s="2385"/>
      <c r="FT26" s="2385">
        <f>IF(Data!$CU$44&lt;&gt;"",Data!$CU$44, "")</f>
        <v>0</v>
      </c>
      <c r="FU26" s="2385"/>
      <c r="FV26" s="2385"/>
      <c r="FW26" s="2385"/>
      <c r="FX26" s="2385"/>
      <c r="FY26" s="2385"/>
      <c r="FZ26" s="2385">
        <f>IF(Data!$CV$44&lt;&gt;"",Data!$CV$44, "")</f>
        <v>0</v>
      </c>
      <c r="GA26" s="2385"/>
      <c r="GB26" s="2385"/>
      <c r="GC26" s="2385"/>
      <c r="GD26" s="2385"/>
      <c r="GE26" s="2385"/>
      <c r="GF26" s="1160"/>
      <c r="GG26" s="116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35">
      <c r="A27" s="338">
        <v>1</v>
      </c>
      <c r="B27" s="2382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O</v>
      </c>
      <c r="C27" s="2382"/>
      <c r="D27" s="2382"/>
      <c r="E27" s="2382"/>
      <c r="F27" s="2382"/>
      <c r="G27" s="2382"/>
      <c r="H27" s="2382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O</v>
      </c>
      <c r="I27" s="2382"/>
      <c r="J27" s="2382"/>
      <c r="K27" s="2382"/>
      <c r="L27" s="2382"/>
      <c r="M27" s="2382"/>
      <c r="N27" s="2382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O</v>
      </c>
      <c r="O27" s="2382"/>
      <c r="P27" s="2382"/>
      <c r="Q27" s="2382"/>
      <c r="R27" s="2382"/>
      <c r="S27" s="2382"/>
      <c r="T27" s="2382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U27" s="2382"/>
      <c r="V27" s="2382"/>
      <c r="W27" s="2382"/>
      <c r="X27" s="2382"/>
      <c r="Y27" s="2382"/>
      <c r="Z27" s="2382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AA27" s="2382"/>
      <c r="AB27" s="2382"/>
      <c r="AC27" s="2382"/>
      <c r="AD27" s="2382"/>
      <c r="AE27" s="2382"/>
      <c r="AF27" s="2382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O</v>
      </c>
      <c r="AG27" s="2382"/>
      <c r="AH27" s="2382"/>
      <c r="AI27" s="2382"/>
      <c r="AJ27" s="2382"/>
      <c r="AK27" s="2382"/>
      <c r="AL27" s="2382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O</v>
      </c>
      <c r="AM27" s="2382"/>
      <c r="AN27" s="2382"/>
      <c r="AO27" s="2382"/>
      <c r="AP27" s="2382"/>
      <c r="AQ27" s="2382"/>
      <c r="AR27" s="2382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O</v>
      </c>
      <c r="AS27" s="2382"/>
      <c r="AT27" s="2382"/>
      <c r="AU27" s="2382"/>
      <c r="AV27" s="2382"/>
      <c r="AW27" s="2382"/>
      <c r="AX27" s="2382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2"/>
      <c r="AZ27" s="2382"/>
      <c r="BA27" s="2382"/>
      <c r="BB27" s="2382"/>
      <c r="BC27" s="2382"/>
      <c r="BD27" s="2382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E27" s="2382"/>
      <c r="BF27" s="2382"/>
      <c r="BG27" s="2382"/>
      <c r="BH27" s="2382"/>
      <c r="BI27" s="2382"/>
      <c r="BJ27" s="2382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BK27" s="2382"/>
      <c r="BL27" s="2382"/>
      <c r="BM27" s="2382"/>
      <c r="BN27" s="2382"/>
      <c r="BO27" s="2382"/>
      <c r="BP27" s="2382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BQ27" s="2382"/>
      <c r="BR27" s="2382"/>
      <c r="BS27" s="2382"/>
      <c r="BT27" s="2382"/>
      <c r="BU27" s="2382"/>
      <c r="BV27" s="2382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BW27" s="2382"/>
      <c r="BX27" s="2382"/>
      <c r="BY27" s="2382"/>
      <c r="BZ27" s="2382"/>
      <c r="CA27" s="2382"/>
      <c r="CB27" s="2382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2"/>
      <c r="CD27" s="2382"/>
      <c r="CE27" s="2382"/>
      <c r="CF27" s="2382"/>
      <c r="CG27" s="2382"/>
      <c r="CH27" s="2382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2"/>
      <c r="CJ27" s="2382"/>
      <c r="CK27" s="2382"/>
      <c r="CL27" s="2382"/>
      <c r="CM27" s="2382"/>
      <c r="CN27" s="2382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2"/>
      <c r="CP27" s="2382"/>
      <c r="CQ27" s="2382"/>
      <c r="CR27" s="2382"/>
      <c r="CS27" s="2382"/>
      <c r="CT27" s="2382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2"/>
      <c r="CV27" s="2382"/>
      <c r="CW27" s="2382"/>
      <c r="CX27" s="2382"/>
      <c r="CY27" s="2382"/>
      <c r="CZ27" s="2382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2"/>
      <c r="DB27" s="2382"/>
      <c r="DC27" s="2382"/>
      <c r="DD27" s="2382"/>
      <c r="DE27" s="2382"/>
      <c r="DF27" s="2382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2"/>
      <c r="DH27" s="2382"/>
      <c r="DI27" s="2382"/>
      <c r="DJ27" s="2382"/>
      <c r="DK27" s="2382"/>
      <c r="DL27" s="2382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2"/>
      <c r="DN27" s="2382"/>
      <c r="DO27" s="2382"/>
      <c r="DP27" s="2382"/>
      <c r="DQ27" s="2382"/>
      <c r="DR27" s="2382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2"/>
      <c r="DT27" s="2382"/>
      <c r="DU27" s="2382"/>
      <c r="DV27" s="2382"/>
      <c r="DW27" s="2382"/>
      <c r="DX27" s="2382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2"/>
      <c r="DZ27" s="2382"/>
      <c r="EA27" s="2382"/>
      <c r="EB27" s="2382"/>
      <c r="EC27" s="2382"/>
      <c r="ED27" s="2382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2"/>
      <c r="EF27" s="2382"/>
      <c r="EG27" s="2382"/>
      <c r="EH27" s="2382"/>
      <c r="EI27" s="2382"/>
      <c r="EJ27" s="2382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2"/>
      <c r="EL27" s="2382"/>
      <c r="EM27" s="2382"/>
      <c r="EN27" s="2382"/>
      <c r="EO27" s="2382"/>
      <c r="EP27" s="2382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2"/>
      <c r="ER27" s="2382"/>
      <c r="ES27" s="2382"/>
      <c r="ET27" s="2382"/>
      <c r="EU27" s="2382"/>
      <c r="EV27" s="2382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2"/>
      <c r="EX27" s="2382"/>
      <c r="EY27" s="2382"/>
      <c r="EZ27" s="2382"/>
      <c r="FA27" s="2382"/>
      <c r="FB27" s="2382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2"/>
      <c r="FD27" s="2382"/>
      <c r="FE27" s="2382"/>
      <c r="FF27" s="2382"/>
      <c r="FG27" s="2382"/>
      <c r="FH27" s="2382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2"/>
      <c r="FJ27" s="2382"/>
      <c r="FK27" s="2382"/>
      <c r="FL27" s="2382"/>
      <c r="FM27" s="2382"/>
      <c r="FN27" s="2382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2"/>
      <c r="FP27" s="2382"/>
      <c r="FQ27" s="2382"/>
      <c r="FR27" s="2382"/>
      <c r="FS27" s="2382"/>
      <c r="FT27" s="2382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2"/>
      <c r="FV27" s="2382"/>
      <c r="FW27" s="2382"/>
      <c r="FX27" s="2382"/>
      <c r="FY27" s="2382"/>
      <c r="FZ27" s="2382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2"/>
      <c r="GB27" s="2382"/>
      <c r="GC27" s="2382"/>
      <c r="GD27" s="2382"/>
      <c r="GE27" s="2382"/>
      <c r="GF27" s="1160"/>
      <c r="GG27" s="116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35">
      <c r="A28" s="338">
        <v>2</v>
      </c>
      <c r="B28" s="2382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O</v>
      </c>
      <c r="C28" s="2382"/>
      <c r="D28" s="2382"/>
      <c r="E28" s="2382"/>
      <c r="F28" s="2382"/>
      <c r="G28" s="2382"/>
      <c r="H28" s="2382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O</v>
      </c>
      <c r="I28" s="2382"/>
      <c r="J28" s="2382"/>
      <c r="K28" s="2382"/>
      <c r="L28" s="2382"/>
      <c r="M28" s="2382"/>
      <c r="N28" s="2382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O</v>
      </c>
      <c r="O28" s="2382"/>
      <c r="P28" s="2382"/>
      <c r="Q28" s="2382"/>
      <c r="R28" s="2382"/>
      <c r="S28" s="2382"/>
      <c r="T28" s="2382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O</v>
      </c>
      <c r="U28" s="2382"/>
      <c r="V28" s="2382"/>
      <c r="W28" s="2382"/>
      <c r="X28" s="2382"/>
      <c r="Y28" s="2382"/>
      <c r="Z28" s="2382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O</v>
      </c>
      <c r="AA28" s="2382"/>
      <c r="AB28" s="2382"/>
      <c r="AC28" s="2382"/>
      <c r="AD28" s="2382"/>
      <c r="AE28" s="2382"/>
      <c r="AF28" s="2382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2"/>
      <c r="AH28" s="2382"/>
      <c r="AI28" s="2382"/>
      <c r="AJ28" s="2382"/>
      <c r="AK28" s="2382"/>
      <c r="AL28" s="2382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2"/>
      <c r="AN28" s="2382"/>
      <c r="AO28" s="2382"/>
      <c r="AP28" s="2382"/>
      <c r="AQ28" s="2382"/>
      <c r="AR28" s="2382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2"/>
      <c r="AT28" s="2382"/>
      <c r="AU28" s="2382"/>
      <c r="AV28" s="2382"/>
      <c r="AW28" s="2382"/>
      <c r="AX28" s="2382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2"/>
      <c r="AZ28" s="2382"/>
      <c r="BA28" s="2382"/>
      <c r="BB28" s="2382"/>
      <c r="BC28" s="2382"/>
      <c r="BD28" s="2382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E28" s="2382"/>
      <c r="BF28" s="2382"/>
      <c r="BG28" s="2382"/>
      <c r="BH28" s="2382"/>
      <c r="BI28" s="2382"/>
      <c r="BJ28" s="2382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BK28" s="2382"/>
      <c r="BL28" s="2382"/>
      <c r="BM28" s="2382"/>
      <c r="BN28" s="2382"/>
      <c r="BO28" s="2382"/>
      <c r="BP28" s="2382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BQ28" s="2382"/>
      <c r="BR28" s="2382"/>
      <c r="BS28" s="2382"/>
      <c r="BT28" s="2382"/>
      <c r="BU28" s="2382"/>
      <c r="BV28" s="2382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BW28" s="2382"/>
      <c r="BX28" s="2382"/>
      <c r="BY28" s="2382"/>
      <c r="BZ28" s="2382"/>
      <c r="CA28" s="2382"/>
      <c r="CB28" s="2382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2"/>
      <c r="CD28" s="2382"/>
      <c r="CE28" s="2382"/>
      <c r="CF28" s="2382"/>
      <c r="CG28" s="2382"/>
      <c r="CH28" s="2382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2"/>
      <c r="CJ28" s="2382"/>
      <c r="CK28" s="2382"/>
      <c r="CL28" s="2382"/>
      <c r="CM28" s="2382"/>
      <c r="CN28" s="2382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2"/>
      <c r="CP28" s="2382"/>
      <c r="CQ28" s="2382"/>
      <c r="CR28" s="2382"/>
      <c r="CS28" s="2382"/>
      <c r="CT28" s="2382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2"/>
      <c r="CV28" s="2382"/>
      <c r="CW28" s="2382"/>
      <c r="CX28" s="2382"/>
      <c r="CY28" s="2382"/>
      <c r="CZ28" s="2382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2"/>
      <c r="DB28" s="2382"/>
      <c r="DC28" s="2382"/>
      <c r="DD28" s="2382"/>
      <c r="DE28" s="2382"/>
      <c r="DF28" s="2382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2"/>
      <c r="DH28" s="2382"/>
      <c r="DI28" s="2382"/>
      <c r="DJ28" s="2382"/>
      <c r="DK28" s="2382"/>
      <c r="DL28" s="2382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2"/>
      <c r="DN28" s="2382"/>
      <c r="DO28" s="2382"/>
      <c r="DP28" s="2382"/>
      <c r="DQ28" s="2382"/>
      <c r="DR28" s="2382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2"/>
      <c r="DT28" s="2382"/>
      <c r="DU28" s="2382"/>
      <c r="DV28" s="2382"/>
      <c r="DW28" s="2382"/>
      <c r="DX28" s="2382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2"/>
      <c r="DZ28" s="2382"/>
      <c r="EA28" s="2382"/>
      <c r="EB28" s="2382"/>
      <c r="EC28" s="2382"/>
      <c r="ED28" s="2382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2"/>
      <c r="EF28" s="2382"/>
      <c r="EG28" s="2382"/>
      <c r="EH28" s="2382"/>
      <c r="EI28" s="2382"/>
      <c r="EJ28" s="2382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2"/>
      <c r="EL28" s="2382"/>
      <c r="EM28" s="2382"/>
      <c r="EN28" s="2382"/>
      <c r="EO28" s="2382"/>
      <c r="EP28" s="2382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2"/>
      <c r="ER28" s="2382"/>
      <c r="ES28" s="2382"/>
      <c r="ET28" s="2382"/>
      <c r="EU28" s="2382"/>
      <c r="EV28" s="2382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2"/>
      <c r="EX28" s="2382"/>
      <c r="EY28" s="2382"/>
      <c r="EZ28" s="2382"/>
      <c r="FA28" s="2382"/>
      <c r="FB28" s="2382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2"/>
      <c r="FD28" s="2382"/>
      <c r="FE28" s="2382"/>
      <c r="FF28" s="2382"/>
      <c r="FG28" s="2382"/>
      <c r="FH28" s="2382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2"/>
      <c r="FJ28" s="2382"/>
      <c r="FK28" s="2382"/>
      <c r="FL28" s="2382"/>
      <c r="FM28" s="2382"/>
      <c r="FN28" s="2382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2"/>
      <c r="FP28" s="2382"/>
      <c r="FQ28" s="2382"/>
      <c r="FR28" s="2382"/>
      <c r="FS28" s="2382"/>
      <c r="FT28" s="2382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2"/>
      <c r="FV28" s="2382"/>
      <c r="FW28" s="2382"/>
      <c r="FX28" s="2382"/>
      <c r="FY28" s="2382"/>
      <c r="FZ28" s="2382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2"/>
      <c r="GB28" s="2382"/>
      <c r="GC28" s="2382"/>
      <c r="GD28" s="2382"/>
      <c r="GE28" s="2382"/>
      <c r="GF28" s="1160"/>
      <c r="GG28" s="1160"/>
    </row>
    <row r="29" spans="1:206" ht="44.25" customHeight="1" x14ac:dyDescent="0.35">
      <c r="A29" s="338">
        <v>3</v>
      </c>
      <c r="B29" s="2382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O</v>
      </c>
      <c r="C29" s="2382"/>
      <c r="D29" s="2382"/>
      <c r="E29" s="2382"/>
      <c r="F29" s="2382"/>
      <c r="G29" s="2382"/>
      <c r="H29" s="2382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O</v>
      </c>
      <c r="I29" s="2382"/>
      <c r="J29" s="2382"/>
      <c r="K29" s="2382"/>
      <c r="L29" s="2382"/>
      <c r="M29" s="2382"/>
      <c r="N29" s="2382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O</v>
      </c>
      <c r="O29" s="2382"/>
      <c r="P29" s="2382"/>
      <c r="Q29" s="2382"/>
      <c r="R29" s="2382"/>
      <c r="S29" s="2382"/>
      <c r="T29" s="2382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U29" s="2382"/>
      <c r="V29" s="2382"/>
      <c r="W29" s="2382"/>
      <c r="X29" s="2382"/>
      <c r="Y29" s="2382"/>
      <c r="Z29" s="2382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O</v>
      </c>
      <c r="AA29" s="2382"/>
      <c r="AB29" s="2382"/>
      <c r="AC29" s="2382"/>
      <c r="AD29" s="2382"/>
      <c r="AE29" s="2382"/>
      <c r="AF29" s="2382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O</v>
      </c>
      <c r="AG29" s="2382"/>
      <c r="AH29" s="2382"/>
      <c r="AI29" s="2382"/>
      <c r="AJ29" s="2382"/>
      <c r="AK29" s="2382"/>
      <c r="AL29" s="2382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O</v>
      </c>
      <c r="AM29" s="2382"/>
      <c r="AN29" s="2382"/>
      <c r="AO29" s="2382"/>
      <c r="AP29" s="2382"/>
      <c r="AQ29" s="2382"/>
      <c r="AR29" s="2382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2"/>
      <c r="AT29" s="2382"/>
      <c r="AU29" s="2382"/>
      <c r="AV29" s="2382"/>
      <c r="AW29" s="2382"/>
      <c r="AX29" s="2382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2"/>
      <c r="AZ29" s="2382"/>
      <c r="BA29" s="2382"/>
      <c r="BB29" s="2382"/>
      <c r="BC29" s="2382"/>
      <c r="BD29" s="2382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E29" s="2382"/>
      <c r="BF29" s="2382"/>
      <c r="BG29" s="2382"/>
      <c r="BH29" s="2382"/>
      <c r="BI29" s="2382"/>
      <c r="BJ29" s="2382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BK29" s="2382"/>
      <c r="BL29" s="2382"/>
      <c r="BM29" s="2382"/>
      <c r="BN29" s="2382"/>
      <c r="BO29" s="2382"/>
      <c r="BP29" s="2382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BQ29" s="2382"/>
      <c r="BR29" s="2382"/>
      <c r="BS29" s="2382"/>
      <c r="BT29" s="2382"/>
      <c r="BU29" s="2382"/>
      <c r="BV29" s="2382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2"/>
      <c r="BX29" s="2382"/>
      <c r="BY29" s="2382"/>
      <c r="BZ29" s="2382"/>
      <c r="CA29" s="2382"/>
      <c r="CB29" s="2382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2"/>
      <c r="CD29" s="2382"/>
      <c r="CE29" s="2382"/>
      <c r="CF29" s="2382"/>
      <c r="CG29" s="2382"/>
      <c r="CH29" s="2382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2"/>
      <c r="CJ29" s="2382"/>
      <c r="CK29" s="2382"/>
      <c r="CL29" s="2382"/>
      <c r="CM29" s="2382"/>
      <c r="CN29" s="2382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2"/>
      <c r="CP29" s="2382"/>
      <c r="CQ29" s="2382"/>
      <c r="CR29" s="2382"/>
      <c r="CS29" s="2382"/>
      <c r="CT29" s="2382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2"/>
      <c r="CV29" s="2382"/>
      <c r="CW29" s="2382"/>
      <c r="CX29" s="2382"/>
      <c r="CY29" s="2382"/>
      <c r="CZ29" s="2382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2"/>
      <c r="DB29" s="2382"/>
      <c r="DC29" s="2382"/>
      <c r="DD29" s="2382"/>
      <c r="DE29" s="2382"/>
      <c r="DF29" s="2382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2"/>
      <c r="DH29" s="2382"/>
      <c r="DI29" s="2382"/>
      <c r="DJ29" s="2382"/>
      <c r="DK29" s="2382"/>
      <c r="DL29" s="2382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2"/>
      <c r="DN29" s="2382"/>
      <c r="DO29" s="2382"/>
      <c r="DP29" s="2382"/>
      <c r="DQ29" s="2382"/>
      <c r="DR29" s="2382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2"/>
      <c r="DT29" s="2382"/>
      <c r="DU29" s="2382"/>
      <c r="DV29" s="2382"/>
      <c r="DW29" s="2382"/>
      <c r="DX29" s="2382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2"/>
      <c r="DZ29" s="2382"/>
      <c r="EA29" s="2382"/>
      <c r="EB29" s="2382"/>
      <c r="EC29" s="2382"/>
      <c r="ED29" s="2382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2"/>
      <c r="EF29" s="2382"/>
      <c r="EG29" s="2382"/>
      <c r="EH29" s="2382"/>
      <c r="EI29" s="2382"/>
      <c r="EJ29" s="2382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2"/>
      <c r="EL29" s="2382"/>
      <c r="EM29" s="2382"/>
      <c r="EN29" s="2382"/>
      <c r="EO29" s="2382"/>
      <c r="EP29" s="2382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2"/>
      <c r="ER29" s="2382"/>
      <c r="ES29" s="2382"/>
      <c r="ET29" s="2382"/>
      <c r="EU29" s="2382"/>
      <c r="EV29" s="2382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2"/>
      <c r="EX29" s="2382"/>
      <c r="EY29" s="2382"/>
      <c r="EZ29" s="2382"/>
      <c r="FA29" s="2382"/>
      <c r="FB29" s="2382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2"/>
      <c r="FD29" s="2382"/>
      <c r="FE29" s="2382"/>
      <c r="FF29" s="2382"/>
      <c r="FG29" s="2382"/>
      <c r="FH29" s="2382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2"/>
      <c r="FJ29" s="2382"/>
      <c r="FK29" s="2382"/>
      <c r="FL29" s="2382"/>
      <c r="FM29" s="2382"/>
      <c r="FN29" s="2382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2"/>
      <c r="FP29" s="2382"/>
      <c r="FQ29" s="2382"/>
      <c r="FR29" s="2382"/>
      <c r="FS29" s="2382"/>
      <c r="FT29" s="2382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2"/>
      <c r="FV29" s="2382"/>
      <c r="FW29" s="2382"/>
      <c r="FX29" s="2382"/>
      <c r="FY29" s="2382"/>
      <c r="FZ29" s="2382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2"/>
      <c r="GB29" s="2382"/>
      <c r="GC29" s="2382"/>
      <c r="GD29" s="2382"/>
      <c r="GE29" s="2382"/>
      <c r="GF29" s="1160"/>
      <c r="GG29" s="1160"/>
    </row>
    <row r="30" spans="1:206" ht="44.25" customHeight="1" x14ac:dyDescent="0.35">
      <c r="A30" s="338">
        <v>4</v>
      </c>
      <c r="B30" s="2382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O</v>
      </c>
      <c r="C30" s="2382"/>
      <c r="D30" s="2382"/>
      <c r="E30" s="2382"/>
      <c r="F30" s="2382"/>
      <c r="G30" s="2382"/>
      <c r="H30" s="2382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O</v>
      </c>
      <c r="I30" s="2382"/>
      <c r="J30" s="2382"/>
      <c r="K30" s="2382"/>
      <c r="L30" s="2382"/>
      <c r="M30" s="2382"/>
      <c r="N30" s="2382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O</v>
      </c>
      <c r="O30" s="2382"/>
      <c r="P30" s="2382"/>
      <c r="Q30" s="2382"/>
      <c r="R30" s="2382"/>
      <c r="S30" s="2382"/>
      <c r="T30" s="2382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S</v>
      </c>
      <c r="U30" s="2382"/>
      <c r="V30" s="2382"/>
      <c r="W30" s="2382"/>
      <c r="X30" s="2382"/>
      <c r="Y30" s="2382"/>
      <c r="Z30" s="2382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O</v>
      </c>
      <c r="AA30" s="2382"/>
      <c r="AB30" s="2382"/>
      <c r="AC30" s="2382"/>
      <c r="AD30" s="2382"/>
      <c r="AE30" s="2382"/>
      <c r="AF30" s="2382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O</v>
      </c>
      <c r="AG30" s="2382"/>
      <c r="AH30" s="2382"/>
      <c r="AI30" s="2382"/>
      <c r="AJ30" s="2382"/>
      <c r="AK30" s="2382"/>
      <c r="AL30" s="2382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O</v>
      </c>
      <c r="AM30" s="2382"/>
      <c r="AN30" s="2382"/>
      <c r="AO30" s="2382"/>
      <c r="AP30" s="2382"/>
      <c r="AQ30" s="2382"/>
      <c r="AR30" s="2382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O</v>
      </c>
      <c r="AS30" s="2382"/>
      <c r="AT30" s="2382"/>
      <c r="AU30" s="2382"/>
      <c r="AV30" s="2382"/>
      <c r="AW30" s="2382"/>
      <c r="AX30" s="2382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2"/>
      <c r="AZ30" s="2382"/>
      <c r="BA30" s="2382"/>
      <c r="BB30" s="2382"/>
      <c r="BC30" s="2382"/>
      <c r="BD30" s="2382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E30" s="2382"/>
      <c r="BF30" s="2382"/>
      <c r="BG30" s="2382"/>
      <c r="BH30" s="2382"/>
      <c r="BI30" s="2382"/>
      <c r="BJ30" s="2382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BK30" s="2382"/>
      <c r="BL30" s="2382"/>
      <c r="BM30" s="2382"/>
      <c r="BN30" s="2382"/>
      <c r="BO30" s="2382"/>
      <c r="BP30" s="2382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BQ30" s="2382"/>
      <c r="BR30" s="2382"/>
      <c r="BS30" s="2382"/>
      <c r="BT30" s="2382"/>
      <c r="BU30" s="2382"/>
      <c r="BV30" s="2382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BW30" s="2382"/>
      <c r="BX30" s="2382"/>
      <c r="BY30" s="2382"/>
      <c r="BZ30" s="2382"/>
      <c r="CA30" s="2382"/>
      <c r="CB30" s="2382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2"/>
      <c r="CD30" s="2382"/>
      <c r="CE30" s="2382"/>
      <c r="CF30" s="2382"/>
      <c r="CG30" s="2382"/>
      <c r="CH30" s="2382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2"/>
      <c r="CJ30" s="2382"/>
      <c r="CK30" s="2382"/>
      <c r="CL30" s="2382"/>
      <c r="CM30" s="2382"/>
      <c r="CN30" s="2382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2"/>
      <c r="CP30" s="2382"/>
      <c r="CQ30" s="2382"/>
      <c r="CR30" s="2382"/>
      <c r="CS30" s="2382"/>
      <c r="CT30" s="2382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2"/>
      <c r="CV30" s="2382"/>
      <c r="CW30" s="2382"/>
      <c r="CX30" s="2382"/>
      <c r="CY30" s="2382"/>
      <c r="CZ30" s="2382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2"/>
      <c r="DB30" s="2382"/>
      <c r="DC30" s="2382"/>
      <c r="DD30" s="2382"/>
      <c r="DE30" s="2382"/>
      <c r="DF30" s="2382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2"/>
      <c r="DH30" s="2382"/>
      <c r="DI30" s="2382"/>
      <c r="DJ30" s="2382"/>
      <c r="DK30" s="2382"/>
      <c r="DL30" s="2382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2"/>
      <c r="DN30" s="2382"/>
      <c r="DO30" s="2382"/>
      <c r="DP30" s="2382"/>
      <c r="DQ30" s="2382"/>
      <c r="DR30" s="2382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2"/>
      <c r="DT30" s="2382"/>
      <c r="DU30" s="2382"/>
      <c r="DV30" s="2382"/>
      <c r="DW30" s="2382"/>
      <c r="DX30" s="2382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2"/>
      <c r="DZ30" s="2382"/>
      <c r="EA30" s="2382"/>
      <c r="EB30" s="2382"/>
      <c r="EC30" s="2382"/>
      <c r="ED30" s="2382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2"/>
      <c r="EF30" s="2382"/>
      <c r="EG30" s="2382"/>
      <c r="EH30" s="2382"/>
      <c r="EI30" s="2382"/>
      <c r="EJ30" s="2382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2"/>
      <c r="EL30" s="2382"/>
      <c r="EM30" s="2382"/>
      <c r="EN30" s="2382"/>
      <c r="EO30" s="2382"/>
      <c r="EP30" s="2382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2"/>
      <c r="ER30" s="2382"/>
      <c r="ES30" s="2382"/>
      <c r="ET30" s="2382"/>
      <c r="EU30" s="2382"/>
      <c r="EV30" s="2382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2"/>
      <c r="EX30" s="2382"/>
      <c r="EY30" s="2382"/>
      <c r="EZ30" s="2382"/>
      <c r="FA30" s="2382"/>
      <c r="FB30" s="2382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2"/>
      <c r="FD30" s="2382"/>
      <c r="FE30" s="2382"/>
      <c r="FF30" s="2382"/>
      <c r="FG30" s="2382"/>
      <c r="FH30" s="2382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2"/>
      <c r="FJ30" s="2382"/>
      <c r="FK30" s="2382"/>
      <c r="FL30" s="2382"/>
      <c r="FM30" s="2382"/>
      <c r="FN30" s="2382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2"/>
      <c r="FP30" s="2382"/>
      <c r="FQ30" s="2382"/>
      <c r="FR30" s="2382"/>
      <c r="FS30" s="2382"/>
      <c r="FT30" s="2382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2"/>
      <c r="FV30" s="2382"/>
      <c r="FW30" s="2382"/>
      <c r="FX30" s="2382"/>
      <c r="FY30" s="2382"/>
      <c r="FZ30" s="2382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2"/>
      <c r="GB30" s="2382"/>
      <c r="GC30" s="2382"/>
      <c r="GD30" s="2382"/>
      <c r="GE30" s="2382"/>
      <c r="GF30" s="1160"/>
      <c r="GG30" s="1160"/>
    </row>
    <row r="31" spans="1:206" ht="44.25" customHeight="1" x14ac:dyDescent="0.35">
      <c r="A31" s="338">
        <v>5</v>
      </c>
      <c r="B31" s="2382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31" s="2382"/>
      <c r="D31" s="2382"/>
      <c r="E31" s="2382"/>
      <c r="F31" s="2382"/>
      <c r="G31" s="2382"/>
      <c r="H31" s="2382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2"/>
      <c r="J31" s="2382"/>
      <c r="K31" s="2382"/>
      <c r="L31" s="2382"/>
      <c r="M31" s="2382"/>
      <c r="N31" s="2382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O</v>
      </c>
      <c r="O31" s="2382"/>
      <c r="P31" s="2382"/>
      <c r="Q31" s="2382"/>
      <c r="R31" s="2382"/>
      <c r="S31" s="2382"/>
      <c r="T31" s="2382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O</v>
      </c>
      <c r="U31" s="2382"/>
      <c r="V31" s="2382"/>
      <c r="W31" s="2382"/>
      <c r="X31" s="2382"/>
      <c r="Y31" s="2382"/>
      <c r="Z31" s="2382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O</v>
      </c>
      <c r="AA31" s="2382"/>
      <c r="AB31" s="2382"/>
      <c r="AC31" s="2382"/>
      <c r="AD31" s="2382"/>
      <c r="AE31" s="2382"/>
      <c r="AF31" s="2382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G31" s="2382"/>
      <c r="AH31" s="2382"/>
      <c r="AI31" s="2382"/>
      <c r="AJ31" s="2382"/>
      <c r="AK31" s="2382"/>
      <c r="AL31" s="2382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M31" s="2382"/>
      <c r="AN31" s="2382"/>
      <c r="AO31" s="2382"/>
      <c r="AP31" s="2382"/>
      <c r="AQ31" s="2382"/>
      <c r="AR31" s="2382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AS31" s="2382"/>
      <c r="AT31" s="2382"/>
      <c r="AU31" s="2382"/>
      <c r="AV31" s="2382"/>
      <c r="AW31" s="2382"/>
      <c r="AX31" s="2382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2"/>
      <c r="AZ31" s="2382"/>
      <c r="BA31" s="2382"/>
      <c r="BB31" s="2382"/>
      <c r="BC31" s="2382"/>
      <c r="BD31" s="2382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E31" s="2382"/>
      <c r="BF31" s="2382"/>
      <c r="BG31" s="2382"/>
      <c r="BH31" s="2382"/>
      <c r="BI31" s="2382"/>
      <c r="BJ31" s="2382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BK31" s="2382"/>
      <c r="BL31" s="2382"/>
      <c r="BM31" s="2382"/>
      <c r="BN31" s="2382"/>
      <c r="BO31" s="2382"/>
      <c r="BP31" s="2382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BQ31" s="2382"/>
      <c r="BR31" s="2382"/>
      <c r="BS31" s="2382"/>
      <c r="BT31" s="2382"/>
      <c r="BU31" s="2382"/>
      <c r="BV31" s="2382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BW31" s="2382"/>
      <c r="BX31" s="2382"/>
      <c r="BY31" s="2382"/>
      <c r="BZ31" s="2382"/>
      <c r="CA31" s="2382"/>
      <c r="CB31" s="2382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2"/>
      <c r="CD31" s="2382"/>
      <c r="CE31" s="2382"/>
      <c r="CF31" s="2382"/>
      <c r="CG31" s="2382"/>
      <c r="CH31" s="2382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2"/>
      <c r="CJ31" s="2382"/>
      <c r="CK31" s="2382"/>
      <c r="CL31" s="2382"/>
      <c r="CM31" s="2382"/>
      <c r="CN31" s="2382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2"/>
      <c r="CP31" s="2382"/>
      <c r="CQ31" s="2382"/>
      <c r="CR31" s="2382"/>
      <c r="CS31" s="2382"/>
      <c r="CT31" s="2382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2"/>
      <c r="CV31" s="2382"/>
      <c r="CW31" s="2382"/>
      <c r="CX31" s="2382"/>
      <c r="CY31" s="2382"/>
      <c r="CZ31" s="2382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2"/>
      <c r="DB31" s="2382"/>
      <c r="DC31" s="2382"/>
      <c r="DD31" s="2382"/>
      <c r="DE31" s="2382"/>
      <c r="DF31" s="2382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2"/>
      <c r="DH31" s="2382"/>
      <c r="DI31" s="2382"/>
      <c r="DJ31" s="2382"/>
      <c r="DK31" s="2382"/>
      <c r="DL31" s="2382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2"/>
      <c r="DN31" s="2382"/>
      <c r="DO31" s="2382"/>
      <c r="DP31" s="2382"/>
      <c r="DQ31" s="2382"/>
      <c r="DR31" s="2382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2"/>
      <c r="DT31" s="2382"/>
      <c r="DU31" s="2382"/>
      <c r="DV31" s="2382"/>
      <c r="DW31" s="2382"/>
      <c r="DX31" s="2382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2"/>
      <c r="DZ31" s="2382"/>
      <c r="EA31" s="2382"/>
      <c r="EB31" s="2382"/>
      <c r="EC31" s="2382"/>
      <c r="ED31" s="2382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2"/>
      <c r="EF31" s="2382"/>
      <c r="EG31" s="2382"/>
      <c r="EH31" s="2382"/>
      <c r="EI31" s="2382"/>
      <c r="EJ31" s="2382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2"/>
      <c r="EL31" s="2382"/>
      <c r="EM31" s="2382"/>
      <c r="EN31" s="2382"/>
      <c r="EO31" s="2382"/>
      <c r="EP31" s="2382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2"/>
      <c r="ER31" s="2382"/>
      <c r="ES31" s="2382"/>
      <c r="ET31" s="2382"/>
      <c r="EU31" s="2382"/>
      <c r="EV31" s="2382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2"/>
      <c r="EX31" s="2382"/>
      <c r="EY31" s="2382"/>
      <c r="EZ31" s="2382"/>
      <c r="FA31" s="2382"/>
      <c r="FB31" s="2382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2"/>
      <c r="FD31" s="2382"/>
      <c r="FE31" s="2382"/>
      <c r="FF31" s="2382"/>
      <c r="FG31" s="2382"/>
      <c r="FH31" s="2382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2"/>
      <c r="FJ31" s="2382"/>
      <c r="FK31" s="2382"/>
      <c r="FL31" s="2382"/>
      <c r="FM31" s="2382"/>
      <c r="FN31" s="2382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2"/>
      <c r="FP31" s="2382"/>
      <c r="FQ31" s="2382"/>
      <c r="FR31" s="2382"/>
      <c r="FS31" s="2382"/>
      <c r="FT31" s="2382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2"/>
      <c r="FV31" s="2382"/>
      <c r="FW31" s="2382"/>
      <c r="FX31" s="2382"/>
      <c r="FY31" s="2382"/>
      <c r="FZ31" s="2382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2"/>
      <c r="GB31" s="2382"/>
      <c r="GC31" s="2382"/>
      <c r="GD31" s="2382"/>
      <c r="GE31" s="2382"/>
      <c r="GF31" s="1160"/>
      <c r="GG31" s="1160"/>
    </row>
    <row r="32" spans="1:206" ht="44.25" customHeight="1" x14ac:dyDescent="0.35">
      <c r="A32" s="338">
        <v>6</v>
      </c>
      <c r="B32" s="2382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32" s="2382"/>
      <c r="D32" s="2382"/>
      <c r="E32" s="2382"/>
      <c r="F32" s="2382"/>
      <c r="G32" s="2382"/>
      <c r="H32" s="2382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I32" s="2382"/>
      <c r="J32" s="2382"/>
      <c r="K32" s="2382"/>
      <c r="L32" s="2382"/>
      <c r="M32" s="2382"/>
      <c r="N32" s="2382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O32" s="2382"/>
      <c r="P32" s="2382"/>
      <c r="Q32" s="2382"/>
      <c r="R32" s="2382"/>
      <c r="S32" s="2382"/>
      <c r="T32" s="2382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U32" s="2382"/>
      <c r="V32" s="2382"/>
      <c r="W32" s="2382"/>
      <c r="X32" s="2382"/>
      <c r="Y32" s="2382"/>
      <c r="Z32" s="2382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A32" s="2382"/>
      <c r="AB32" s="2382"/>
      <c r="AC32" s="2382"/>
      <c r="AD32" s="2382"/>
      <c r="AE32" s="2382"/>
      <c r="AF32" s="2382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2"/>
      <c r="AH32" s="2382"/>
      <c r="AI32" s="2382"/>
      <c r="AJ32" s="2382"/>
      <c r="AK32" s="2382"/>
      <c r="AL32" s="2382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2"/>
      <c r="AN32" s="2382"/>
      <c r="AO32" s="2382"/>
      <c r="AP32" s="2382"/>
      <c r="AQ32" s="2382"/>
      <c r="AR32" s="2382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2"/>
      <c r="AT32" s="2382"/>
      <c r="AU32" s="2382"/>
      <c r="AV32" s="2382"/>
      <c r="AW32" s="2382"/>
      <c r="AX32" s="2382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2"/>
      <c r="AZ32" s="2382"/>
      <c r="BA32" s="2382"/>
      <c r="BB32" s="2382"/>
      <c r="BC32" s="2382"/>
      <c r="BD32" s="2382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E32" s="2382"/>
      <c r="BF32" s="2382"/>
      <c r="BG32" s="2382"/>
      <c r="BH32" s="2382"/>
      <c r="BI32" s="2382"/>
      <c r="BJ32" s="2382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BK32" s="2382"/>
      <c r="BL32" s="2382"/>
      <c r="BM32" s="2382"/>
      <c r="BN32" s="2382"/>
      <c r="BO32" s="2382"/>
      <c r="BP32" s="2382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BQ32" s="2382"/>
      <c r="BR32" s="2382"/>
      <c r="BS32" s="2382"/>
      <c r="BT32" s="2382"/>
      <c r="BU32" s="2382"/>
      <c r="BV32" s="2382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BW32" s="2382"/>
      <c r="BX32" s="2382"/>
      <c r="BY32" s="2382"/>
      <c r="BZ32" s="2382"/>
      <c r="CA32" s="2382"/>
      <c r="CB32" s="2382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2"/>
      <c r="CD32" s="2382"/>
      <c r="CE32" s="2382"/>
      <c r="CF32" s="2382"/>
      <c r="CG32" s="2382"/>
      <c r="CH32" s="2382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2"/>
      <c r="CJ32" s="2382"/>
      <c r="CK32" s="2382"/>
      <c r="CL32" s="2382"/>
      <c r="CM32" s="2382"/>
      <c r="CN32" s="2382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2"/>
      <c r="CP32" s="2382"/>
      <c r="CQ32" s="2382"/>
      <c r="CR32" s="2382"/>
      <c r="CS32" s="2382"/>
      <c r="CT32" s="2382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2"/>
      <c r="CV32" s="2382"/>
      <c r="CW32" s="2382"/>
      <c r="CX32" s="2382"/>
      <c r="CY32" s="2382"/>
      <c r="CZ32" s="2382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2"/>
      <c r="DB32" s="2382"/>
      <c r="DC32" s="2382"/>
      <c r="DD32" s="2382"/>
      <c r="DE32" s="2382"/>
      <c r="DF32" s="2382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2"/>
      <c r="DH32" s="2382"/>
      <c r="DI32" s="2382"/>
      <c r="DJ32" s="2382"/>
      <c r="DK32" s="2382"/>
      <c r="DL32" s="2382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2"/>
      <c r="DN32" s="2382"/>
      <c r="DO32" s="2382"/>
      <c r="DP32" s="2382"/>
      <c r="DQ32" s="2382"/>
      <c r="DR32" s="2382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2"/>
      <c r="DT32" s="2382"/>
      <c r="DU32" s="2382"/>
      <c r="DV32" s="2382"/>
      <c r="DW32" s="2382"/>
      <c r="DX32" s="2382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2"/>
      <c r="DZ32" s="2382"/>
      <c r="EA32" s="2382"/>
      <c r="EB32" s="2382"/>
      <c r="EC32" s="2382"/>
      <c r="ED32" s="2382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2"/>
      <c r="EF32" s="2382"/>
      <c r="EG32" s="2382"/>
      <c r="EH32" s="2382"/>
      <c r="EI32" s="2382"/>
      <c r="EJ32" s="2382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2"/>
      <c r="EL32" s="2382"/>
      <c r="EM32" s="2382"/>
      <c r="EN32" s="2382"/>
      <c r="EO32" s="2382"/>
      <c r="EP32" s="2382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2"/>
      <c r="ER32" s="2382"/>
      <c r="ES32" s="2382"/>
      <c r="ET32" s="2382"/>
      <c r="EU32" s="2382"/>
      <c r="EV32" s="2382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2"/>
      <c r="EX32" s="2382"/>
      <c r="EY32" s="2382"/>
      <c r="EZ32" s="2382"/>
      <c r="FA32" s="2382"/>
      <c r="FB32" s="2382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2"/>
      <c r="FD32" s="2382"/>
      <c r="FE32" s="2382"/>
      <c r="FF32" s="2382"/>
      <c r="FG32" s="2382"/>
      <c r="FH32" s="2382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2"/>
      <c r="FJ32" s="2382"/>
      <c r="FK32" s="2382"/>
      <c r="FL32" s="2382"/>
      <c r="FM32" s="2382"/>
      <c r="FN32" s="2382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2"/>
      <c r="FP32" s="2382"/>
      <c r="FQ32" s="2382"/>
      <c r="FR32" s="2382"/>
      <c r="FS32" s="2382"/>
      <c r="FT32" s="2382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2"/>
      <c r="FV32" s="2382"/>
      <c r="FW32" s="2382"/>
      <c r="FX32" s="2382"/>
      <c r="FY32" s="2382"/>
      <c r="FZ32" s="2382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2"/>
      <c r="GB32" s="2382"/>
      <c r="GC32" s="2382"/>
      <c r="GD32" s="2382"/>
      <c r="GE32" s="2382"/>
      <c r="GF32" s="1160"/>
      <c r="GG32" s="1160"/>
    </row>
    <row r="33" spans="1:190" ht="44.25" customHeight="1" x14ac:dyDescent="0.35">
      <c r="A33" s="338">
        <v>7</v>
      </c>
      <c r="B33" s="2382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2"/>
      <c r="D33" s="2382"/>
      <c r="E33" s="2382"/>
      <c r="F33" s="2382"/>
      <c r="G33" s="2382"/>
      <c r="H33" s="2382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2"/>
      <c r="J33" s="2382"/>
      <c r="K33" s="2382"/>
      <c r="L33" s="2382"/>
      <c r="M33" s="2382"/>
      <c r="N33" s="2382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2"/>
      <c r="P33" s="2382"/>
      <c r="Q33" s="2382"/>
      <c r="R33" s="2382"/>
      <c r="S33" s="2382"/>
      <c r="T33" s="2382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2"/>
      <c r="V33" s="2382"/>
      <c r="W33" s="2382"/>
      <c r="X33" s="2382"/>
      <c r="Y33" s="2382"/>
      <c r="Z33" s="2382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2"/>
      <c r="AB33" s="2382"/>
      <c r="AC33" s="2382"/>
      <c r="AD33" s="2382"/>
      <c r="AE33" s="2382"/>
      <c r="AF33" s="2382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2"/>
      <c r="AH33" s="2382"/>
      <c r="AI33" s="2382"/>
      <c r="AJ33" s="2382"/>
      <c r="AK33" s="2382"/>
      <c r="AL33" s="2382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2"/>
      <c r="AN33" s="2382"/>
      <c r="AO33" s="2382"/>
      <c r="AP33" s="2382"/>
      <c r="AQ33" s="2382"/>
      <c r="AR33" s="2382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2"/>
      <c r="AT33" s="2382"/>
      <c r="AU33" s="2382"/>
      <c r="AV33" s="2382"/>
      <c r="AW33" s="2382"/>
      <c r="AX33" s="2382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2"/>
      <c r="AZ33" s="2382"/>
      <c r="BA33" s="2382"/>
      <c r="BB33" s="2382"/>
      <c r="BC33" s="2382"/>
      <c r="BD33" s="2382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2"/>
      <c r="BF33" s="2382"/>
      <c r="BG33" s="2382"/>
      <c r="BH33" s="2382"/>
      <c r="BI33" s="2382"/>
      <c r="BJ33" s="2382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2"/>
      <c r="BL33" s="2382"/>
      <c r="BM33" s="2382"/>
      <c r="BN33" s="2382"/>
      <c r="BO33" s="2382"/>
      <c r="BP33" s="2382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2"/>
      <c r="BR33" s="2382"/>
      <c r="BS33" s="2382"/>
      <c r="BT33" s="2382"/>
      <c r="BU33" s="2382"/>
      <c r="BV33" s="2382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2"/>
      <c r="BX33" s="2382"/>
      <c r="BY33" s="2382"/>
      <c r="BZ33" s="2382"/>
      <c r="CA33" s="2382"/>
      <c r="CB33" s="2382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2"/>
      <c r="CD33" s="2382"/>
      <c r="CE33" s="2382"/>
      <c r="CF33" s="2382"/>
      <c r="CG33" s="2382"/>
      <c r="CH33" s="2382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2"/>
      <c r="CJ33" s="2382"/>
      <c r="CK33" s="2382"/>
      <c r="CL33" s="2382"/>
      <c r="CM33" s="2382"/>
      <c r="CN33" s="2382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2"/>
      <c r="CP33" s="2382"/>
      <c r="CQ33" s="2382"/>
      <c r="CR33" s="2382"/>
      <c r="CS33" s="2382"/>
      <c r="CT33" s="2382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2"/>
      <c r="CV33" s="2382"/>
      <c r="CW33" s="2382"/>
      <c r="CX33" s="2382"/>
      <c r="CY33" s="2382"/>
      <c r="CZ33" s="2382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2"/>
      <c r="DB33" s="2382"/>
      <c r="DC33" s="2382"/>
      <c r="DD33" s="2382"/>
      <c r="DE33" s="2382"/>
      <c r="DF33" s="2382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2"/>
      <c r="DH33" s="2382"/>
      <c r="DI33" s="2382"/>
      <c r="DJ33" s="2382"/>
      <c r="DK33" s="2382"/>
      <c r="DL33" s="2382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2"/>
      <c r="DN33" s="2382"/>
      <c r="DO33" s="2382"/>
      <c r="DP33" s="2382"/>
      <c r="DQ33" s="2382"/>
      <c r="DR33" s="2382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2"/>
      <c r="DT33" s="2382"/>
      <c r="DU33" s="2382"/>
      <c r="DV33" s="2382"/>
      <c r="DW33" s="2382"/>
      <c r="DX33" s="2382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2"/>
      <c r="DZ33" s="2382"/>
      <c r="EA33" s="2382"/>
      <c r="EB33" s="2382"/>
      <c r="EC33" s="2382"/>
      <c r="ED33" s="2382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2"/>
      <c r="EF33" s="2382"/>
      <c r="EG33" s="2382"/>
      <c r="EH33" s="2382"/>
      <c r="EI33" s="2382"/>
      <c r="EJ33" s="2382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2"/>
      <c r="EL33" s="2382"/>
      <c r="EM33" s="2382"/>
      <c r="EN33" s="2382"/>
      <c r="EO33" s="2382"/>
      <c r="EP33" s="2382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2"/>
      <c r="ER33" s="2382"/>
      <c r="ES33" s="2382"/>
      <c r="ET33" s="2382"/>
      <c r="EU33" s="2382"/>
      <c r="EV33" s="2382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2"/>
      <c r="EX33" s="2382"/>
      <c r="EY33" s="2382"/>
      <c r="EZ33" s="2382"/>
      <c r="FA33" s="2382"/>
      <c r="FB33" s="2382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2"/>
      <c r="FD33" s="2382"/>
      <c r="FE33" s="2382"/>
      <c r="FF33" s="2382"/>
      <c r="FG33" s="2382"/>
      <c r="FH33" s="2382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2"/>
      <c r="FJ33" s="2382"/>
      <c r="FK33" s="2382"/>
      <c r="FL33" s="2382"/>
      <c r="FM33" s="2382"/>
      <c r="FN33" s="2382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2"/>
      <c r="FP33" s="2382"/>
      <c r="FQ33" s="2382"/>
      <c r="FR33" s="2382"/>
      <c r="FS33" s="2382"/>
      <c r="FT33" s="2382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2"/>
      <c r="FV33" s="2382"/>
      <c r="FW33" s="2382"/>
      <c r="FX33" s="2382"/>
      <c r="FY33" s="2382"/>
      <c r="FZ33" s="2382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2"/>
      <c r="GB33" s="2382"/>
      <c r="GC33" s="2382"/>
      <c r="GD33" s="2382"/>
      <c r="GE33" s="2382"/>
      <c r="GF33" s="1160"/>
      <c r="GG33" s="1160"/>
    </row>
    <row r="34" spans="1:190" ht="44.25" customHeight="1" x14ac:dyDescent="0.35">
      <c r="A34" s="338">
        <v>8</v>
      </c>
      <c r="B34" s="2382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2"/>
      <c r="D34" s="2382"/>
      <c r="E34" s="2382"/>
      <c r="F34" s="2382"/>
      <c r="G34" s="2382"/>
      <c r="H34" s="2382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2"/>
      <c r="J34" s="2382"/>
      <c r="K34" s="2382"/>
      <c r="L34" s="2382"/>
      <c r="M34" s="2382"/>
      <c r="N34" s="2382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2"/>
      <c r="P34" s="2382"/>
      <c r="Q34" s="2382"/>
      <c r="R34" s="2382"/>
      <c r="S34" s="2382"/>
      <c r="T34" s="2382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2"/>
      <c r="V34" s="2382"/>
      <c r="W34" s="2382"/>
      <c r="X34" s="2382"/>
      <c r="Y34" s="2382"/>
      <c r="Z34" s="2382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2"/>
      <c r="AB34" s="2382"/>
      <c r="AC34" s="2382"/>
      <c r="AD34" s="2382"/>
      <c r="AE34" s="2382"/>
      <c r="AF34" s="2382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2"/>
      <c r="AH34" s="2382"/>
      <c r="AI34" s="2382"/>
      <c r="AJ34" s="2382"/>
      <c r="AK34" s="2382"/>
      <c r="AL34" s="2382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2"/>
      <c r="AN34" s="2382"/>
      <c r="AO34" s="2382"/>
      <c r="AP34" s="2382"/>
      <c r="AQ34" s="2382"/>
      <c r="AR34" s="2382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2"/>
      <c r="AT34" s="2382"/>
      <c r="AU34" s="2382"/>
      <c r="AV34" s="2382"/>
      <c r="AW34" s="2382"/>
      <c r="AX34" s="2382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2"/>
      <c r="AZ34" s="2382"/>
      <c r="BA34" s="2382"/>
      <c r="BB34" s="2382"/>
      <c r="BC34" s="2382"/>
      <c r="BD34" s="2382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2"/>
      <c r="BF34" s="2382"/>
      <c r="BG34" s="2382"/>
      <c r="BH34" s="2382"/>
      <c r="BI34" s="2382"/>
      <c r="BJ34" s="2382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2"/>
      <c r="BL34" s="2382"/>
      <c r="BM34" s="2382"/>
      <c r="BN34" s="2382"/>
      <c r="BO34" s="2382"/>
      <c r="BP34" s="2382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2"/>
      <c r="BR34" s="2382"/>
      <c r="BS34" s="2382"/>
      <c r="BT34" s="2382"/>
      <c r="BU34" s="2382"/>
      <c r="BV34" s="2382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2"/>
      <c r="BX34" s="2382"/>
      <c r="BY34" s="2382"/>
      <c r="BZ34" s="2382"/>
      <c r="CA34" s="2382"/>
      <c r="CB34" s="2382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2"/>
      <c r="CD34" s="2382"/>
      <c r="CE34" s="2382"/>
      <c r="CF34" s="2382"/>
      <c r="CG34" s="2382"/>
      <c r="CH34" s="2382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2"/>
      <c r="CJ34" s="2382"/>
      <c r="CK34" s="2382"/>
      <c r="CL34" s="2382"/>
      <c r="CM34" s="2382"/>
      <c r="CN34" s="2382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2"/>
      <c r="CP34" s="2382"/>
      <c r="CQ34" s="2382"/>
      <c r="CR34" s="2382"/>
      <c r="CS34" s="2382"/>
      <c r="CT34" s="2382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2"/>
      <c r="CV34" s="2382"/>
      <c r="CW34" s="2382"/>
      <c r="CX34" s="2382"/>
      <c r="CY34" s="2382"/>
      <c r="CZ34" s="2382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2"/>
      <c r="DB34" s="2382"/>
      <c r="DC34" s="2382"/>
      <c r="DD34" s="2382"/>
      <c r="DE34" s="2382"/>
      <c r="DF34" s="2382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2"/>
      <c r="DH34" s="2382"/>
      <c r="DI34" s="2382"/>
      <c r="DJ34" s="2382"/>
      <c r="DK34" s="2382"/>
      <c r="DL34" s="2382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2"/>
      <c r="DN34" s="2382"/>
      <c r="DO34" s="2382"/>
      <c r="DP34" s="2382"/>
      <c r="DQ34" s="2382"/>
      <c r="DR34" s="2382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2"/>
      <c r="DT34" s="2382"/>
      <c r="DU34" s="2382"/>
      <c r="DV34" s="2382"/>
      <c r="DW34" s="2382"/>
      <c r="DX34" s="2382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2"/>
      <c r="DZ34" s="2382"/>
      <c r="EA34" s="2382"/>
      <c r="EB34" s="2382"/>
      <c r="EC34" s="2382"/>
      <c r="ED34" s="2382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2"/>
      <c r="EF34" s="2382"/>
      <c r="EG34" s="2382"/>
      <c r="EH34" s="2382"/>
      <c r="EI34" s="2382"/>
      <c r="EJ34" s="2382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2"/>
      <c r="EL34" s="2382"/>
      <c r="EM34" s="2382"/>
      <c r="EN34" s="2382"/>
      <c r="EO34" s="2382"/>
      <c r="EP34" s="2382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2"/>
      <c r="ER34" s="2382"/>
      <c r="ES34" s="2382"/>
      <c r="ET34" s="2382"/>
      <c r="EU34" s="2382"/>
      <c r="EV34" s="2382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2"/>
      <c r="EX34" s="2382"/>
      <c r="EY34" s="2382"/>
      <c r="EZ34" s="2382"/>
      <c r="FA34" s="2382"/>
      <c r="FB34" s="2382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2"/>
      <c r="FD34" s="2382"/>
      <c r="FE34" s="2382"/>
      <c r="FF34" s="2382"/>
      <c r="FG34" s="2382"/>
      <c r="FH34" s="2382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2"/>
      <c r="FJ34" s="2382"/>
      <c r="FK34" s="2382"/>
      <c r="FL34" s="2382"/>
      <c r="FM34" s="2382"/>
      <c r="FN34" s="2382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2"/>
      <c r="FP34" s="2382"/>
      <c r="FQ34" s="2382"/>
      <c r="FR34" s="2382"/>
      <c r="FS34" s="2382"/>
      <c r="FT34" s="2382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2"/>
      <c r="FV34" s="2382"/>
      <c r="FW34" s="2382"/>
      <c r="FX34" s="2382"/>
      <c r="FY34" s="2382"/>
      <c r="FZ34" s="2382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2"/>
      <c r="GB34" s="2382"/>
      <c r="GC34" s="2382"/>
      <c r="GD34" s="2382"/>
      <c r="GE34" s="2382"/>
      <c r="GF34" s="1160"/>
      <c r="GG34" s="1160"/>
    </row>
    <row r="35" spans="1:190" ht="44.25" customHeight="1" x14ac:dyDescent="0.35">
      <c r="A35" s="338">
        <v>9</v>
      </c>
      <c r="B35" s="2382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2"/>
      <c r="D35" s="2382"/>
      <c r="E35" s="2382"/>
      <c r="F35" s="2382"/>
      <c r="G35" s="2382"/>
      <c r="H35" s="2382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2"/>
      <c r="J35" s="2382"/>
      <c r="K35" s="2382"/>
      <c r="L35" s="2382"/>
      <c r="M35" s="2382"/>
      <c r="N35" s="2382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2"/>
      <c r="P35" s="2382"/>
      <c r="Q35" s="2382"/>
      <c r="R35" s="2382"/>
      <c r="S35" s="2382"/>
      <c r="T35" s="2382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2"/>
      <c r="V35" s="2382"/>
      <c r="W35" s="2382"/>
      <c r="X35" s="2382"/>
      <c r="Y35" s="2382"/>
      <c r="Z35" s="2382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2"/>
      <c r="AB35" s="2382"/>
      <c r="AC35" s="2382"/>
      <c r="AD35" s="2382"/>
      <c r="AE35" s="2382"/>
      <c r="AF35" s="2382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2"/>
      <c r="AH35" s="2382"/>
      <c r="AI35" s="2382"/>
      <c r="AJ35" s="2382"/>
      <c r="AK35" s="2382"/>
      <c r="AL35" s="2382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2"/>
      <c r="AN35" s="2382"/>
      <c r="AO35" s="2382"/>
      <c r="AP35" s="2382"/>
      <c r="AQ35" s="2382"/>
      <c r="AR35" s="2382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2"/>
      <c r="AT35" s="2382"/>
      <c r="AU35" s="2382"/>
      <c r="AV35" s="2382"/>
      <c r="AW35" s="2382"/>
      <c r="AX35" s="2382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2"/>
      <c r="AZ35" s="2382"/>
      <c r="BA35" s="2382"/>
      <c r="BB35" s="2382"/>
      <c r="BC35" s="2382"/>
      <c r="BD35" s="2382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2"/>
      <c r="BF35" s="2382"/>
      <c r="BG35" s="2382"/>
      <c r="BH35" s="2382"/>
      <c r="BI35" s="2382"/>
      <c r="BJ35" s="2382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2"/>
      <c r="BL35" s="2382"/>
      <c r="BM35" s="2382"/>
      <c r="BN35" s="2382"/>
      <c r="BO35" s="2382"/>
      <c r="BP35" s="2382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2"/>
      <c r="BR35" s="2382"/>
      <c r="BS35" s="2382"/>
      <c r="BT35" s="2382"/>
      <c r="BU35" s="2382"/>
      <c r="BV35" s="2382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2"/>
      <c r="BX35" s="2382"/>
      <c r="BY35" s="2382"/>
      <c r="BZ35" s="2382"/>
      <c r="CA35" s="2382"/>
      <c r="CB35" s="2382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2"/>
      <c r="CD35" s="2382"/>
      <c r="CE35" s="2382"/>
      <c r="CF35" s="2382"/>
      <c r="CG35" s="2382"/>
      <c r="CH35" s="2382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2"/>
      <c r="CJ35" s="2382"/>
      <c r="CK35" s="2382"/>
      <c r="CL35" s="2382"/>
      <c r="CM35" s="2382"/>
      <c r="CN35" s="2382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2"/>
      <c r="CP35" s="2382"/>
      <c r="CQ35" s="2382"/>
      <c r="CR35" s="2382"/>
      <c r="CS35" s="2382"/>
      <c r="CT35" s="2382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2"/>
      <c r="CV35" s="2382"/>
      <c r="CW35" s="2382"/>
      <c r="CX35" s="2382"/>
      <c r="CY35" s="2382"/>
      <c r="CZ35" s="2382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2"/>
      <c r="DB35" s="2382"/>
      <c r="DC35" s="2382"/>
      <c r="DD35" s="2382"/>
      <c r="DE35" s="2382"/>
      <c r="DF35" s="2382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2"/>
      <c r="DH35" s="2382"/>
      <c r="DI35" s="2382"/>
      <c r="DJ35" s="2382"/>
      <c r="DK35" s="2382"/>
      <c r="DL35" s="2382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2"/>
      <c r="DN35" s="2382"/>
      <c r="DO35" s="2382"/>
      <c r="DP35" s="2382"/>
      <c r="DQ35" s="2382"/>
      <c r="DR35" s="2382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2"/>
      <c r="DT35" s="2382"/>
      <c r="DU35" s="2382"/>
      <c r="DV35" s="2382"/>
      <c r="DW35" s="2382"/>
      <c r="DX35" s="2382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2"/>
      <c r="DZ35" s="2382"/>
      <c r="EA35" s="2382"/>
      <c r="EB35" s="2382"/>
      <c r="EC35" s="2382"/>
      <c r="ED35" s="2382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2"/>
      <c r="EF35" s="2382"/>
      <c r="EG35" s="2382"/>
      <c r="EH35" s="2382"/>
      <c r="EI35" s="2382"/>
      <c r="EJ35" s="2382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2"/>
      <c r="EL35" s="2382"/>
      <c r="EM35" s="2382"/>
      <c r="EN35" s="2382"/>
      <c r="EO35" s="2382"/>
      <c r="EP35" s="2382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2"/>
      <c r="ER35" s="2382"/>
      <c r="ES35" s="2382"/>
      <c r="ET35" s="2382"/>
      <c r="EU35" s="2382"/>
      <c r="EV35" s="2382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2"/>
      <c r="EX35" s="2382"/>
      <c r="EY35" s="2382"/>
      <c r="EZ35" s="2382"/>
      <c r="FA35" s="2382"/>
      <c r="FB35" s="2382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2"/>
      <c r="FD35" s="2382"/>
      <c r="FE35" s="2382"/>
      <c r="FF35" s="2382"/>
      <c r="FG35" s="2382"/>
      <c r="FH35" s="2382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2"/>
      <c r="FJ35" s="2382"/>
      <c r="FK35" s="2382"/>
      <c r="FL35" s="2382"/>
      <c r="FM35" s="2382"/>
      <c r="FN35" s="2382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2"/>
      <c r="FP35" s="2382"/>
      <c r="FQ35" s="2382"/>
      <c r="FR35" s="2382"/>
      <c r="FS35" s="2382"/>
      <c r="FT35" s="2382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2"/>
      <c r="FV35" s="2382"/>
      <c r="FW35" s="2382"/>
      <c r="FX35" s="2382"/>
      <c r="FY35" s="2382"/>
      <c r="FZ35" s="2382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2"/>
      <c r="GB35" s="2382"/>
      <c r="GC35" s="2382"/>
      <c r="GD35" s="2382"/>
      <c r="GE35" s="2382"/>
      <c r="GF35" s="1160"/>
      <c r="GG35" s="1160"/>
    </row>
    <row r="36" spans="1:190" ht="44.25" customHeight="1" x14ac:dyDescent="0.25">
      <c r="A36" s="339"/>
      <c r="B36" s="2380" t="str">
        <f>IF(Data!$GI$2&lt;&gt;"","X1: "&amp; Data!$GI$2, " ")</f>
        <v>X1: 1313 CT427 0.010</v>
      </c>
      <c r="C36" s="2380"/>
      <c r="D36" s="2380"/>
      <c r="E36" s="2380"/>
      <c r="F36" s="2380"/>
      <c r="G36" s="2380"/>
      <c r="H36" s="2380"/>
      <c r="I36" s="2380"/>
      <c r="J36" s="2380"/>
      <c r="K36" s="2380"/>
      <c r="L36" s="2380"/>
      <c r="M36" s="2380"/>
      <c r="N36" s="2380"/>
      <c r="O36" s="2380"/>
      <c r="P36" s="2380"/>
      <c r="Q36" s="2380"/>
      <c r="R36" s="2380"/>
      <c r="S36" s="2380"/>
      <c r="T36" s="2380"/>
      <c r="U36" s="2380"/>
      <c r="V36" s="2380"/>
      <c r="W36" s="2380"/>
      <c r="X36" s="2380"/>
      <c r="Y36" s="2380"/>
      <c r="Z36" s="2380"/>
      <c r="AA36" s="2380"/>
      <c r="AB36" s="2380"/>
      <c r="AC36" s="2380" t="str">
        <f>IF(Data!$GI$3&lt;&gt;"","X2: "&amp; Data!$GI$3, " ")</f>
        <v xml:space="preserve">X2: 1308 CT31 Drop in </v>
      </c>
      <c r="AD36" s="2380"/>
      <c r="AE36" s="2380"/>
      <c r="AF36" s="2380"/>
      <c r="AG36" s="2380"/>
      <c r="AH36" s="2380"/>
      <c r="AI36" s="2380"/>
      <c r="AJ36" s="2380"/>
      <c r="AK36" s="2380"/>
      <c r="AL36" s="2380"/>
      <c r="AM36" s="2380"/>
      <c r="AN36" s="2380"/>
      <c r="AO36" s="2380"/>
      <c r="AP36" s="2380"/>
      <c r="AQ36" s="2380"/>
      <c r="AR36" s="2380"/>
      <c r="AS36" s="2380"/>
      <c r="AT36" s="2380"/>
      <c r="AU36" s="2380"/>
      <c r="AV36" s="2380"/>
      <c r="AW36" s="2380"/>
      <c r="AX36" s="2380"/>
      <c r="AY36" s="2380"/>
      <c r="AZ36" s="2380"/>
      <c r="BA36" s="2380"/>
      <c r="BB36" s="2380"/>
      <c r="BC36" s="2380"/>
      <c r="BD36" s="2380" t="str">
        <f>IF(Data!$GI$4&lt;&gt;"","X3: "&amp; Data!$GI$4, " ")</f>
        <v>X3: 1313 CT147G U</v>
      </c>
      <c r="BE36" s="2380"/>
      <c r="BF36" s="2380"/>
      <c r="BG36" s="2380"/>
      <c r="BH36" s="2380"/>
      <c r="BI36" s="2380"/>
      <c r="BJ36" s="2380"/>
      <c r="BK36" s="2380"/>
      <c r="BL36" s="2380"/>
      <c r="BM36" s="2380"/>
      <c r="BN36" s="2380"/>
      <c r="BO36" s="2380"/>
      <c r="BP36" s="2380"/>
      <c r="BQ36" s="2380"/>
      <c r="BR36" s="2380"/>
      <c r="BS36" s="2380"/>
      <c r="BT36" s="2380"/>
      <c r="BU36" s="2380"/>
      <c r="BV36" s="2380"/>
      <c r="BW36" s="2380"/>
      <c r="BX36" s="2380"/>
      <c r="BY36" s="2380"/>
      <c r="BZ36" s="2380"/>
      <c r="CA36" s="2380"/>
      <c r="CB36" s="2380"/>
      <c r="CC36" s="2380"/>
      <c r="CD36" s="2380"/>
      <c r="CE36" s="2380" t="str">
        <f>IF(Data!$GI$5&lt;&gt;"","X4: "&amp; Data!$GI$5, " ")</f>
        <v>X4: 1313 CT418 18C-60</v>
      </c>
      <c r="CF36" s="2380"/>
      <c r="CG36" s="2380"/>
      <c r="CH36" s="2380"/>
      <c r="CI36" s="2380"/>
      <c r="CJ36" s="2380"/>
      <c r="CK36" s="2380"/>
      <c r="CL36" s="2380"/>
      <c r="CM36" s="2380"/>
      <c r="CN36" s="2380"/>
      <c r="CO36" s="2380"/>
      <c r="CP36" s="2380"/>
      <c r="CQ36" s="2380"/>
      <c r="CR36" s="2380"/>
      <c r="CS36" s="2380"/>
      <c r="CT36" s="2380"/>
      <c r="CU36" s="2380"/>
      <c r="CV36" s="2380"/>
      <c r="CW36" s="2380"/>
      <c r="CX36" s="2380"/>
      <c r="CY36" s="2380"/>
      <c r="CZ36" s="2380"/>
      <c r="DA36" s="2380"/>
      <c r="DB36" s="2380"/>
      <c r="DC36" s="2380"/>
      <c r="DD36" s="2380"/>
      <c r="DE36" s="2380"/>
      <c r="DF36" s="2380" t="str">
        <f>IF(Data!$GI$6&lt;&gt;"","X5: "&amp; Data!$GI$6, " ")</f>
        <v>X5: 1313 CT179T U-60</v>
      </c>
      <c r="DG36" s="2380"/>
      <c r="DH36" s="2380"/>
      <c r="DI36" s="2380"/>
      <c r="DJ36" s="2380"/>
      <c r="DK36" s="2380"/>
      <c r="DL36" s="2380"/>
      <c r="DM36" s="2380"/>
      <c r="DN36" s="2380"/>
      <c r="DO36" s="2380"/>
      <c r="DP36" s="2380"/>
      <c r="DQ36" s="2380"/>
      <c r="DR36" s="2380"/>
      <c r="DS36" s="2380"/>
      <c r="DT36" s="2380"/>
      <c r="DU36" s="2380"/>
      <c r="DV36" s="2380"/>
      <c r="DW36" s="2380"/>
      <c r="DX36" s="2380"/>
      <c r="DY36" s="2380"/>
      <c r="DZ36" s="2380"/>
      <c r="EA36" s="2380"/>
      <c r="EB36" s="2380"/>
      <c r="EC36" s="2380"/>
      <c r="ED36" s="2380"/>
      <c r="EE36" s="2380"/>
      <c r="EF36" s="2380"/>
      <c r="EG36" s="2380" t="str">
        <f>IF(Data!$GI$7&lt;&gt;"","X6: "&amp; Data!$GI$7, " ")</f>
        <v xml:space="preserve"> </v>
      </c>
      <c r="EH36" s="2380"/>
      <c r="EI36" s="2380"/>
      <c r="EJ36" s="2380"/>
      <c r="EK36" s="2380"/>
      <c r="EL36" s="2380"/>
      <c r="EM36" s="2380"/>
      <c r="EN36" s="2380"/>
      <c r="EO36" s="2380"/>
      <c r="EP36" s="2380"/>
      <c r="EQ36" s="2380"/>
      <c r="ER36" s="2380"/>
      <c r="ES36" s="2380"/>
      <c r="ET36" s="2380"/>
      <c r="EU36" s="2380"/>
      <c r="EV36" s="2380"/>
      <c r="EW36" s="2380"/>
      <c r="EX36" s="2380"/>
      <c r="EY36" s="2380"/>
      <c r="EZ36" s="2380"/>
      <c r="FA36" s="2380"/>
      <c r="FB36" s="2380"/>
      <c r="FC36" s="2380"/>
      <c r="FD36" s="2380"/>
      <c r="FE36" s="2380"/>
      <c r="FF36" s="2380"/>
      <c r="FG36" s="2380"/>
      <c r="FH36" s="2380" t="str">
        <f>IF(Data!$GI$8&lt;&gt;"","X7: "&amp; Data!$GI$8, " ")</f>
        <v xml:space="preserve"> </v>
      </c>
      <c r="FI36" s="2380"/>
      <c r="FJ36" s="2380"/>
      <c r="FK36" s="2380"/>
      <c r="FL36" s="2380"/>
      <c r="FM36" s="2380"/>
      <c r="FN36" s="2380"/>
      <c r="FO36" s="2380"/>
      <c r="FP36" s="2380"/>
      <c r="FQ36" s="2380"/>
      <c r="FR36" s="2380"/>
      <c r="FS36" s="2380"/>
      <c r="FT36" s="2380"/>
      <c r="FU36" s="2380"/>
      <c r="FV36" s="2380"/>
      <c r="FW36" s="2380"/>
      <c r="FX36" s="2380"/>
      <c r="FY36" s="2380"/>
      <c r="FZ36" s="2380"/>
      <c r="GA36" s="2380"/>
      <c r="GB36" s="2380"/>
      <c r="GC36" s="2380"/>
      <c r="GD36" s="2380"/>
      <c r="GE36" s="2380"/>
      <c r="GF36" s="2380"/>
      <c r="GG36" s="2380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40625" defaultRowHeight="18.75" x14ac:dyDescent="0.3"/>
  <cols>
    <col min="1" max="1" width="15.7109375" style="442" customWidth="1"/>
    <col min="2" max="2" width="16.7109375" style="442" customWidth="1"/>
    <col min="3" max="3" width="10.7109375" style="442" customWidth="1"/>
    <col min="4" max="4" width="14.7109375" style="442" customWidth="1"/>
    <col min="5" max="5" width="10.7109375" style="442" customWidth="1"/>
    <col min="6" max="6" width="14.7109375" style="442" customWidth="1"/>
    <col min="7" max="7" width="8.7109375" style="442" customWidth="1"/>
    <col min="8" max="8" width="16.7109375" style="442" customWidth="1"/>
    <col min="9" max="9" width="11.42578125" style="442" customWidth="1"/>
    <col min="10" max="16384" width="9.140625" style="442"/>
  </cols>
  <sheetData>
    <row r="1" spans="1:9" s="440" customFormat="1" ht="24.95" customHeight="1" x14ac:dyDescent="0.25">
      <c r="A1" s="443"/>
      <c r="B1" s="1597" t="s">
        <v>50</v>
      </c>
      <c r="C1" s="1597"/>
      <c r="D1" s="1597"/>
      <c r="E1" s="1598"/>
      <c r="F1" s="1544" t="s">
        <v>1471</v>
      </c>
      <c r="G1" s="1545"/>
      <c r="H1" s="1546"/>
    </row>
    <row r="2" spans="1:9" s="440" customFormat="1" ht="24.95" customHeight="1" x14ac:dyDescent="0.25">
      <c r="A2" s="444"/>
      <c r="B2" s="1599"/>
      <c r="C2" s="1599"/>
      <c r="D2" s="1599"/>
      <c r="E2" s="1600"/>
      <c r="F2" s="1547" t="s">
        <v>1472</v>
      </c>
      <c r="G2" s="1530"/>
      <c r="H2" s="1531"/>
    </row>
    <row r="3" spans="1:9" s="440" customFormat="1" ht="24.95" customHeight="1" x14ac:dyDescent="0.25">
      <c r="A3" s="1548" t="s">
        <v>1473</v>
      </c>
      <c r="B3" s="1549"/>
      <c r="C3" s="1549"/>
      <c r="D3" s="1549"/>
      <c r="E3" s="1549"/>
      <c r="F3" s="1530" t="s">
        <v>975</v>
      </c>
      <c r="G3" s="1530"/>
      <c r="H3" s="1531"/>
    </row>
    <row r="4" spans="1:9" s="440" customFormat="1" ht="24.95" customHeight="1" thickBot="1" x14ac:dyDescent="0.3">
      <c r="A4" s="1550"/>
      <c r="B4" s="1551"/>
      <c r="C4" s="1551"/>
      <c r="D4" s="1551"/>
      <c r="E4" s="1551"/>
      <c r="F4" s="1532" t="s">
        <v>1028</v>
      </c>
      <c r="G4" s="1532"/>
      <c r="H4" s="1533"/>
    </row>
    <row r="5" spans="1:9" s="440" customFormat="1" ht="24.95" customHeight="1" x14ac:dyDescent="0.2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4.95" customHeight="1" x14ac:dyDescent="0.25">
      <c r="A6" s="2390" t="s">
        <v>1474</v>
      </c>
      <c r="B6" s="2390"/>
      <c r="C6" s="2390"/>
      <c r="D6" s="2390"/>
      <c r="E6" s="2390"/>
      <c r="F6" s="2390"/>
      <c r="G6" s="2390"/>
      <c r="H6" s="2390"/>
    </row>
    <row r="7" spans="1:9" s="440" customFormat="1" ht="24.95" customHeight="1" thickBot="1" x14ac:dyDescent="0.3">
      <c r="A7" s="2391" t="s">
        <v>1475</v>
      </c>
      <c r="B7" s="2392"/>
      <c r="C7" s="2392"/>
      <c r="D7" s="2392"/>
      <c r="E7" s="2392"/>
      <c r="F7" s="2392"/>
      <c r="G7" s="2392"/>
      <c r="H7" s="2393"/>
      <c r="I7" s="440" t="s">
        <v>304</v>
      </c>
    </row>
    <row r="8" spans="1:9" s="440" customFormat="1" ht="20.100000000000001" customHeight="1" thickBot="1" x14ac:dyDescent="0.3">
      <c r="A8" s="1601"/>
      <c r="B8" s="1601"/>
      <c r="C8" s="1601"/>
      <c r="D8" s="1601"/>
      <c r="E8" s="1601"/>
      <c r="F8" s="1601"/>
      <c r="G8" s="1601"/>
      <c r="H8" s="1601"/>
    </row>
    <row r="9" spans="1:9" s="441" customFormat="1" ht="24.95" customHeight="1" thickBot="1" x14ac:dyDescent="0.3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20261004 </v>
      </c>
      <c r="C9" s="629" t="s">
        <v>1032</v>
      </c>
      <c r="D9" s="636" t="str">
        <f>IF(Data!B2&lt;&gt;"",Data!B2," ")</f>
        <v>14304769R1</v>
      </c>
      <c r="E9" s="629" t="s">
        <v>29</v>
      </c>
      <c r="F9" s="636" t="str">
        <f>IF(LEN(Data!B3)&gt;3,IF(AND(Data!B43&lt;&gt;"",Data!B43&lt;&gt;"0 0/1"""),Data!B43,""),IF(Data!B3&lt;&gt;"",Data!B3&amp;"""",""))</f>
        <v>6 1/8"</v>
      </c>
      <c r="G9" s="629" t="s">
        <v>31</v>
      </c>
      <c r="H9" s="636" t="str">
        <f>IF(Data!B4&lt;&gt;"",Data!B4," ")</f>
        <v>HD54</v>
      </c>
    </row>
    <row r="10" spans="1:9" s="441" customFormat="1" ht="24.95" customHeight="1" x14ac:dyDescent="0.2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2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4.95" customHeight="1" x14ac:dyDescent="0.25">
      <c r="B12" s="634"/>
      <c r="C12" s="629"/>
      <c r="D12" s="411"/>
      <c r="E12" s="629"/>
      <c r="F12" s="411"/>
      <c r="G12" s="629"/>
      <c r="H12" s="647"/>
    </row>
    <row r="13" spans="1:9" s="441" customFormat="1" ht="24.95" customHeight="1" x14ac:dyDescent="0.25">
      <c r="B13" s="634"/>
      <c r="C13" s="629"/>
      <c r="D13" s="411"/>
      <c r="E13" s="629"/>
      <c r="F13" s="411"/>
      <c r="G13" s="629"/>
      <c r="H13" s="647"/>
    </row>
    <row r="14" spans="1:9" s="441" customFormat="1" ht="24.95" customHeight="1" x14ac:dyDescent="0.2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4.95" customHeight="1" x14ac:dyDescent="0.2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4.95" customHeight="1" x14ac:dyDescent="0.2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4.95" customHeight="1" thickBot="1" x14ac:dyDescent="0.3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4.95" customHeight="1" x14ac:dyDescent="0.25">
      <c r="A18" s="646" t="s">
        <v>1476</v>
      </c>
      <c r="B18" s="2399"/>
      <c r="C18" s="2399"/>
      <c r="D18" s="2399"/>
      <c r="E18" s="2399"/>
      <c r="F18" s="2399"/>
      <c r="G18" s="2399"/>
      <c r="H18" s="2400"/>
    </row>
    <row r="19" spans="1:8" s="441" customFormat="1" ht="35.25" customHeight="1" thickBot="1" x14ac:dyDescent="0.3">
      <c r="A19" s="2396"/>
      <c r="B19" s="2397"/>
      <c r="C19" s="2397"/>
      <c r="D19" s="2397"/>
      <c r="E19" s="2397"/>
      <c r="F19" s="2397"/>
      <c r="G19" s="2397"/>
      <c r="H19" s="2398"/>
    </row>
    <row r="20" spans="1:8" s="441" customFormat="1" ht="20.100000000000001" customHeight="1" thickBot="1" x14ac:dyDescent="0.3">
      <c r="A20" s="1602"/>
      <c r="B20" s="1602"/>
      <c r="C20" s="1602"/>
      <c r="D20" s="1602"/>
      <c r="E20" s="1602"/>
      <c r="F20" s="1602"/>
      <c r="G20" s="1602"/>
      <c r="H20" s="1602"/>
    </row>
    <row r="21" spans="1:8" s="440" customFormat="1" ht="27" customHeight="1" x14ac:dyDescent="0.25">
      <c r="A21" s="2394" t="s">
        <v>59</v>
      </c>
      <c r="B21" s="2395"/>
      <c r="C21" s="1545"/>
      <c r="D21" s="1545"/>
      <c r="E21" s="2395" t="s">
        <v>61</v>
      </c>
      <c r="F21" s="2395"/>
      <c r="G21" s="1545"/>
      <c r="H21" s="1546"/>
    </row>
    <row r="22" spans="1:8" s="440" customFormat="1" ht="27" customHeight="1" thickBot="1" x14ac:dyDescent="0.3">
      <c r="A22" s="2410" t="s">
        <v>60</v>
      </c>
      <c r="B22" s="1620"/>
      <c r="C22" s="1532"/>
      <c r="D22" s="1532"/>
      <c r="E22" s="1620" t="s">
        <v>62</v>
      </c>
      <c r="F22" s="1620"/>
      <c r="G22" s="1532"/>
      <c r="H22" s="1533"/>
    </row>
    <row r="23" spans="1:8" s="440" customFormat="1" ht="20.100000000000001" customHeight="1" thickBot="1" x14ac:dyDescent="0.3">
      <c r="A23" s="1603"/>
      <c r="B23" s="1603"/>
      <c r="C23" s="1603"/>
      <c r="D23" s="1603"/>
      <c r="E23" s="1603"/>
      <c r="F23" s="1603"/>
      <c r="G23" s="1603"/>
      <c r="H23" s="1603"/>
    </row>
    <row r="24" spans="1:8" s="440" customFormat="1" ht="27" customHeight="1" thickBot="1" x14ac:dyDescent="0.3">
      <c r="A24" s="2401" t="s">
        <v>1036</v>
      </c>
      <c r="B24" s="2402"/>
      <c r="C24" s="1569" t="s">
        <v>54</v>
      </c>
      <c r="D24" s="1537"/>
      <c r="E24" s="1569" t="s">
        <v>55</v>
      </c>
      <c r="F24" s="1537"/>
      <c r="G24" s="1569" t="s">
        <v>56</v>
      </c>
      <c r="H24" s="1537"/>
    </row>
    <row r="25" spans="1:8" s="440" customFormat="1" ht="27" customHeight="1" thickBot="1" x14ac:dyDescent="0.3">
      <c r="A25" s="2401" t="s">
        <v>1037</v>
      </c>
      <c r="B25" s="2402"/>
      <c r="C25" s="2407" t="s">
        <v>57</v>
      </c>
      <c r="D25" s="1572"/>
      <c r="E25" s="2408" t="s">
        <v>58</v>
      </c>
      <c r="F25" s="2408"/>
      <c r="G25" s="2408" t="s">
        <v>58</v>
      </c>
      <c r="H25" s="2409"/>
    </row>
    <row r="26" spans="1:8" s="440" customFormat="1" ht="27" customHeight="1" thickBot="1" x14ac:dyDescent="0.3">
      <c r="A26" s="2401" t="s">
        <v>1038</v>
      </c>
      <c r="B26" s="2402"/>
      <c r="C26" s="2403"/>
      <c r="D26" s="1565"/>
      <c r="E26" s="1565"/>
      <c r="F26" s="1565"/>
      <c r="G26" s="1565"/>
      <c r="H26" s="1591"/>
    </row>
    <row r="27" spans="1:8" s="440" customFormat="1" ht="27" customHeight="1" thickBot="1" x14ac:dyDescent="0.3">
      <c r="A27" s="2401" t="s">
        <v>1039</v>
      </c>
      <c r="B27" s="2402"/>
      <c r="C27" s="2404"/>
      <c r="D27" s="1579"/>
      <c r="E27" s="1579"/>
      <c r="F27" s="1579"/>
      <c r="G27" s="1579"/>
      <c r="H27" s="1593"/>
    </row>
    <row r="28" spans="1:8" s="440" customFormat="1" ht="16.5" customHeight="1" thickBot="1" x14ac:dyDescent="0.3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25">
      <c r="A29" s="632" t="s">
        <v>63</v>
      </c>
      <c r="B29" s="633" t="s">
        <v>64</v>
      </c>
      <c r="C29" s="1588"/>
      <c r="D29" s="1588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25">
      <c r="A30" s="1612" t="s">
        <v>952</v>
      </c>
      <c r="B30" s="445" t="s">
        <v>66</v>
      </c>
      <c r="C30" s="2405" t="s">
        <v>67</v>
      </c>
      <c r="D30" s="2405"/>
      <c r="E30" s="2405"/>
      <c r="F30" s="2405"/>
      <c r="G30" s="2405"/>
      <c r="H30" s="2406"/>
    </row>
    <row r="31" spans="1:8" s="440" customFormat="1" ht="27" customHeight="1" x14ac:dyDescent="0.25">
      <c r="A31" s="1612"/>
      <c r="B31" s="445" t="s">
        <v>68</v>
      </c>
      <c r="C31" s="2405"/>
      <c r="D31" s="2405"/>
      <c r="E31" s="2405"/>
      <c r="F31" s="2405"/>
      <c r="G31" s="2405"/>
      <c r="H31" s="2406"/>
    </row>
    <row r="32" spans="1:8" s="440" customFormat="1" ht="27" customHeight="1" thickBot="1" x14ac:dyDescent="0.3">
      <c r="A32" s="1613"/>
      <c r="B32" s="1620" t="s">
        <v>69</v>
      </c>
      <c r="C32" s="1620"/>
      <c r="D32" s="1579"/>
      <c r="E32" s="1579"/>
      <c r="F32" s="1579"/>
      <c r="G32" s="1579"/>
      <c r="H32" s="1593"/>
    </row>
    <row r="33" spans="1:8" s="440" customFormat="1" ht="20.100000000000001" customHeight="1" x14ac:dyDescent="0.25">
      <c r="A33" s="1603"/>
      <c r="B33" s="1603"/>
      <c r="C33" s="1603"/>
      <c r="D33" s="1603"/>
      <c r="E33" s="1603"/>
      <c r="F33" s="1603"/>
      <c r="G33" s="1603"/>
      <c r="H33" s="1603"/>
    </row>
    <row r="34" spans="1:8" s="440" customFormat="1" ht="18" customHeight="1" x14ac:dyDescent="0.25"/>
    <row r="35" spans="1:8" s="440" customFormat="1" ht="18" customHeight="1" x14ac:dyDescent="0.25"/>
    <row r="36" spans="1:8" s="440" customFormat="1" ht="18" customHeight="1" x14ac:dyDescent="0.25"/>
    <row r="37" spans="1:8" s="440" customFormat="1" ht="18" customHeight="1" x14ac:dyDescent="0.25"/>
    <row r="38" spans="1:8" s="440" customFormat="1" ht="18" customHeight="1" x14ac:dyDescent="0.25"/>
    <row r="39" spans="1:8" s="440" customFormat="1" ht="18" customHeight="1" x14ac:dyDescent="0.25"/>
    <row r="40" spans="1:8" s="440" customFormat="1" ht="18" customHeight="1" x14ac:dyDescent="0.25"/>
    <row r="41" spans="1:8" s="440" customFormat="1" ht="18" customHeight="1" x14ac:dyDescent="0.25"/>
  </sheetData>
  <sheetProtection formatCells="0" formatColumns="0" formatRows="0" insertColumns="0" insertRows="0" insertHyperlinks="0" deleteColumns="0" deleteRows="0" sort="0" autoFilter="0" pivotTables="0"/>
  <mergeCells count="43">
    <mergeCell ref="B1:E2"/>
    <mergeCell ref="F1:H1"/>
    <mergeCell ref="F2:H2"/>
    <mergeCell ref="A3:E4"/>
    <mergeCell ref="F3:H3"/>
    <mergeCell ref="F4:H4"/>
    <mergeCell ref="A23:H23"/>
    <mergeCell ref="A22:B22"/>
    <mergeCell ref="C22:D22"/>
    <mergeCell ref="E22:F22"/>
    <mergeCell ref="G22:H22"/>
    <mergeCell ref="A24:B24"/>
    <mergeCell ref="C24:D24"/>
    <mergeCell ref="E24:F24"/>
    <mergeCell ref="G24:H24"/>
    <mergeCell ref="A25:B25"/>
    <mergeCell ref="C25:D25"/>
    <mergeCell ref="E25:F25"/>
    <mergeCell ref="G25:H25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5" x14ac:dyDescent="0.25"/>
  <cols>
    <col min="1" max="1" width="28.42578125" bestFit="1" customWidth="1"/>
    <col min="2" max="2" width="11" customWidth="1"/>
    <col min="3" max="3" width="17.140625" customWidth="1"/>
    <col min="4" max="4" width="27.28515625" customWidth="1"/>
  </cols>
  <sheetData>
    <row r="1" spans="1:4" ht="18" customHeight="1" thickBot="1" x14ac:dyDescent="0.3">
      <c r="A1" s="2411" t="s">
        <v>1326</v>
      </c>
      <c r="B1" s="2412"/>
      <c r="C1" s="2412"/>
      <c r="D1" s="2413"/>
    </row>
    <row r="2" spans="1:4" ht="15" customHeight="1" x14ac:dyDescent="0.25">
      <c r="A2" s="586" t="s">
        <v>0</v>
      </c>
      <c r="B2" s="2414" t="s">
        <v>1</v>
      </c>
      <c r="C2" s="2415"/>
      <c r="D2" s="586" t="s">
        <v>8</v>
      </c>
    </row>
    <row r="3" spans="1:4" ht="20.25" customHeight="1" thickBot="1" x14ac:dyDescent="0.3">
      <c r="A3" s="602">
        <f>IF(Data!B1&lt;&gt;"", Data!B1, " ")</f>
        <v>20261004</v>
      </c>
      <c r="B3" s="2416" t="str">
        <f>IF(Data!B2&lt;&gt;"", Data!B2, " ")</f>
        <v>14304769R1</v>
      </c>
      <c r="C3" s="2417"/>
      <c r="D3" s="602" t="str">
        <f>IF(Data!B5&lt;&gt;"",Data!B5," ")</f>
        <v>1251085M</v>
      </c>
    </row>
    <row r="4" spans="1:4" ht="15" customHeight="1" x14ac:dyDescent="0.25">
      <c r="A4" s="586" t="s">
        <v>7</v>
      </c>
      <c r="B4" s="2418" t="s">
        <v>6</v>
      </c>
      <c r="C4" s="2419"/>
      <c r="D4" s="2420"/>
    </row>
    <row r="5" spans="1:4" ht="20.25" customHeight="1" thickBot="1" x14ac:dyDescent="0.3">
      <c r="A5" s="602" t="str">
        <f>IF(Data!B4&lt;&gt;"",Data!B4," ")</f>
        <v>HD54</v>
      </c>
      <c r="B5" s="2422" t="str">
        <f>IF(LEN(Data!B3)&gt;3,IF(AND(Data!B43&lt;&gt;"",Data!B43&lt;&gt;"0 0/1"""),Data!B43,""),IF(Data!B3&lt;&gt;"",Data!B3&amp;"""",""))</f>
        <v>6 1/8"</v>
      </c>
      <c r="C5" s="2423"/>
      <c r="D5" s="2421"/>
    </row>
    <row r="6" spans="1:4" ht="26.25" customHeight="1" thickBot="1" x14ac:dyDescent="0.3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25">
      <c r="A7" s="590" t="s">
        <v>1327</v>
      </c>
      <c r="B7" s="299" t="s">
        <v>1328</v>
      </c>
      <c r="C7" s="591"/>
      <c r="D7" s="592"/>
    </row>
    <row r="8" spans="1:4" ht="27" customHeight="1" x14ac:dyDescent="0.25">
      <c r="A8" s="593" t="s">
        <v>1329</v>
      </c>
      <c r="B8" s="37" t="s">
        <v>1330</v>
      </c>
      <c r="C8" s="594"/>
      <c r="D8" s="595"/>
    </row>
    <row r="9" spans="1:4" ht="27" customHeight="1" x14ac:dyDescent="0.25">
      <c r="A9" s="593" t="s">
        <v>1331</v>
      </c>
      <c r="B9" s="37"/>
      <c r="C9" s="594"/>
      <c r="D9" s="595"/>
    </row>
    <row r="10" spans="1:4" ht="27" customHeight="1" x14ac:dyDescent="0.25">
      <c r="A10" s="593" t="s">
        <v>1332</v>
      </c>
      <c r="B10" s="37" t="s">
        <v>1333</v>
      </c>
      <c r="C10" s="594"/>
      <c r="D10" s="595"/>
    </row>
    <row r="11" spans="1:4" ht="27" customHeight="1" x14ac:dyDescent="0.25">
      <c r="A11" s="593" t="s">
        <v>1334</v>
      </c>
      <c r="B11" s="37"/>
      <c r="C11" s="37"/>
      <c r="D11" s="596"/>
    </row>
    <row r="12" spans="1:4" ht="27" customHeight="1" x14ac:dyDescent="0.25">
      <c r="A12" s="593" t="s">
        <v>1335</v>
      </c>
      <c r="B12" s="37" t="s">
        <v>1336</v>
      </c>
      <c r="C12" s="594"/>
      <c r="D12" s="595"/>
    </row>
    <row r="13" spans="1:4" ht="27" customHeight="1" x14ac:dyDescent="0.25">
      <c r="A13" s="593" t="s">
        <v>1337</v>
      </c>
      <c r="B13" s="37" t="s">
        <v>1338</v>
      </c>
      <c r="C13" s="594"/>
      <c r="D13" s="595"/>
    </row>
    <row r="14" spans="1:4" ht="27" customHeight="1" x14ac:dyDescent="0.25">
      <c r="A14" s="593" t="s">
        <v>1339</v>
      </c>
      <c r="B14" s="37" t="s">
        <v>1338</v>
      </c>
      <c r="C14" s="594"/>
      <c r="D14" s="595"/>
    </row>
    <row r="15" spans="1:4" ht="27" customHeight="1" x14ac:dyDescent="0.25">
      <c r="A15" s="593" t="s">
        <v>1340</v>
      </c>
      <c r="B15" s="37" t="s">
        <v>1341</v>
      </c>
      <c r="C15" s="594"/>
      <c r="D15" s="595"/>
    </row>
    <row r="16" spans="1:4" ht="27" customHeight="1" x14ac:dyDescent="0.25">
      <c r="A16" s="593" t="s">
        <v>1342</v>
      </c>
      <c r="B16" s="37" t="s">
        <v>1343</v>
      </c>
      <c r="C16" s="594"/>
      <c r="D16" s="595"/>
    </row>
    <row r="17" spans="1:4" ht="27" customHeight="1" x14ac:dyDescent="0.25">
      <c r="A17" s="593" t="s">
        <v>1344</v>
      </c>
      <c r="B17" s="37" t="s">
        <v>1345</v>
      </c>
      <c r="C17" s="594"/>
      <c r="D17" s="595"/>
    </row>
    <row r="18" spans="1:4" ht="27" customHeight="1" x14ac:dyDescent="0.25">
      <c r="A18" s="593" t="s">
        <v>1346</v>
      </c>
      <c r="B18" s="37" t="s">
        <v>1328</v>
      </c>
      <c r="C18" s="594"/>
      <c r="D18" s="595"/>
    </row>
    <row r="19" spans="1:4" ht="27" customHeight="1" x14ac:dyDescent="0.25">
      <c r="A19" s="593" t="s">
        <v>1347</v>
      </c>
      <c r="B19" s="37" t="s">
        <v>1348</v>
      </c>
      <c r="C19" s="597"/>
      <c r="D19" s="598"/>
    </row>
    <row r="20" spans="1:4" ht="27" customHeight="1" x14ac:dyDescent="0.25">
      <c r="A20" s="593" t="s">
        <v>1329</v>
      </c>
      <c r="B20" s="37" t="s">
        <v>1330</v>
      </c>
      <c r="C20" s="594"/>
      <c r="D20" s="595"/>
    </row>
    <row r="21" spans="1:4" ht="27" customHeight="1" x14ac:dyDescent="0.25">
      <c r="A21" s="593" t="s">
        <v>1349</v>
      </c>
      <c r="B21" s="37" t="s">
        <v>1350</v>
      </c>
      <c r="C21" s="594"/>
      <c r="D21" s="595"/>
    </row>
    <row r="22" spans="1:4" ht="27" customHeight="1" x14ac:dyDescent="0.25">
      <c r="A22" s="593" t="s">
        <v>1351</v>
      </c>
      <c r="B22" s="37" t="s">
        <v>1352</v>
      </c>
      <c r="C22" s="594"/>
      <c r="D22" s="595"/>
    </row>
    <row r="23" spans="1:4" ht="27" customHeight="1" x14ac:dyDescent="0.25">
      <c r="A23" s="593" t="s">
        <v>1329</v>
      </c>
      <c r="B23" s="37" t="s">
        <v>1330</v>
      </c>
      <c r="C23" s="594"/>
      <c r="D23" s="595"/>
    </row>
    <row r="24" spans="1:4" ht="27" customHeight="1" x14ac:dyDescent="0.25">
      <c r="A24" s="593" t="s">
        <v>1353</v>
      </c>
      <c r="B24" s="37"/>
      <c r="C24" s="37"/>
      <c r="D24" s="596"/>
    </row>
    <row r="25" spans="1:4" ht="27" customHeight="1" x14ac:dyDescent="0.25">
      <c r="A25" s="593" t="s">
        <v>1354</v>
      </c>
      <c r="B25" s="37"/>
      <c r="C25" s="37"/>
      <c r="D25" s="596"/>
    </row>
    <row r="26" spans="1:4" ht="27" customHeight="1" x14ac:dyDescent="0.25">
      <c r="A26" s="593" t="s">
        <v>1355</v>
      </c>
      <c r="B26" s="37" t="s">
        <v>1356</v>
      </c>
      <c r="C26" s="594"/>
      <c r="D26" s="595"/>
    </row>
    <row r="27" spans="1:4" ht="27" customHeight="1" x14ac:dyDescent="0.25">
      <c r="A27" s="593" t="s">
        <v>1357</v>
      </c>
      <c r="B27" s="37" t="s">
        <v>1358</v>
      </c>
      <c r="C27" s="594"/>
      <c r="D27" s="595"/>
    </row>
    <row r="28" spans="1:4" ht="27" customHeight="1" thickBot="1" x14ac:dyDescent="0.3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5" x14ac:dyDescent="0.25"/>
  <sheetData>
    <row r="4" spans="3:19" x14ac:dyDescent="0.25">
      <c r="C4">
        <v>1</v>
      </c>
      <c r="D4">
        <v>1313</v>
      </c>
      <c r="E4" t="s">
        <v>2067</v>
      </c>
      <c r="F4" t="s">
        <v>2068</v>
      </c>
      <c r="G4">
        <v>13</v>
      </c>
      <c r="H4">
        <v>1217988</v>
      </c>
    </row>
    <row r="5" spans="3:19" x14ac:dyDescent="0.25">
      <c r="C5">
        <v>2</v>
      </c>
      <c r="D5">
        <v>1313</v>
      </c>
      <c r="E5" t="s">
        <v>2067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2073</v>
      </c>
      <c r="Q5" t="s">
        <v>101</v>
      </c>
      <c r="R5">
        <v>23</v>
      </c>
      <c r="S5">
        <v>717748</v>
      </c>
    </row>
    <row r="6" spans="3:19" x14ac:dyDescent="0.2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2073</v>
      </c>
      <c r="Q6" t="s">
        <v>101</v>
      </c>
      <c r="R6">
        <v>10</v>
      </c>
      <c r="S6">
        <v>773384</v>
      </c>
    </row>
    <row r="7" spans="3:19" x14ac:dyDescent="0.25">
      <c r="C7">
        <v>4</v>
      </c>
      <c r="D7" t="s">
        <v>2043</v>
      </c>
      <c r="E7" t="s">
        <v>2062</v>
      </c>
      <c r="F7" t="s">
        <v>2069</v>
      </c>
      <c r="G7">
        <v>5</v>
      </c>
      <c r="H7">
        <v>1101509</v>
      </c>
      <c r="N7">
        <v>3</v>
      </c>
      <c r="O7">
        <v>808</v>
      </c>
      <c r="P7" t="s">
        <v>2073</v>
      </c>
      <c r="Q7" t="s">
        <v>262</v>
      </c>
      <c r="R7">
        <v>10</v>
      </c>
      <c r="S7">
        <v>882800</v>
      </c>
    </row>
    <row r="8" spans="3:19" x14ac:dyDescent="0.25">
      <c r="C8">
        <v>5</v>
      </c>
      <c r="D8">
        <v>1313</v>
      </c>
      <c r="E8" t="s">
        <v>2067</v>
      </c>
      <c r="F8" t="s">
        <v>1952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5" x14ac:dyDescent="0.25"/>
  <cols>
    <col min="1" max="1" width="14" style="10" customWidth="1"/>
    <col min="2" max="2" width="18.5703125" style="10" customWidth="1"/>
    <col min="3" max="3" width="98.5703125" style="804" customWidth="1"/>
    <col min="4" max="4" width="7.28515625" style="10" bestFit="1" customWidth="1"/>
    <col min="5" max="5" width="16.85546875" style="10" bestFit="1" customWidth="1"/>
    <col min="6" max="6" width="13.42578125" style="10" bestFit="1" customWidth="1"/>
  </cols>
  <sheetData>
    <row r="2" spans="1:6" hidden="1" x14ac:dyDescent="0.25">
      <c r="C2" s="856" t="s">
        <v>1651</v>
      </c>
    </row>
    <row r="3" spans="1:6" hidden="1" x14ac:dyDescent="0.25">
      <c r="A3" s="5"/>
      <c r="B3" s="5"/>
      <c r="C3" s="856" t="s">
        <v>1652</v>
      </c>
    </row>
    <row r="4" spans="1:6" hidden="1" x14ac:dyDescent="0.25">
      <c r="A4" s="5"/>
      <c r="B4" s="5"/>
      <c r="C4" s="856" t="s">
        <v>1655</v>
      </c>
    </row>
    <row r="5" spans="1:6" hidden="1" x14ac:dyDescent="0.25">
      <c r="A5" s="5"/>
      <c r="B5" s="5"/>
      <c r="C5" s="856" t="s">
        <v>1581</v>
      </c>
    </row>
    <row r="6" spans="1:6" hidden="1" x14ac:dyDescent="0.25">
      <c r="A6" s="5"/>
      <c r="B6" s="5"/>
      <c r="C6" s="856" t="s">
        <v>1653</v>
      </c>
    </row>
    <row r="7" spans="1:6" ht="15.75" hidden="1" thickBot="1" x14ac:dyDescent="0.3">
      <c r="C7" s="856" t="s">
        <v>1654</v>
      </c>
    </row>
    <row r="8" spans="1:6" s="412" customFormat="1" ht="16.5" hidden="1" thickBot="1" x14ac:dyDescent="0.3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2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2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2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2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2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2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2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2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2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t="30" hidden="1" x14ac:dyDescent="0.2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30" hidden="1" x14ac:dyDescent="0.2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30" hidden="1" x14ac:dyDescent="0.2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2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2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2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2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2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2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2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2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2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2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2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2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2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2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2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2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2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2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2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2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2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2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2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2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2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2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2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2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2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2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2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2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2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2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2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2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2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2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2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2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2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2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2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2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2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2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2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2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2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2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2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.75" hidden="1" thickBot="1" x14ac:dyDescent="0.3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25"/>
    <row r="74" spans="1:8" hidden="1" x14ac:dyDescent="0.25">
      <c r="D74" s="804"/>
      <c r="G74" s="10"/>
      <c r="H74" s="10"/>
    </row>
    <row r="75" spans="1:8" hidden="1" x14ac:dyDescent="0.25">
      <c r="C75" s="856" t="s">
        <v>1651</v>
      </c>
      <c r="D75" s="856"/>
      <c r="G75" s="10"/>
      <c r="H75" s="10"/>
    </row>
    <row r="76" spans="1:8" hidden="1" x14ac:dyDescent="0.25">
      <c r="A76" s="5"/>
      <c r="B76" s="5"/>
      <c r="C76" s="856" t="s">
        <v>1652</v>
      </c>
      <c r="D76" s="856"/>
      <c r="G76" s="10"/>
      <c r="H76" s="10"/>
    </row>
    <row r="77" spans="1:8" hidden="1" x14ac:dyDescent="0.25">
      <c r="A77" s="5"/>
      <c r="B77" s="5"/>
      <c r="C77" s="856" t="s">
        <v>1655</v>
      </c>
      <c r="D77" s="856"/>
      <c r="G77" s="10"/>
      <c r="H77" s="10"/>
    </row>
    <row r="78" spans="1:8" hidden="1" x14ac:dyDescent="0.25">
      <c r="A78" s="5"/>
      <c r="B78" s="5"/>
      <c r="C78" s="856" t="s">
        <v>1581</v>
      </c>
      <c r="D78" s="856"/>
      <c r="G78" s="10"/>
      <c r="H78" s="10"/>
    </row>
    <row r="79" spans="1:8" hidden="1" x14ac:dyDescent="0.25">
      <c r="A79" s="5"/>
      <c r="B79" s="5"/>
      <c r="C79" s="856" t="s">
        <v>1653</v>
      </c>
      <c r="D79" s="856"/>
      <c r="G79" s="10"/>
      <c r="H79" s="10"/>
    </row>
    <row r="80" spans="1:8" ht="15.75" hidden="1" thickBot="1" x14ac:dyDescent="0.3">
      <c r="C80" s="856" t="s">
        <v>1654</v>
      </c>
      <c r="D80" s="856"/>
      <c r="G80" s="10"/>
      <c r="H80" s="10"/>
    </row>
    <row r="81" spans="1:9" ht="16.5" hidden="1" thickBot="1" x14ac:dyDescent="0.3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2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2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2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2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2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2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30" hidden="1" x14ac:dyDescent="0.2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30" hidden="1" x14ac:dyDescent="0.2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30" hidden="1" x14ac:dyDescent="0.2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30" hidden="1" x14ac:dyDescent="0.2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30" hidden="1" x14ac:dyDescent="0.2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30" hidden="1" x14ac:dyDescent="0.2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2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2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2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2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2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2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2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2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2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2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2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2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2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2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2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2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2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2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2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API Thread Inspection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2026-01-20T13:20:50Z</dcterms:modified>
</cp:coreProperties>
</file>