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mon\OneDrive\Escritorio\"/>
    </mc:Choice>
  </mc:AlternateContent>
  <xr:revisionPtr revIDLastSave="0" documentId="13_ncr:1_{2B3373B9-4DB3-4827-94F0-FD114870F40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jercicio 6" sheetId="6" r:id="rId1"/>
    <sheet name="Ejercicio 3" sheetId="4" r:id="rId2"/>
    <sheet name="Ejercicio 5" sheetId="5" r:id="rId3"/>
    <sheet name="Hoja3" sheetId="3" r:id="rId4"/>
    <sheet name="Ejercicio 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8" l="1"/>
  <c r="Q18" i="8"/>
  <c r="Q16" i="8"/>
  <c r="Q13" i="8"/>
  <c r="Q14" i="8"/>
  <c r="Q12" i="8"/>
  <c r="Q9" i="8"/>
  <c r="Q10" i="8"/>
  <c r="Q8" i="8"/>
  <c r="Q5" i="8"/>
  <c r="Q6" i="8"/>
  <c r="Q4" i="8"/>
  <c r="Q4" i="6"/>
  <c r="I10" i="8"/>
  <c r="I9" i="8"/>
  <c r="I8" i="8"/>
  <c r="J6" i="8"/>
  <c r="J5" i="8"/>
  <c r="J4" i="8"/>
  <c r="J18" i="5"/>
  <c r="J17" i="5"/>
  <c r="J16" i="5"/>
  <c r="J14" i="5"/>
  <c r="J13" i="5"/>
  <c r="J12" i="5"/>
  <c r="J10" i="5"/>
  <c r="J9" i="5"/>
  <c r="J8" i="5"/>
  <c r="J6" i="5"/>
  <c r="J5" i="5"/>
  <c r="J4" i="5"/>
  <c r="J18" i="4"/>
  <c r="J17" i="4"/>
  <c r="J16" i="4"/>
  <c r="J14" i="4"/>
  <c r="J13" i="4"/>
  <c r="J12" i="4"/>
  <c r="J10" i="4"/>
  <c r="J9" i="4"/>
  <c r="J8" i="4"/>
  <c r="J6" i="4"/>
  <c r="J5" i="4"/>
  <c r="J4" i="4"/>
  <c r="J17" i="6"/>
  <c r="J18" i="6"/>
  <c r="J16" i="6"/>
  <c r="J13" i="6"/>
  <c r="J14" i="6"/>
  <c r="J12" i="6"/>
  <c r="J9" i="6"/>
  <c r="J10" i="6"/>
  <c r="J8" i="6"/>
  <c r="J5" i="6"/>
  <c r="J6" i="6"/>
  <c r="J4" i="6"/>
  <c r="Q18" i="6"/>
  <c r="Q17" i="6"/>
  <c r="Q16" i="6"/>
  <c r="Q14" i="6"/>
  <c r="Q13" i="6"/>
  <c r="Q12" i="6"/>
  <c r="Q10" i="6"/>
  <c r="I10" i="6"/>
  <c r="Q9" i="6"/>
  <c r="I9" i="6"/>
  <c r="B9" i="6"/>
  <c r="Q8" i="6"/>
  <c r="I8" i="6"/>
  <c r="Q6" i="6"/>
  <c r="Q5" i="6"/>
  <c r="B3" i="6"/>
  <c r="Q18" i="5"/>
  <c r="Q17" i="5"/>
  <c r="Q16" i="5"/>
  <c r="Q14" i="5"/>
  <c r="Q13" i="5"/>
  <c r="Q12" i="5"/>
  <c r="Q10" i="5"/>
  <c r="I10" i="5"/>
  <c r="Q9" i="5"/>
  <c r="I9" i="5"/>
  <c r="Q8" i="5"/>
  <c r="I8" i="5"/>
  <c r="Q6" i="5"/>
  <c r="Q5" i="5"/>
  <c r="B5" i="5"/>
  <c r="Q4" i="5"/>
  <c r="Q17" i="4"/>
  <c r="Q18" i="4"/>
  <c r="Q16" i="4"/>
  <c r="Q13" i="4"/>
  <c r="Q14" i="4"/>
  <c r="Q12" i="4"/>
  <c r="Q9" i="4"/>
  <c r="Q10" i="4"/>
  <c r="Q8" i="4"/>
  <c r="Q5" i="4"/>
  <c r="Q6" i="4"/>
  <c r="Q4" i="4"/>
  <c r="B5" i="4"/>
  <c r="I10" i="4"/>
  <c r="I9" i="4"/>
  <c r="I8" i="4"/>
  <c r="G9" i="3"/>
  <c r="G12" i="3" s="1"/>
  <c r="G8" i="3"/>
  <c r="G7" i="3"/>
  <c r="D9" i="3"/>
  <c r="D12" i="3" s="1"/>
  <c r="E9" i="3"/>
  <c r="E12" i="3" s="1"/>
  <c r="F9" i="3"/>
  <c r="F12" i="3" s="1"/>
  <c r="H9" i="3"/>
  <c r="H12" i="3" s="1"/>
  <c r="I9" i="3"/>
  <c r="I12" i="3" s="1"/>
  <c r="J9" i="3"/>
  <c r="K9" i="3"/>
  <c r="K12" i="3" s="1"/>
  <c r="C9" i="3"/>
  <c r="C12" i="3" s="1"/>
  <c r="D8" i="3"/>
  <c r="E8" i="3"/>
  <c r="F8" i="3"/>
  <c r="H8" i="3"/>
  <c r="I8" i="3"/>
  <c r="J8" i="3"/>
  <c r="K8" i="3"/>
  <c r="C8" i="3"/>
  <c r="K7" i="3"/>
  <c r="D7" i="3"/>
  <c r="E7" i="3"/>
  <c r="F7" i="3"/>
  <c r="H7" i="3"/>
  <c r="I7" i="3"/>
  <c r="J7" i="3"/>
  <c r="C7" i="3"/>
  <c r="B5" i="8" l="1"/>
  <c r="K4" i="8"/>
  <c r="K5" i="8"/>
  <c r="L5" i="8" s="1"/>
  <c r="K6" i="8"/>
  <c r="L6" i="8" s="1"/>
  <c r="I12" i="8"/>
  <c r="J8" i="8"/>
  <c r="I13" i="8"/>
  <c r="J9" i="8"/>
  <c r="I14" i="8"/>
  <c r="J10" i="8"/>
  <c r="B11" i="6"/>
  <c r="B7" i="6"/>
  <c r="B5" i="6"/>
  <c r="K4" i="6"/>
  <c r="K5" i="6"/>
  <c r="L5" i="6" s="1"/>
  <c r="K6" i="6"/>
  <c r="L6" i="6" s="1"/>
  <c r="I12" i="6"/>
  <c r="I13" i="6"/>
  <c r="I14" i="6"/>
  <c r="K4" i="5"/>
  <c r="K5" i="5"/>
  <c r="K6" i="5"/>
  <c r="I12" i="5"/>
  <c r="I13" i="5"/>
  <c r="I14" i="5"/>
  <c r="K4" i="4"/>
  <c r="K5" i="4"/>
  <c r="L5" i="4" s="1"/>
  <c r="K6" i="4"/>
  <c r="L6" i="4" s="1"/>
  <c r="I12" i="4"/>
  <c r="I13" i="4"/>
  <c r="I14" i="4"/>
  <c r="K10" i="8" l="1"/>
  <c r="L10" i="8" s="1"/>
  <c r="J18" i="8"/>
  <c r="J14" i="8"/>
  <c r="K9" i="8"/>
  <c r="L9" i="8" s="1"/>
  <c r="J17" i="8"/>
  <c r="J13" i="8"/>
  <c r="K8" i="8"/>
  <c r="L8" i="8" s="1"/>
  <c r="J16" i="8"/>
  <c r="J12" i="8"/>
  <c r="R6" i="8"/>
  <c r="M6" i="8"/>
  <c r="R5" i="8"/>
  <c r="M5" i="8"/>
  <c r="L4" i="8"/>
  <c r="L4" i="4"/>
  <c r="K10" i="6"/>
  <c r="L10" i="6" s="1"/>
  <c r="I18" i="6"/>
  <c r="K9" i="6"/>
  <c r="L9" i="6" s="1"/>
  <c r="I17" i="6"/>
  <c r="K8" i="6"/>
  <c r="L8" i="6" s="1"/>
  <c r="I16" i="6"/>
  <c r="R6" i="6"/>
  <c r="M6" i="6"/>
  <c r="R5" i="6"/>
  <c r="M5" i="6"/>
  <c r="L4" i="6"/>
  <c r="K10" i="5"/>
  <c r="L10" i="5" s="1"/>
  <c r="I18" i="5"/>
  <c r="K9" i="5"/>
  <c r="L9" i="5" s="1"/>
  <c r="I17" i="5"/>
  <c r="K8" i="5"/>
  <c r="L8" i="5" s="1"/>
  <c r="I16" i="5"/>
  <c r="L6" i="5"/>
  <c r="L5" i="5"/>
  <c r="L4" i="5"/>
  <c r="K10" i="4"/>
  <c r="L10" i="4" s="1"/>
  <c r="I18" i="4"/>
  <c r="K9" i="4"/>
  <c r="L9" i="4" s="1"/>
  <c r="I17" i="4"/>
  <c r="K8" i="4"/>
  <c r="L8" i="4" s="1"/>
  <c r="I16" i="4"/>
  <c r="R6" i="4"/>
  <c r="M6" i="4"/>
  <c r="R5" i="4"/>
  <c r="M5" i="4"/>
  <c r="R4" i="4"/>
  <c r="M4" i="4"/>
  <c r="R4" i="8" l="1"/>
  <c r="M4" i="8"/>
  <c r="P5" i="8"/>
  <c r="N5" i="8"/>
  <c r="P6" i="8"/>
  <c r="N6" i="8"/>
  <c r="K12" i="8"/>
  <c r="K16" i="8"/>
  <c r="R8" i="8"/>
  <c r="M8" i="8"/>
  <c r="K13" i="8"/>
  <c r="K17" i="8"/>
  <c r="R9" i="8"/>
  <c r="M9" i="8"/>
  <c r="K14" i="8"/>
  <c r="K18" i="8"/>
  <c r="R10" i="8"/>
  <c r="M10" i="8"/>
  <c r="R4" i="6"/>
  <c r="M4" i="6"/>
  <c r="P5" i="6"/>
  <c r="N5" i="6"/>
  <c r="P6" i="6"/>
  <c r="N6" i="6"/>
  <c r="K12" i="6"/>
  <c r="K16" i="6"/>
  <c r="R8" i="6"/>
  <c r="M8" i="6"/>
  <c r="K13" i="6"/>
  <c r="K17" i="6"/>
  <c r="R9" i="6"/>
  <c r="M9" i="6"/>
  <c r="K14" i="6"/>
  <c r="K18" i="6"/>
  <c r="R10" i="6"/>
  <c r="M10" i="6"/>
  <c r="R4" i="5"/>
  <c r="M4" i="5"/>
  <c r="R5" i="5"/>
  <c r="M5" i="5"/>
  <c r="R6" i="5"/>
  <c r="M6" i="5"/>
  <c r="K12" i="5"/>
  <c r="L12" i="5" s="1"/>
  <c r="K16" i="5"/>
  <c r="L16" i="5" s="1"/>
  <c r="R8" i="5"/>
  <c r="M8" i="5"/>
  <c r="K13" i="5"/>
  <c r="L13" i="5" s="1"/>
  <c r="K17" i="5"/>
  <c r="L17" i="5" s="1"/>
  <c r="R9" i="5"/>
  <c r="M9" i="5"/>
  <c r="K14" i="5"/>
  <c r="L14" i="5" s="1"/>
  <c r="K18" i="5"/>
  <c r="L18" i="5" s="1"/>
  <c r="R10" i="5"/>
  <c r="M10" i="5"/>
  <c r="P4" i="4"/>
  <c r="N4" i="4"/>
  <c r="P5" i="4"/>
  <c r="N5" i="4"/>
  <c r="P6" i="4"/>
  <c r="N6" i="4"/>
  <c r="K12" i="4"/>
  <c r="K16" i="4"/>
  <c r="R8" i="4"/>
  <c r="M8" i="4"/>
  <c r="K13" i="4"/>
  <c r="K17" i="4"/>
  <c r="R9" i="4"/>
  <c r="M9" i="4"/>
  <c r="K14" i="4"/>
  <c r="K18" i="4"/>
  <c r="R10" i="4"/>
  <c r="M10" i="4"/>
  <c r="P10" i="8" l="1"/>
  <c r="N10" i="8"/>
  <c r="L18" i="8"/>
  <c r="L14" i="8"/>
  <c r="P9" i="8"/>
  <c r="N9" i="8"/>
  <c r="L17" i="8"/>
  <c r="L13" i="8"/>
  <c r="P8" i="8"/>
  <c r="N8" i="8"/>
  <c r="L16" i="8"/>
  <c r="L12" i="8"/>
  <c r="O6" i="8"/>
  <c r="G6" i="8"/>
  <c r="H22" i="8" s="1"/>
  <c r="O5" i="8"/>
  <c r="G5" i="8"/>
  <c r="G22" i="8" s="1"/>
  <c r="P4" i="8"/>
  <c r="N4" i="8"/>
  <c r="P10" i="6"/>
  <c r="N10" i="6"/>
  <c r="L18" i="6"/>
  <c r="L14" i="6"/>
  <c r="P9" i="6"/>
  <c r="N9" i="6"/>
  <c r="L17" i="6"/>
  <c r="L13" i="6"/>
  <c r="P8" i="6"/>
  <c r="N8" i="6"/>
  <c r="L16" i="6"/>
  <c r="L12" i="6"/>
  <c r="O6" i="6"/>
  <c r="G6" i="6"/>
  <c r="H22" i="6" s="1"/>
  <c r="O5" i="6"/>
  <c r="G5" i="6"/>
  <c r="G22" i="6" s="1"/>
  <c r="P4" i="6"/>
  <c r="N4" i="6"/>
  <c r="P10" i="5"/>
  <c r="N10" i="5"/>
  <c r="R18" i="5"/>
  <c r="M18" i="5"/>
  <c r="R14" i="5"/>
  <c r="M14" i="5"/>
  <c r="P9" i="5"/>
  <c r="N9" i="5"/>
  <c r="R17" i="5"/>
  <c r="M17" i="5"/>
  <c r="R13" i="5"/>
  <c r="M13" i="5"/>
  <c r="P8" i="5"/>
  <c r="N8" i="5"/>
  <c r="R16" i="5"/>
  <c r="M16" i="5"/>
  <c r="R12" i="5"/>
  <c r="M12" i="5"/>
  <c r="P6" i="5"/>
  <c r="N6" i="5"/>
  <c r="P5" i="5"/>
  <c r="N5" i="5"/>
  <c r="P4" i="5"/>
  <c r="N4" i="5"/>
  <c r="P10" i="4"/>
  <c r="N10" i="4"/>
  <c r="L18" i="4"/>
  <c r="L14" i="4"/>
  <c r="P9" i="4"/>
  <c r="N9" i="4"/>
  <c r="L17" i="4"/>
  <c r="L13" i="4"/>
  <c r="P8" i="4"/>
  <c r="N8" i="4"/>
  <c r="L16" i="4"/>
  <c r="L12" i="4"/>
  <c r="O6" i="4"/>
  <c r="G6" i="4"/>
  <c r="H22" i="4" s="1"/>
  <c r="O5" i="4"/>
  <c r="G5" i="4"/>
  <c r="G22" i="4" s="1"/>
  <c r="O4" i="4"/>
  <c r="G4" i="4" s="1"/>
  <c r="F22" i="4"/>
  <c r="O4" i="8" l="1"/>
  <c r="G4" i="8"/>
  <c r="F22" i="8" s="1"/>
  <c r="R12" i="8"/>
  <c r="M12" i="8"/>
  <c r="R16" i="8"/>
  <c r="M16" i="8"/>
  <c r="O8" i="8"/>
  <c r="G8" i="8"/>
  <c r="F23" i="8" s="1"/>
  <c r="R13" i="8"/>
  <c r="M13" i="8"/>
  <c r="R17" i="8"/>
  <c r="M17" i="8"/>
  <c r="O9" i="8"/>
  <c r="G9" i="8"/>
  <c r="G23" i="8" s="1"/>
  <c r="R14" i="8"/>
  <c r="M14" i="8"/>
  <c r="R18" i="8"/>
  <c r="M18" i="8"/>
  <c r="O10" i="8"/>
  <c r="G10" i="8"/>
  <c r="H23" i="8" s="1"/>
  <c r="O4" i="6"/>
  <c r="G4" i="6"/>
  <c r="F22" i="6" s="1"/>
  <c r="R12" i="6"/>
  <c r="M12" i="6"/>
  <c r="R16" i="6"/>
  <c r="M16" i="6"/>
  <c r="O8" i="6"/>
  <c r="G8" i="6"/>
  <c r="F23" i="6" s="1"/>
  <c r="R13" i="6"/>
  <c r="M13" i="6"/>
  <c r="R17" i="6"/>
  <c r="M17" i="6"/>
  <c r="O9" i="6"/>
  <c r="G9" i="6"/>
  <c r="G23" i="6" s="1"/>
  <c r="R14" i="6"/>
  <c r="M14" i="6"/>
  <c r="R18" i="6"/>
  <c r="M18" i="6"/>
  <c r="O10" i="6"/>
  <c r="G10" i="6"/>
  <c r="H23" i="6" s="1"/>
  <c r="O4" i="5"/>
  <c r="G4" i="5"/>
  <c r="F22" i="5" s="1"/>
  <c r="O5" i="5"/>
  <c r="G5" i="5"/>
  <c r="G22" i="5" s="1"/>
  <c r="O6" i="5"/>
  <c r="G6" i="5"/>
  <c r="H22" i="5" s="1"/>
  <c r="P12" i="5"/>
  <c r="N12" i="5"/>
  <c r="P16" i="5"/>
  <c r="N16" i="5"/>
  <c r="O8" i="5"/>
  <c r="G8" i="5"/>
  <c r="F23" i="5" s="1"/>
  <c r="P13" i="5"/>
  <c r="N13" i="5"/>
  <c r="P17" i="5"/>
  <c r="N17" i="5"/>
  <c r="O9" i="5"/>
  <c r="G9" i="5"/>
  <c r="G23" i="5" s="1"/>
  <c r="P14" i="5"/>
  <c r="N14" i="5"/>
  <c r="P18" i="5"/>
  <c r="N18" i="5"/>
  <c r="O10" i="5"/>
  <c r="G10" i="5"/>
  <c r="H23" i="5" s="1"/>
  <c r="R12" i="4"/>
  <c r="M12" i="4"/>
  <c r="R16" i="4"/>
  <c r="M16" i="4"/>
  <c r="O8" i="4"/>
  <c r="G8" i="4"/>
  <c r="F23" i="4" s="1"/>
  <c r="R13" i="4"/>
  <c r="M13" i="4"/>
  <c r="R17" i="4"/>
  <c r="M17" i="4"/>
  <c r="O9" i="4"/>
  <c r="G9" i="4"/>
  <c r="G23" i="4" s="1"/>
  <c r="R14" i="4"/>
  <c r="M14" i="4"/>
  <c r="R18" i="4"/>
  <c r="M18" i="4"/>
  <c r="O10" i="4"/>
  <c r="G10" i="4"/>
  <c r="H23" i="4" s="1"/>
  <c r="P18" i="8" l="1"/>
  <c r="N18" i="8"/>
  <c r="P14" i="8"/>
  <c r="N14" i="8"/>
  <c r="P17" i="8"/>
  <c r="N17" i="8"/>
  <c r="P13" i="8"/>
  <c r="N13" i="8"/>
  <c r="P16" i="8"/>
  <c r="N16" i="8"/>
  <c r="P12" i="8"/>
  <c r="N12" i="8"/>
  <c r="P18" i="6"/>
  <c r="N18" i="6"/>
  <c r="P14" i="6"/>
  <c r="N14" i="6"/>
  <c r="P17" i="6"/>
  <c r="N17" i="6"/>
  <c r="P13" i="6"/>
  <c r="N13" i="6"/>
  <c r="P16" i="6"/>
  <c r="N16" i="6"/>
  <c r="P12" i="6"/>
  <c r="N12" i="6"/>
  <c r="O18" i="5"/>
  <c r="G18" i="5"/>
  <c r="H25" i="5" s="1"/>
  <c r="O14" i="5"/>
  <c r="G14" i="5"/>
  <c r="H24" i="5" s="1"/>
  <c r="O17" i="5"/>
  <c r="G17" i="5"/>
  <c r="G25" i="5" s="1"/>
  <c r="O13" i="5"/>
  <c r="G13" i="5"/>
  <c r="G24" i="5" s="1"/>
  <c r="O16" i="5"/>
  <c r="G16" i="5"/>
  <c r="F25" i="5" s="1"/>
  <c r="O12" i="5"/>
  <c r="G12" i="5"/>
  <c r="F24" i="5" s="1"/>
  <c r="P18" i="4"/>
  <c r="N18" i="4"/>
  <c r="P14" i="4"/>
  <c r="N14" i="4"/>
  <c r="P17" i="4"/>
  <c r="N17" i="4"/>
  <c r="P13" i="4"/>
  <c r="N13" i="4"/>
  <c r="P16" i="4"/>
  <c r="N16" i="4"/>
  <c r="P12" i="4"/>
  <c r="N12" i="4"/>
  <c r="O12" i="8" l="1"/>
  <c r="G12" i="8"/>
  <c r="F24" i="8" s="1"/>
  <c r="O16" i="8"/>
  <c r="G16" i="8"/>
  <c r="F25" i="8" s="1"/>
  <c r="O13" i="8"/>
  <c r="G13" i="8"/>
  <c r="G24" i="8" s="1"/>
  <c r="O17" i="8"/>
  <c r="G17" i="8"/>
  <c r="G25" i="8" s="1"/>
  <c r="O14" i="8"/>
  <c r="G14" i="8"/>
  <c r="H24" i="8" s="1"/>
  <c r="O18" i="8"/>
  <c r="G18" i="8"/>
  <c r="H25" i="8" s="1"/>
  <c r="O12" i="6"/>
  <c r="G12" i="6"/>
  <c r="F24" i="6" s="1"/>
  <c r="O16" i="6"/>
  <c r="G16" i="6"/>
  <c r="F25" i="6" s="1"/>
  <c r="O13" i="6"/>
  <c r="G13" i="6"/>
  <c r="G24" i="6" s="1"/>
  <c r="O17" i="6"/>
  <c r="G17" i="6"/>
  <c r="G25" i="6" s="1"/>
  <c r="O14" i="6"/>
  <c r="G14" i="6"/>
  <c r="H24" i="6" s="1"/>
  <c r="O18" i="6"/>
  <c r="G18" i="6"/>
  <c r="H25" i="6" s="1"/>
  <c r="O12" i="4"/>
  <c r="G12" i="4"/>
  <c r="F24" i="4" s="1"/>
  <c r="O16" i="4"/>
  <c r="G16" i="4"/>
  <c r="F25" i="4" s="1"/>
  <c r="O13" i="4"/>
  <c r="G13" i="4"/>
  <c r="G24" i="4" s="1"/>
  <c r="O17" i="4"/>
  <c r="G17" i="4"/>
  <c r="G25" i="4" s="1"/>
  <c r="O14" i="4"/>
  <c r="G14" i="4"/>
  <c r="H24" i="4" s="1"/>
  <c r="O18" i="4"/>
  <c r="G18" i="4"/>
  <c r="H25" i="4" s="1"/>
</calcChain>
</file>

<file path=xl/sharedStrings.xml><?xml version="1.0" encoding="utf-8"?>
<sst xmlns="http://schemas.openxmlformats.org/spreadsheetml/2006/main" count="178" uniqueCount="33">
  <si>
    <t>A1=</t>
  </si>
  <si>
    <t>E1=</t>
  </si>
  <si>
    <t>T. Extra</t>
  </si>
  <si>
    <t>Proveedor</t>
  </si>
  <si>
    <t>Prod. Disp.</t>
  </si>
  <si>
    <t>E2=</t>
  </si>
  <si>
    <t>E3=</t>
  </si>
  <si>
    <t>Diferencia</t>
  </si>
  <si>
    <t>Almacén</t>
  </si>
  <si>
    <t>Depósito</t>
  </si>
  <si>
    <t>D. insat.</t>
  </si>
  <si>
    <t>Subut.</t>
  </si>
  <si>
    <t>Ventas</t>
  </si>
  <si>
    <t>A2=</t>
  </si>
  <si>
    <t>A3=</t>
  </si>
  <si>
    <t>A4=</t>
  </si>
  <si>
    <t>Acciones</t>
  </si>
  <si>
    <t>Demanda</t>
  </si>
  <si>
    <t>Lote 1</t>
  </si>
  <si>
    <t>Lote 2</t>
  </si>
  <si>
    <t>Lote 3</t>
  </si>
  <si>
    <t>Lote 4</t>
  </si>
  <si>
    <t>Horas disponibles</t>
  </si>
  <si>
    <t>Tiempo extra</t>
  </si>
  <si>
    <t>Almacen</t>
  </si>
  <si>
    <t>Demanda insatisfecha</t>
  </si>
  <si>
    <t>Subutilización</t>
  </si>
  <si>
    <t>Capacidad almacén</t>
  </si>
  <si>
    <t>Producción tiempo extra</t>
  </si>
  <si>
    <t>Unidades proveedor</t>
  </si>
  <si>
    <t>Costo artículo</t>
  </si>
  <si>
    <t>Costo tiempo extra</t>
  </si>
  <si>
    <t>Horas mano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</si>
</sst>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10" borderId="0" applyNumberFormat="0" applyBorder="0" applyAlignment="0" applyProtection="0"/>
  </cellStyleXfs>
  <cellXfs count="3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4" fillId="3" borderId="7" xfId="2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4" fillId="10" borderId="13" xfId="9" applyBorder="1" applyAlignment="1">
      <alignment horizontal="center" vertical="center"/>
    </xf>
    <xf numFmtId="0" fontId="4" fillId="10" borderId="14" xfId="9" applyBorder="1" applyAlignment="1">
      <alignment horizontal="center" vertical="center"/>
    </xf>
    <xf numFmtId="0" fontId="4" fillId="10" borderId="15" xfId="9" applyBorder="1" applyAlignment="1">
      <alignment horizontal="center" vertical="center"/>
    </xf>
    <xf numFmtId="0" fontId="2" fillId="8" borderId="19" xfId="7" applyBorder="1" applyAlignment="1">
      <alignment horizontal="center" vertical="center"/>
    </xf>
    <xf numFmtId="0" fontId="2" fillId="8" borderId="20" xfId="7" applyBorder="1" applyAlignment="1">
      <alignment horizontal="center" vertical="center"/>
    </xf>
    <xf numFmtId="0" fontId="2" fillId="8" borderId="21" xfId="7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4" borderId="18" xfId="3" applyBorder="1" applyAlignment="1">
      <alignment horizontal="center" vertical="center"/>
    </xf>
    <xf numFmtId="0" fontId="2" fillId="4" borderId="16" xfId="3" applyBorder="1" applyAlignment="1">
      <alignment horizontal="center" vertical="center"/>
    </xf>
    <xf numFmtId="0" fontId="2" fillId="4" borderId="17" xfId="3" applyBorder="1" applyAlignment="1">
      <alignment horizontal="center" vertical="center"/>
    </xf>
    <xf numFmtId="0" fontId="4" fillId="10" borderId="1" xfId="9" applyBorder="1" applyAlignment="1">
      <alignment horizontal="center" vertical="center"/>
    </xf>
    <xf numFmtId="3" fontId="3" fillId="2" borderId="1" xfId="1" applyNumberFormat="1" applyBorder="1" applyAlignment="1">
      <alignment horizontal="center" vertical="center"/>
    </xf>
    <xf numFmtId="0" fontId="4" fillId="10" borderId="8" xfId="9" applyBorder="1" applyAlignment="1">
      <alignment horizontal="center" vertical="center"/>
    </xf>
    <xf numFmtId="0" fontId="4" fillId="3" borderId="9" xfId="2" applyBorder="1" applyAlignment="1">
      <alignment horizontal="center" vertical="center"/>
    </xf>
    <xf numFmtId="0" fontId="1" fillId="9" borderId="22" xfId="8" applyFont="1" applyBorder="1" applyAlignment="1">
      <alignment horizontal="center" vertical="center"/>
    </xf>
    <xf numFmtId="0" fontId="1" fillId="9" borderId="20" xfId="8" applyFont="1" applyBorder="1" applyAlignment="1">
      <alignment horizontal="center" vertical="center"/>
    </xf>
    <xf numFmtId="0" fontId="1" fillId="9" borderId="21" xfId="8" applyFont="1" applyBorder="1" applyAlignment="1">
      <alignment horizontal="center" vertical="center"/>
    </xf>
  </cellXfs>
  <cellStyles count="10">
    <cellStyle name="20% - Énfasis1" xfId="3" builtinId="30"/>
    <cellStyle name="20% - Énfasis5" xfId="7" builtinId="46"/>
    <cellStyle name="40% - Énfasis1" xfId="4" builtinId="31"/>
    <cellStyle name="40% - Énfasis5" xfId="8" builtinId="47"/>
    <cellStyle name="60% - Énfasis2" xfId="5" builtinId="36"/>
    <cellStyle name="60% - Énfasis4" xfId="6" builtinId="44"/>
    <cellStyle name="Bueno" xfId="1" builtinId="26"/>
    <cellStyle name="Énfasis1" xfId="2" builtinId="29"/>
    <cellStyle name="Énfasis6" xfId="9" builtinId="49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1226-5E1B-49F4-8C43-7D7A1D5116F8}">
  <dimension ref="B2:R28"/>
  <sheetViews>
    <sheetView workbookViewId="0">
      <selection activeCell="C36" sqref="C36"/>
    </sheetView>
  </sheetViews>
  <sheetFormatPr baseColWidth="10" defaultColWidth="11.5703125" defaultRowHeight="15" x14ac:dyDescent="0.25"/>
  <cols>
    <col min="3" max="3" width="23" bestFit="1" customWidth="1"/>
    <col min="9" max="9" width="11.85546875" bestFit="1" customWidth="1"/>
    <col min="10" max="10" width="16.5703125" customWidth="1"/>
    <col min="13" max="13" width="14" customWidth="1"/>
  </cols>
  <sheetData>
    <row r="2" spans="2:18" ht="15.75" thickBot="1" x14ac:dyDescent="0.3"/>
    <row r="3" spans="2:18" ht="15.75" thickBot="1" x14ac:dyDescent="0.3">
      <c r="B3" s="9">
        <f>-(6*1700+4*2500+800*6)</f>
        <v>-25000</v>
      </c>
      <c r="C3" s="16" t="s">
        <v>30</v>
      </c>
      <c r="E3" s="19" t="s">
        <v>0</v>
      </c>
      <c r="F3" s="15">
        <v>4500</v>
      </c>
      <c r="G3" s="2"/>
      <c r="H3" s="2"/>
      <c r="I3" s="2"/>
      <c r="J3" s="31" t="s">
        <v>2</v>
      </c>
      <c r="K3" s="31" t="s">
        <v>3</v>
      </c>
      <c r="L3" s="23" t="s">
        <v>4</v>
      </c>
      <c r="M3" s="22" t="s">
        <v>7</v>
      </c>
      <c r="N3" s="33" t="s">
        <v>8</v>
      </c>
      <c r="O3" s="33" t="s">
        <v>9</v>
      </c>
      <c r="P3" s="31" t="s">
        <v>10</v>
      </c>
      <c r="Q3" s="22" t="s">
        <v>11</v>
      </c>
      <c r="R3" s="31" t="s">
        <v>12</v>
      </c>
    </row>
    <row r="4" spans="2:18" ht="15.75" thickBot="1" x14ac:dyDescent="0.3">
      <c r="B4" s="10">
        <v>0.18</v>
      </c>
      <c r="C4" s="17" t="s">
        <v>31</v>
      </c>
      <c r="E4" s="2"/>
      <c r="F4" s="2"/>
      <c r="G4" s="32">
        <f>$B$3*$F$3+$B$5*J4+$B$6*K4+$B$7*N4+$B$8*O4+$B$9*P4+$B$10*Q4+$B$11*R4</f>
        <v>4400000</v>
      </c>
      <c r="H4" s="20" t="s">
        <v>1</v>
      </c>
      <c r="I4" s="14">
        <v>5000</v>
      </c>
      <c r="J4" s="10">
        <f>IF(AND(I4-$F$3&lt;=$F$3*$B$14, I4-$F$3&gt;0),I4-$F$3,IF(I4-$F$3&gt;=$F$3*$B$14,$F$3*$B$14,0))</f>
        <v>500</v>
      </c>
      <c r="K4" s="10">
        <f>IF((J4+$F$3)&gt;=I4,0,IF((J4+$F$3+$B$15)&lt;=I4,$B$15,I4-(J4+$F$3)))</f>
        <v>0</v>
      </c>
      <c r="L4" s="4">
        <f>$F$3+J4+K4</f>
        <v>5000</v>
      </c>
      <c r="M4" s="12">
        <f>L4-I4</f>
        <v>0</v>
      </c>
      <c r="N4" s="10">
        <f>IF(M4&lt;0,0,IF(M4&gt;=$B$13,$B$13,M4))</f>
        <v>0</v>
      </c>
      <c r="O4" s="10">
        <f>IF(N4&lt;$B$13,0,M4-$B$13)</f>
        <v>0</v>
      </c>
      <c r="P4" s="9">
        <f>IF(M4&lt;0,-M4,0)</f>
        <v>0</v>
      </c>
      <c r="Q4" s="12">
        <f>$B$12-($F$3*6)</f>
        <v>16200</v>
      </c>
      <c r="R4" s="9">
        <f>IF(L4&lt;I4,L4,I4)</f>
        <v>5000</v>
      </c>
    </row>
    <row r="5" spans="2:18" ht="15.75" thickBot="1" x14ac:dyDescent="0.3">
      <c r="B5" s="10">
        <f>B3*(1+B4)</f>
        <v>-29500</v>
      </c>
      <c r="C5" s="17" t="s">
        <v>23</v>
      </c>
      <c r="E5" s="2"/>
      <c r="F5" s="2"/>
      <c r="G5" s="32">
        <f>$B$3*$F$3+$B$5*J5+$B$6*K5+$B$7*N5+$B$8*O5+$B$9*P5+$B$10*Q5+$B$11*R5</f>
        <v>-1201250</v>
      </c>
      <c r="H5" s="20" t="s">
        <v>5</v>
      </c>
      <c r="I5" s="14">
        <v>7000</v>
      </c>
      <c r="J5" s="10">
        <f t="shared" ref="J5:J6" si="0">IF(AND(I5-$F$3&lt;=$F$3*$B$14, I5-$F$3&gt;0),I5-$F$3,IF(I5-$F$3&gt;=$F$3*$B$14,$F$3*$B$14,0))</f>
        <v>675</v>
      </c>
      <c r="K5" s="10">
        <f>IF((J5+$F$3)&gt;=I5,0,IF((J5+$F$3+$B$15)&lt;=I5,$B$15,I5-(J5+$F$3)))</f>
        <v>400</v>
      </c>
      <c r="L5" s="6">
        <f>$F$3+J5+K5</f>
        <v>5575</v>
      </c>
      <c r="M5" s="2">
        <f>L5-I5</f>
        <v>-1425</v>
      </c>
      <c r="N5" s="10">
        <f>IF(M5&lt;0,0,IF(M5&gt;=$B$13,$B$13,M5))</f>
        <v>0</v>
      </c>
      <c r="O5" s="10">
        <f>IF(N5&lt;$B$13,0,M5-$B$13)</f>
        <v>0</v>
      </c>
      <c r="P5" s="10">
        <f>IF(M5&lt;0,-M5,0)</f>
        <v>1425</v>
      </c>
      <c r="Q5" s="2">
        <f>$B$12-($F$3*6)</f>
        <v>16200</v>
      </c>
      <c r="R5" s="10">
        <f>IF(L5&lt;I5,L5,I5)</f>
        <v>5575</v>
      </c>
    </row>
    <row r="6" spans="2:18" ht="15.75" thickBot="1" x14ac:dyDescent="0.3">
      <c r="B6" s="10">
        <v>-31600</v>
      </c>
      <c r="C6" s="17" t="s">
        <v>3</v>
      </c>
      <c r="E6" s="2"/>
      <c r="F6" s="2"/>
      <c r="G6" s="32">
        <f>$B$3*$F$3+$B$5*J6+$B$6*K6+$B$7*N6+$B$8*O6+$B$9*P6+$B$10*Q6+$B$11*R6</f>
        <v>-9901250</v>
      </c>
      <c r="H6" s="20" t="s">
        <v>6</v>
      </c>
      <c r="I6" s="14">
        <v>9000</v>
      </c>
      <c r="J6" s="11">
        <f t="shared" si="0"/>
        <v>675</v>
      </c>
      <c r="K6" s="11">
        <f>IF((J6+$F$3)&gt;=I6,0,IF((J6+$F$3+$B$15)&lt;=I6,$B$15,I6-(J6+$F$3)))</f>
        <v>400</v>
      </c>
      <c r="L6" s="8">
        <f>$F$3+J6+K6</f>
        <v>5575</v>
      </c>
      <c r="M6" s="13">
        <f>L6-I6</f>
        <v>-3425</v>
      </c>
      <c r="N6" s="11">
        <f>IF(M6&lt;0,0,IF(M6&gt;=$B$13,$B$13,M6))</f>
        <v>0</v>
      </c>
      <c r="O6" s="11">
        <f>IF(N6&lt;$B$13,0,M6-$B$13)</f>
        <v>0</v>
      </c>
      <c r="P6" s="11">
        <f>IF(M6&lt;0,-M6,0)</f>
        <v>3425</v>
      </c>
      <c r="Q6" s="13">
        <f>$B$12-($F$3*6)</f>
        <v>16200</v>
      </c>
      <c r="R6" s="11">
        <f>IF(L6&lt;I6,L6,I6)</f>
        <v>5575</v>
      </c>
    </row>
    <row r="7" spans="2:18" ht="15.75" thickBot="1" x14ac:dyDescent="0.3">
      <c r="B7" s="10">
        <f>B3*0.17</f>
        <v>-4250</v>
      </c>
      <c r="C7" s="17" t="s">
        <v>24</v>
      </c>
      <c r="E7" s="19" t="s">
        <v>13</v>
      </c>
      <c r="F7" s="15">
        <v>5400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15.75" thickBot="1" x14ac:dyDescent="0.3">
      <c r="B8" s="10">
        <v>-4500</v>
      </c>
      <c r="C8" s="17" t="s">
        <v>9</v>
      </c>
      <c r="E8" s="2"/>
      <c r="F8" s="2"/>
      <c r="G8" s="32">
        <f>$B$3*$F$7+$B$5*J8+$B$6*K8+$B$7*N8+$B$8*O8+$B$9*P8+$B$10*Q8+$B$11*R8</f>
        <v>4400000</v>
      </c>
      <c r="H8" s="20" t="s">
        <v>1</v>
      </c>
      <c r="I8" s="14">
        <f>I4</f>
        <v>5000</v>
      </c>
      <c r="J8" s="9">
        <f>IF(AND(I8-$F$7&lt;=$F$7*$B$14, I8-$F$7&gt;0),I8-$F$7,IF(I8-$F$7&gt;=$F$7*$B$14,$F$7*$B$14,0))</f>
        <v>0</v>
      </c>
      <c r="K8" s="9">
        <f>IF((J8+$F$7)&gt;=I8,0,IF((J8+$F$7+$B$15)&lt;=I8,$B$15,I8-(J8+$F$7)))</f>
        <v>0</v>
      </c>
      <c r="L8" s="4">
        <f>$F$7+J8+K8</f>
        <v>5400</v>
      </c>
      <c r="M8" s="12">
        <f>L8-I8</f>
        <v>400</v>
      </c>
      <c r="N8" s="9">
        <f>IF(M8&lt;0,0,IF(M8&gt;=$B$13,$B$13,M8))</f>
        <v>400</v>
      </c>
      <c r="O8" s="9">
        <f>IF(N8&lt;$B$13,0,M8-$B$13)</f>
        <v>0</v>
      </c>
      <c r="P8" s="9">
        <f>IF(M8&lt;0,-M8,0)</f>
        <v>0</v>
      </c>
      <c r="Q8" s="12">
        <f>$B$12-($F$7*6)</f>
        <v>10800</v>
      </c>
      <c r="R8" s="9">
        <f>IF(L8&lt;I8,L8,I8)</f>
        <v>5000</v>
      </c>
    </row>
    <row r="9" spans="2:18" ht="15.75" thickBot="1" x14ac:dyDescent="0.3">
      <c r="B9" s="10">
        <f>-4350</f>
        <v>-4350</v>
      </c>
      <c r="C9" s="17" t="s">
        <v>25</v>
      </c>
      <c r="E9" s="2"/>
      <c r="F9" s="2"/>
      <c r="G9" s="32">
        <f>$B$3*$F$7+$B$5*J9+$B$6*K9+$B$7*N9+$B$8*O9+$B$9*P9+$B$10*Q9+$B$11*R9</f>
        <v>19388500</v>
      </c>
      <c r="H9" s="20" t="s">
        <v>5</v>
      </c>
      <c r="I9" s="14">
        <f>I5</f>
        <v>7000</v>
      </c>
      <c r="J9" s="10">
        <f t="shared" ref="J9:J10" si="1">IF(AND(I9-$F$7&lt;=$F$7*$B$14, I9-$F$7&gt;0),I9-$F$7,IF(I9-$F$7&gt;=$F$7*$B$14,$F$7*$B$14,0))</f>
        <v>810</v>
      </c>
      <c r="K9" s="10">
        <f>IF((J9+$F$7)&gt;=I9,0,IF((J9+$F$7+$B$15)&lt;=I9,$B$15,I9-(J9+$F$7)))</f>
        <v>400</v>
      </c>
      <c r="L9" s="6">
        <f>$F$7+J9+K9</f>
        <v>6610</v>
      </c>
      <c r="M9" s="2">
        <f>L9-I9</f>
        <v>-390</v>
      </c>
      <c r="N9" s="10">
        <f>IF(M9&lt;0,0,IF(M9&gt;=$B$13,$B$13,M9))</f>
        <v>0</v>
      </c>
      <c r="O9" s="10">
        <f>IF(N9&lt;$B$13,0,M9-$B$13)</f>
        <v>0</v>
      </c>
      <c r="P9" s="10">
        <f>IF(M9&lt;0,-M9,0)</f>
        <v>390</v>
      </c>
      <c r="Q9" s="2">
        <f>$B$12-($F$7*6)</f>
        <v>10800</v>
      </c>
      <c r="R9" s="10">
        <f>IF(L9&lt;I9,L9,I9)</f>
        <v>6610</v>
      </c>
    </row>
    <row r="10" spans="2:18" ht="15.75" thickBot="1" x14ac:dyDescent="0.3">
      <c r="B10" s="10">
        <v>-1750</v>
      </c>
      <c r="C10" s="17" t="s">
        <v>26</v>
      </c>
      <c r="E10" s="2"/>
      <c r="F10" s="2"/>
      <c r="G10" s="32">
        <f>$B$3*$F$7+$B$5*J10+$B$6*K10+$B$7*N10+$B$8*O10+$B$9*P10+$B$10*Q10+$B$11*R10</f>
        <v>10688500</v>
      </c>
      <c r="H10" s="20" t="s">
        <v>6</v>
      </c>
      <c r="I10" s="14">
        <f>I6</f>
        <v>9000</v>
      </c>
      <c r="J10" s="11">
        <f t="shared" si="1"/>
        <v>810</v>
      </c>
      <c r="K10" s="11">
        <f>IF((J10+$F$7)&gt;=I10,0,IF((J10+$F$7+$B$15)&lt;=I10,$B$15,I10-(J10+$F$7)))</f>
        <v>400</v>
      </c>
      <c r="L10" s="8">
        <f>$F$7+J10+K10</f>
        <v>6610</v>
      </c>
      <c r="M10" s="13">
        <f>L10-I10</f>
        <v>-2390</v>
      </c>
      <c r="N10" s="11">
        <f>IF(M10&lt;0,0,IF(M10&gt;=$B$13,$B$13,M10))</f>
        <v>0</v>
      </c>
      <c r="O10" s="11">
        <f>IF(N10&lt;$B$13,0,M10-$B$13)</f>
        <v>0</v>
      </c>
      <c r="P10" s="11">
        <f>IF(M10&lt;0,-M10,0)</f>
        <v>2390</v>
      </c>
      <c r="Q10" s="13">
        <f>$B$12-($F$7*6)</f>
        <v>10800</v>
      </c>
      <c r="R10" s="11">
        <f>IF(L10&lt;I10,L10,I10)</f>
        <v>6610</v>
      </c>
    </row>
    <row r="11" spans="2:18" ht="15.75" thickBot="1" x14ac:dyDescent="0.3">
      <c r="B11" s="10">
        <f>-(B3*1.28)</f>
        <v>32000</v>
      </c>
      <c r="C11" s="17" t="s">
        <v>12</v>
      </c>
      <c r="E11" s="19" t="s">
        <v>14</v>
      </c>
      <c r="F11" s="15">
        <v>6300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ht="15.75" thickBot="1" x14ac:dyDescent="0.3">
      <c r="B12" s="10">
        <v>43200</v>
      </c>
      <c r="C12" s="34" t="s">
        <v>22</v>
      </c>
      <c r="E12" s="2"/>
      <c r="F12" s="2"/>
      <c r="G12" s="32">
        <f>$B$3*$F$11+$B$5*J12+$B$6*K12+$B$7*N12+$B$8*O12+$B$9*P12+$B$10*Q12+$B$11*R12</f>
        <v>-12600000</v>
      </c>
      <c r="H12" s="20" t="s">
        <v>1</v>
      </c>
      <c r="I12" s="14">
        <f>I8</f>
        <v>5000</v>
      </c>
      <c r="J12" s="9">
        <f>IF(AND(I12-$F$11&lt;=$F$11*$B$14, I12-$F$11&gt;0),I12-$F$11,IF(I12-$F$11&gt;=$F$11*$B$14,$F$11*$B$14,0))</f>
        <v>0</v>
      </c>
      <c r="K12" s="9">
        <f>IF((J12+$F$11)&gt;=I12,0,IF((J12+$F$11+$B$15)&lt;=I12,$B$15,I12-(J12+$F$11)))</f>
        <v>0</v>
      </c>
      <c r="L12" s="12">
        <f>$F$11+J12+K12</f>
        <v>6300</v>
      </c>
      <c r="M12" s="9">
        <f>L12-I12</f>
        <v>1300</v>
      </c>
      <c r="N12" s="9">
        <f>IF(M12&lt;0,0,IF(M12&gt;=$B$13,$B$13,M12))</f>
        <v>800</v>
      </c>
      <c r="O12" s="9">
        <f>IF(N12&lt;$B$13,0,M12-$B$13)</f>
        <v>500</v>
      </c>
      <c r="P12" s="12">
        <f>IF(M12&lt;0,-M12,0)</f>
        <v>0</v>
      </c>
      <c r="Q12" s="9">
        <f>$B$12-($F$11*6)</f>
        <v>5400</v>
      </c>
      <c r="R12" s="4">
        <f>IF(L12&lt;I12,L12,I12)</f>
        <v>5000</v>
      </c>
    </row>
    <row r="13" spans="2:18" ht="15.75" thickBot="1" x14ac:dyDescent="0.3">
      <c r="B13" s="10">
        <v>800</v>
      </c>
      <c r="C13" s="17" t="s">
        <v>27</v>
      </c>
      <c r="E13" s="2"/>
      <c r="F13" s="2"/>
      <c r="G13" s="32">
        <f>$B$3*$F$11+$B$5*J13+$B$6*K13+$B$7*N13+$B$8*O13+$B$9*P13+$B$10*Q13+$B$11*R13</f>
        <v>36400000</v>
      </c>
      <c r="H13" s="20" t="s">
        <v>5</v>
      </c>
      <c r="I13" s="14">
        <f>I9</f>
        <v>7000</v>
      </c>
      <c r="J13" s="10">
        <f t="shared" ref="J13:J14" si="2">IF(AND(I13-$F$11&lt;=$F$11*$B$14, I13-$F$11&gt;0),I13-$F$11,IF(I13-$F$11&gt;=$F$11*$B$14,$F$11*$B$14,0))</f>
        <v>700</v>
      </c>
      <c r="K13" s="10">
        <f>IF((J13+$F$11)&gt;=I13,0,IF((J13+$F$11+$B$15)&lt;=I13,$B$15,I13-(J13+$F$11)))</f>
        <v>0</v>
      </c>
      <c r="L13" s="2">
        <f>$F$11+J13+K13</f>
        <v>7000</v>
      </c>
      <c r="M13" s="10">
        <f>L13-I13</f>
        <v>0</v>
      </c>
      <c r="N13" s="10">
        <f>IF(M13&lt;0,0,IF(M13&gt;=$B$13,$B$13,M13))</f>
        <v>0</v>
      </c>
      <c r="O13" s="10">
        <f>IF(N13&lt;$B$13,0,M13-$B$13)</f>
        <v>0</v>
      </c>
      <c r="P13" s="2">
        <f>IF(M13&lt;0,-M13,0)</f>
        <v>0</v>
      </c>
      <c r="Q13" s="10">
        <f>$B$12-($F$11*6)</f>
        <v>5400</v>
      </c>
      <c r="R13" s="6">
        <f>IF(L13&lt;I13,L13,I13)</f>
        <v>7000</v>
      </c>
    </row>
    <row r="14" spans="2:18" ht="15.75" thickBot="1" x14ac:dyDescent="0.3">
      <c r="B14" s="10">
        <v>0.15</v>
      </c>
      <c r="C14" s="17" t="s">
        <v>28</v>
      </c>
      <c r="E14" s="2"/>
      <c r="F14" s="2"/>
      <c r="G14" s="32">
        <f>$B$3*$F$11+$B$5*J14+$B$6*K14+$B$7*N14+$B$8*O14+$B$9*P14+$B$10*Q14+$B$11*R14</f>
        <v>31278250</v>
      </c>
      <c r="H14" s="20" t="s">
        <v>6</v>
      </c>
      <c r="I14" s="14">
        <f>I10</f>
        <v>9000</v>
      </c>
      <c r="J14" s="11">
        <f t="shared" si="2"/>
        <v>945</v>
      </c>
      <c r="K14" s="11">
        <f>IF((J14+$F$11)&gt;=I14,0,IF((J14+$F$11+$B$15)&lt;=I14,$B$15,I14-(J14+$F$11)))</f>
        <v>400</v>
      </c>
      <c r="L14" s="13">
        <f>$F$11+J14+K14</f>
        <v>7645</v>
      </c>
      <c r="M14" s="11">
        <f>L14-I14</f>
        <v>-1355</v>
      </c>
      <c r="N14" s="11">
        <f>IF(M14&lt;0,0,IF(M14&gt;=$B$13,$B$13,M14))</f>
        <v>0</v>
      </c>
      <c r="O14" s="11">
        <f>IF(N14&lt;$B$13,0,M14-$B$13)</f>
        <v>0</v>
      </c>
      <c r="P14" s="13">
        <f>IF(M14&lt;0,-M14,0)</f>
        <v>1355</v>
      </c>
      <c r="Q14" s="11">
        <f>$B$12-($F$11*6)</f>
        <v>5400</v>
      </c>
      <c r="R14" s="8">
        <f>IF(L14&lt;I14,L14,I14)</f>
        <v>7645</v>
      </c>
    </row>
    <row r="15" spans="2:18" ht="15.75" thickBot="1" x14ac:dyDescent="0.3">
      <c r="B15" s="11">
        <v>400</v>
      </c>
      <c r="C15" s="18" t="s">
        <v>29</v>
      </c>
      <c r="E15" s="19" t="s">
        <v>15</v>
      </c>
      <c r="F15" s="15">
        <v>7200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ht="15.75" thickBot="1" x14ac:dyDescent="0.3">
      <c r="E16" s="2"/>
      <c r="F16" s="2"/>
      <c r="G16" s="32">
        <f>$B$3*$F$15+$B$5*J16+$B$6*K16+$B$7*N16+$B$8*O16+$B$9*P16+$B$10*Q16+$B$11*R16</f>
        <v>-29700000</v>
      </c>
      <c r="H16" s="20" t="s">
        <v>1</v>
      </c>
      <c r="I16" s="14">
        <f>I12</f>
        <v>5000</v>
      </c>
      <c r="J16" s="9">
        <f>IF(AND(I16-$F$15&lt;=$F$15*$B$14, I16-$F$15&gt;0),I16-$F$15,IF(I16-$F$15&gt;=$F$15*$B$14,$F$15*$B$14,0))</f>
        <v>0</v>
      </c>
      <c r="K16" s="9">
        <f>IF((J16+$F$15)&gt;=I16,0,IF((J16+$F$15+$B$15)&lt;=I16,$B$15,I16-(J16+$F$15)))</f>
        <v>0</v>
      </c>
      <c r="L16" s="12">
        <f>$F$15+J16+K16</f>
        <v>7200</v>
      </c>
      <c r="M16" s="9">
        <f>L16-I16</f>
        <v>2200</v>
      </c>
      <c r="N16" s="9">
        <f>IF(M16&lt;0,0,IF(M16&gt;=$B$13,$B$13,M16))</f>
        <v>800</v>
      </c>
      <c r="O16" s="9">
        <f>IF(N16&lt;$B$13,0,M16-$B$13)</f>
        <v>1400</v>
      </c>
      <c r="P16" s="12">
        <f>IF(M16&lt;0,-M16,0)</f>
        <v>0</v>
      </c>
      <c r="Q16" s="9">
        <f>$B$12-($F$15*6)</f>
        <v>0</v>
      </c>
      <c r="R16" s="4">
        <f>IF(L16&lt;I16,L16,I16)</f>
        <v>5000</v>
      </c>
    </row>
    <row r="17" spans="5:18" ht="15.75" thickBot="1" x14ac:dyDescent="0.3">
      <c r="E17" s="2"/>
      <c r="F17" s="2"/>
      <c r="G17" s="32">
        <f>$B$3*$F$15+$B$5*J17+$B$6*K17+$B$7*N17+$B$8*O17+$B$9*P17+$B$10*Q17+$B$11*R17</f>
        <v>43150000</v>
      </c>
      <c r="H17" s="20" t="s">
        <v>5</v>
      </c>
      <c r="I17" s="14">
        <f>I13</f>
        <v>7000</v>
      </c>
      <c r="J17" s="10">
        <f t="shared" ref="J17:J18" si="3">IF(AND(I17-$F$15&lt;=$F$15*$B$14, I17-$F$15&gt;0),I17-$F$15,IF(I17-$F$15&gt;=$F$15*$B$14,$F$15*$B$14,0))</f>
        <v>0</v>
      </c>
      <c r="K17" s="10">
        <f>IF((J17+$F$15)&gt;=I17,0,IF((J17+$F$15+$B$15)&lt;=I17,$B$15,I17-(J17+$F$15)))</f>
        <v>0</v>
      </c>
      <c r="L17" s="2">
        <f>$F$15+J17+K17</f>
        <v>7200</v>
      </c>
      <c r="M17" s="10">
        <f>L17-I17</f>
        <v>200</v>
      </c>
      <c r="N17" s="10">
        <f>IF(M17&lt;0,0,IF(M17&gt;=$B$13,$B$13,M17))</f>
        <v>200</v>
      </c>
      <c r="O17" s="10">
        <f>IF(N17&lt;$B$13,0,M17-$B$13)</f>
        <v>0</v>
      </c>
      <c r="P17" s="2">
        <f>IF(M17&lt;0,-M17,0)</f>
        <v>0</v>
      </c>
      <c r="Q17" s="10">
        <f>$B$12-($F$15*6)</f>
        <v>0</v>
      </c>
      <c r="R17" s="6">
        <f>IF(L17&lt;I17,L17,I17)</f>
        <v>7000</v>
      </c>
    </row>
    <row r="18" spans="5:18" ht="15.75" thickBot="1" x14ac:dyDescent="0.3">
      <c r="E18" s="2"/>
      <c r="F18" s="2"/>
      <c r="G18" s="32">
        <f>$B$3*$F$15+$B$5*J18+$B$6*K18+$B$7*N18+$B$8*O18+$B$9*P18+$B$10*Q18+$B$11*R18</f>
        <v>51868000</v>
      </c>
      <c r="H18" s="20" t="s">
        <v>6</v>
      </c>
      <c r="I18" s="14">
        <f>I14</f>
        <v>9000</v>
      </c>
      <c r="J18" s="11">
        <f t="shared" si="3"/>
        <v>1080</v>
      </c>
      <c r="K18" s="11">
        <f>IF((J18+$F$15)&gt;=I18,0,IF((J18+$F$15+$B$15)&lt;=I18,$B$15,I18-(J18+$F$15)))</f>
        <v>400</v>
      </c>
      <c r="L18" s="13">
        <f>$F$15+J18+K18</f>
        <v>8680</v>
      </c>
      <c r="M18" s="11">
        <f>L18-I18</f>
        <v>-320</v>
      </c>
      <c r="N18" s="11">
        <f>IF(M18&lt;0,0,IF(M18&gt;=$B$13,$B$13,M18))</f>
        <v>0</v>
      </c>
      <c r="O18" s="11">
        <f>IF(N18&lt;$B$13,0,M18-$B$13)</f>
        <v>0</v>
      </c>
      <c r="P18" s="13">
        <f>IF(M18&lt;0,-M18,0)</f>
        <v>320</v>
      </c>
      <c r="Q18" s="11">
        <f>$B$12-($F$15*6)</f>
        <v>0</v>
      </c>
      <c r="R18" s="8">
        <f>IF(L18&lt;I18,L18,I18)</f>
        <v>8680</v>
      </c>
    </row>
    <row r="19" spans="5:18" ht="15.75" thickBot="1" x14ac:dyDescent="0.3"/>
    <row r="20" spans="5:18" ht="15.75" thickBot="1" x14ac:dyDescent="0.3">
      <c r="E20" s="8"/>
      <c r="F20" s="35" t="s">
        <v>17</v>
      </c>
      <c r="G20" s="36"/>
      <c r="H20" s="37"/>
    </row>
    <row r="21" spans="5:18" ht="15.75" thickBot="1" x14ac:dyDescent="0.3">
      <c r="E21" s="27" t="s">
        <v>16</v>
      </c>
      <c r="F21" s="24">
        <v>5000</v>
      </c>
      <c r="G21" s="25">
        <v>8000</v>
      </c>
      <c r="H21" s="26">
        <v>11000</v>
      </c>
    </row>
    <row r="22" spans="5:18" ht="15.75" thickBot="1" x14ac:dyDescent="0.3">
      <c r="E22" s="28" t="s">
        <v>18</v>
      </c>
      <c r="F22" s="32">
        <f>$G$4</f>
        <v>4400000</v>
      </c>
      <c r="G22" s="32">
        <f>G5</f>
        <v>-1201250</v>
      </c>
      <c r="H22" s="32">
        <f>G6</f>
        <v>-9901250</v>
      </c>
    </row>
    <row r="23" spans="5:18" ht="15.75" thickBot="1" x14ac:dyDescent="0.3">
      <c r="E23" s="29" t="s">
        <v>19</v>
      </c>
      <c r="F23" s="32">
        <f>G8</f>
        <v>4400000</v>
      </c>
      <c r="G23" s="32">
        <f>G9</f>
        <v>19388500</v>
      </c>
      <c r="H23" s="32">
        <f>G10</f>
        <v>10688500</v>
      </c>
    </row>
    <row r="24" spans="5:18" ht="15.75" thickBot="1" x14ac:dyDescent="0.3">
      <c r="E24" s="29" t="s">
        <v>20</v>
      </c>
      <c r="F24" s="32">
        <f>G12</f>
        <v>-12600000</v>
      </c>
      <c r="G24" s="32">
        <f>G13</f>
        <v>36400000</v>
      </c>
      <c r="H24" s="32">
        <f>G14</f>
        <v>31278250</v>
      </c>
    </row>
    <row r="25" spans="5:18" ht="15.75" thickBot="1" x14ac:dyDescent="0.3">
      <c r="E25" s="30" t="s">
        <v>21</v>
      </c>
      <c r="F25" s="32">
        <f>G16</f>
        <v>-29700000</v>
      </c>
      <c r="G25" s="32">
        <f>G17</f>
        <v>43150000</v>
      </c>
      <c r="H25" s="32">
        <f>G18</f>
        <v>51868000</v>
      </c>
    </row>
    <row r="26" spans="5:18" x14ac:dyDescent="0.25">
      <c r="E26" s="2"/>
      <c r="F26" s="2"/>
      <c r="G26" s="2"/>
      <c r="H26" s="2"/>
    </row>
    <row r="28" spans="5:18" x14ac:dyDescent="0.25">
      <c r="K28" s="2"/>
    </row>
  </sheetData>
  <mergeCells count="1">
    <mergeCell ref="F20:H20"/>
  </mergeCells>
  <conditionalFormatting sqref="G4:G6 F22:H25">
    <cfRule type="cellIs" dxfId="7" priority="4" operator="lessThan">
      <formula>0</formula>
    </cfRule>
  </conditionalFormatting>
  <conditionalFormatting sqref="G8:G10">
    <cfRule type="cellIs" dxfId="6" priority="3" operator="lessThan">
      <formula>0</formula>
    </cfRule>
  </conditionalFormatting>
  <conditionalFormatting sqref="G12:G14">
    <cfRule type="cellIs" dxfId="5" priority="2" operator="lessThan">
      <formula>0</formula>
    </cfRule>
  </conditionalFormatting>
  <conditionalFormatting sqref="G16:G18">
    <cfRule type="cellIs" dxfId="4" priority="1" operator="lessThan">
      <formula>0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30DF-0B35-491E-9E31-FF215D7CC190}">
  <dimension ref="B2:R28"/>
  <sheetViews>
    <sheetView workbookViewId="0">
      <selection activeCell="C22" sqref="C22"/>
    </sheetView>
  </sheetViews>
  <sheetFormatPr baseColWidth="10" defaultColWidth="11.5703125" defaultRowHeight="15" x14ac:dyDescent="0.25"/>
  <cols>
    <col min="3" max="3" width="23" bestFit="1" customWidth="1"/>
    <col min="7" max="7" width="11.85546875" bestFit="1" customWidth="1"/>
    <col min="9" max="9" width="11.85546875" bestFit="1" customWidth="1"/>
    <col min="10" max="10" width="16.5703125" customWidth="1"/>
    <col min="13" max="13" width="14" customWidth="1"/>
  </cols>
  <sheetData>
    <row r="2" spans="2:18" ht="15.75" thickBot="1" x14ac:dyDescent="0.3"/>
    <row r="3" spans="2:18" ht="15.75" thickBot="1" x14ac:dyDescent="0.3">
      <c r="B3" s="9">
        <v>-6400</v>
      </c>
      <c r="C3" s="16" t="s">
        <v>30</v>
      </c>
      <c r="E3" s="19" t="s">
        <v>0</v>
      </c>
      <c r="F3" s="15">
        <v>9000</v>
      </c>
      <c r="G3" s="2"/>
      <c r="H3" s="2"/>
      <c r="I3" s="2"/>
      <c r="J3" s="21" t="s">
        <v>2</v>
      </c>
      <c r="K3" s="31" t="s">
        <v>3</v>
      </c>
      <c r="L3" s="23" t="s">
        <v>4</v>
      </c>
      <c r="M3" s="22" t="s">
        <v>7</v>
      </c>
      <c r="N3" s="31" t="s">
        <v>8</v>
      </c>
      <c r="O3" s="31" t="s">
        <v>9</v>
      </c>
      <c r="P3" s="31" t="s">
        <v>10</v>
      </c>
      <c r="Q3" s="31" t="s">
        <v>11</v>
      </c>
      <c r="R3" s="31" t="s">
        <v>12</v>
      </c>
    </row>
    <row r="4" spans="2:18" ht="15.75" thickBot="1" x14ac:dyDescent="0.3">
      <c r="B4" s="10">
        <v>0.2</v>
      </c>
      <c r="C4" s="17" t="s">
        <v>31</v>
      </c>
      <c r="E4" s="2"/>
      <c r="F4" s="2"/>
      <c r="G4" s="32">
        <f>$B$3*$F$3+$B$5*J4+$B$6*K4+$B$7*N4+$B$8*O4+$B$9*P4+$B$10*Q4+$B$11*R4</f>
        <v>-4112000</v>
      </c>
      <c r="H4" s="20" t="s">
        <v>1</v>
      </c>
      <c r="I4" s="14">
        <v>10000</v>
      </c>
      <c r="J4" s="10">
        <f>IF(AND(I4-$F$3&lt;=$F$3*$B$14, I4-$F$3&gt;0),I4-$F$3,IF(I4-$F$3&gt;=$F$3*$B$14,$F$3*$B$14,0))</f>
        <v>900</v>
      </c>
      <c r="K4" s="10">
        <f>IF((J4+$F$3)&gt;=I4,0,IF((J4+$F$3+$B$15)&lt;=I4,$B$15,I4-(J4+$F$3)))</f>
        <v>100</v>
      </c>
      <c r="L4" s="4">
        <f>$F$3+J4+K4</f>
        <v>10000</v>
      </c>
      <c r="M4" s="12">
        <f>L4-I4</f>
        <v>0</v>
      </c>
      <c r="N4" s="10">
        <f>IF(M4&lt;0,0,IF(M4&gt;=$B$13,$B$13,M4))</f>
        <v>0</v>
      </c>
      <c r="O4" s="10">
        <f>IF(N4&lt;$B$13,0,M4-$B$13)</f>
        <v>0</v>
      </c>
      <c r="P4" s="9">
        <f>IF(M4&lt;0,-M4,0)</f>
        <v>0</v>
      </c>
      <c r="Q4" s="10">
        <f>$B$12-($F$3*$B$16)</f>
        <v>63000</v>
      </c>
      <c r="R4" s="9">
        <f>IF(L4&lt;I4,L4,I4)</f>
        <v>10000</v>
      </c>
    </row>
    <row r="5" spans="2:18" ht="15.75" thickBot="1" x14ac:dyDescent="0.3">
      <c r="B5" s="10">
        <f>B3*(1+B4)</f>
        <v>-7680</v>
      </c>
      <c r="C5" s="17" t="s">
        <v>23</v>
      </c>
      <c r="E5" s="2"/>
      <c r="F5" s="2"/>
      <c r="G5" s="32">
        <f>$B$3*$F$3+$B$5*J5+$B$6*K5+$B$7*N5+$B$8*O5+$B$9*P5+$B$10*Q5+$B$11*R5</f>
        <v>-8916000</v>
      </c>
      <c r="H5" s="20" t="s">
        <v>5</v>
      </c>
      <c r="I5" s="14">
        <v>15000</v>
      </c>
      <c r="J5" s="10">
        <f t="shared" ref="J5:J6" si="0">IF(AND(I5-$F$3&lt;=$F$3*$B$14, I5-$F$3&gt;0),I5-$F$3,IF(I5-$F$3&gt;=$F$3*$B$14,$F$3*$B$14,0))</f>
        <v>900</v>
      </c>
      <c r="K5" s="10">
        <f>IF((J5+$F$3)&gt;=I5,0,IF((J5+$F$3+$B$15)&lt;=I5,$B$15,I5-(J5+$F$3)))</f>
        <v>750</v>
      </c>
      <c r="L5" s="6">
        <f>$F$3+J5+K5</f>
        <v>10650</v>
      </c>
      <c r="M5" s="2">
        <f>L5-I5</f>
        <v>-4350</v>
      </c>
      <c r="N5" s="10">
        <f>IF(M5&lt;0,0,IF(M5&gt;=$B$13,$B$13,M5))</f>
        <v>0</v>
      </c>
      <c r="O5" s="10">
        <f>IF(N5&lt;$B$13,0,M5-$B$13)</f>
        <v>0</v>
      </c>
      <c r="P5" s="10">
        <f>IF(M5&lt;0,-M5,0)</f>
        <v>4350</v>
      </c>
      <c r="Q5" s="10">
        <f t="shared" ref="Q5:Q6" si="1">$B$12-($F$3*$B$16)</f>
        <v>63000</v>
      </c>
      <c r="R5" s="10">
        <f>IF(L5&lt;I5,L5,I5)</f>
        <v>10650</v>
      </c>
    </row>
    <row r="6" spans="2:18" ht="15.75" thickBot="1" x14ac:dyDescent="0.3">
      <c r="B6" s="10">
        <v>-8000</v>
      </c>
      <c r="C6" s="17" t="s">
        <v>3</v>
      </c>
      <c r="E6" s="2"/>
      <c r="F6" s="2"/>
      <c r="G6" s="32">
        <f>$B$3*$F$3+$B$5*J6+$B$6*K6+$B$7*N6+$B$8*O6+$B$9*P6+$B$10*Q6+$B$11*R6</f>
        <v>-14916000</v>
      </c>
      <c r="H6" s="20" t="s">
        <v>6</v>
      </c>
      <c r="I6" s="14">
        <v>20000</v>
      </c>
      <c r="J6" s="11">
        <f t="shared" si="0"/>
        <v>900</v>
      </c>
      <c r="K6" s="11">
        <f>IF((J6+$F$3)&gt;=I6,0,IF((J6+$F$3+$B$15)&lt;=I6,$B$15,I6-(J6+$F$3)))</f>
        <v>750</v>
      </c>
      <c r="L6" s="8">
        <f>$F$3+J6+K6</f>
        <v>10650</v>
      </c>
      <c r="M6" s="13">
        <f>L6-I6</f>
        <v>-9350</v>
      </c>
      <c r="N6" s="11">
        <f>IF(M6&lt;0,0,IF(M6&gt;=$B$13,$B$13,M6))</f>
        <v>0</v>
      </c>
      <c r="O6" s="11">
        <f>IF(N6&lt;$B$13,0,M6-$B$13)</f>
        <v>0</v>
      </c>
      <c r="P6" s="11">
        <f>IF(M6&lt;0,-M6,0)</f>
        <v>9350</v>
      </c>
      <c r="Q6" s="11">
        <f t="shared" si="1"/>
        <v>63000</v>
      </c>
      <c r="R6" s="11">
        <f>IF(L6&lt;I6,L6,I6)</f>
        <v>10650</v>
      </c>
    </row>
    <row r="7" spans="2:18" ht="15.75" thickBot="1" x14ac:dyDescent="0.3">
      <c r="B7" s="10">
        <v>-960</v>
      </c>
      <c r="C7" s="17" t="s">
        <v>24</v>
      </c>
      <c r="E7" s="19" t="s">
        <v>13</v>
      </c>
      <c r="F7" s="15">
        <v>12000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15.75" thickBot="1" x14ac:dyDescent="0.3">
      <c r="B8" s="10">
        <v>-1100</v>
      </c>
      <c r="C8" s="17" t="s">
        <v>9</v>
      </c>
      <c r="E8" s="2"/>
      <c r="F8" s="2"/>
      <c r="G8" s="32">
        <f>$B$3*$F$7+$B$5*J8+$B$6*K8+$B$7*N8+$B$8*O8+$B$9*P8+$B$10*Q8+$B$11*R8</f>
        <v>-9267000</v>
      </c>
      <c r="H8" s="20" t="s">
        <v>1</v>
      </c>
      <c r="I8" s="14">
        <f>I4</f>
        <v>10000</v>
      </c>
      <c r="J8" s="9">
        <f>IF(AND(I8-$F$7&lt;=$F$7*$B$14, I8-$F$7&gt;0),I8-$F$7,IF(I8-$F$7&gt;=$F$7*$B$14,$F$7*$B$14,0))</f>
        <v>0</v>
      </c>
      <c r="K8" s="9">
        <f>IF((J8+$F$7)&gt;=I8,0,IF((J8+$F$7+$B$15)&lt;=I8,$B$15,I8-(J8+$F$7)))</f>
        <v>0</v>
      </c>
      <c r="L8" s="4">
        <f>$F$7+J8+K8</f>
        <v>12000</v>
      </c>
      <c r="M8" s="12">
        <f>L8-I8</f>
        <v>2000</v>
      </c>
      <c r="N8" s="9">
        <f>IF(M8&lt;0,0,IF(M8&gt;=$B$13,$B$13,M8))</f>
        <v>950</v>
      </c>
      <c r="O8" s="9">
        <f>IF(N8&lt;$B$13,0,M8-$B$13)</f>
        <v>1050</v>
      </c>
      <c r="P8" s="9">
        <f>IF(M8&lt;0,-M8,0)</f>
        <v>0</v>
      </c>
      <c r="Q8" s="9">
        <f>$B$12-($F$7*$B$16)</f>
        <v>42000</v>
      </c>
      <c r="R8" s="9">
        <f>IF(L8&lt;I8,L8,I8)</f>
        <v>10000</v>
      </c>
    </row>
    <row r="9" spans="2:18" ht="15.75" thickBot="1" x14ac:dyDescent="0.3">
      <c r="B9" s="10">
        <v>-1200</v>
      </c>
      <c r="C9" s="17" t="s">
        <v>25</v>
      </c>
      <c r="E9" s="2"/>
      <c r="F9" s="2"/>
      <c r="G9" s="32">
        <f>$B$3*$F$7+$B$5*J9+$B$6*K9+$B$7*N9+$B$8*O9+$B$9*P9+$B$10*Q9+$B$11*R9</f>
        <v>10452000</v>
      </c>
      <c r="H9" s="20" t="s">
        <v>5</v>
      </c>
      <c r="I9" s="14">
        <f>I5</f>
        <v>15000</v>
      </c>
      <c r="J9" s="10">
        <f t="shared" ref="J9:J10" si="2">IF(AND(I9-$F$7&lt;=$F$7*$B$14, I9-$F$7&gt;0),I9-$F$7,IF(I9-$F$7&gt;=$F$7*$B$14,$F$7*$B$14,0))</f>
        <v>1200</v>
      </c>
      <c r="K9" s="10">
        <f>IF((J9+$F$7)&gt;=I9,0,IF((J9+$F$7+$B$15)&lt;=I9,$B$15,I9-(J9+$F$7)))</f>
        <v>750</v>
      </c>
      <c r="L9" s="6">
        <f>$F$7+J9+K9</f>
        <v>13950</v>
      </c>
      <c r="M9" s="2">
        <f>L9-I9</f>
        <v>-1050</v>
      </c>
      <c r="N9" s="10">
        <f>IF(M9&lt;0,0,IF(M9&gt;=$B$13,$B$13,M9))</f>
        <v>0</v>
      </c>
      <c r="O9" s="10">
        <f>IF(N9&lt;$B$13,0,M9-$B$13)</f>
        <v>0</v>
      </c>
      <c r="P9" s="10">
        <f>IF(M9&lt;0,-M9,0)</f>
        <v>1050</v>
      </c>
      <c r="Q9" s="10">
        <f t="shared" ref="Q9:Q10" si="3">$B$12-($F$7*$B$16)</f>
        <v>42000</v>
      </c>
      <c r="R9" s="10">
        <f>IF(L9&lt;I9,L9,I9)</f>
        <v>13950</v>
      </c>
    </row>
    <row r="10" spans="2:18" ht="15.75" thickBot="1" x14ac:dyDescent="0.3">
      <c r="B10" s="10">
        <v>-400</v>
      </c>
      <c r="C10" s="17" t="s">
        <v>26</v>
      </c>
      <c r="E10" s="2"/>
      <c r="F10" s="2"/>
      <c r="G10" s="32">
        <f>$B$3*$F$7+$B$5*J10+$B$6*K10+$B$7*N10+$B$8*O10+$B$9*P10+$B$10*Q10+$B$11*R10</f>
        <v>4452000</v>
      </c>
      <c r="H10" s="20" t="s">
        <v>6</v>
      </c>
      <c r="I10" s="14">
        <f>I6</f>
        <v>20000</v>
      </c>
      <c r="J10" s="11">
        <f t="shared" si="2"/>
        <v>1200</v>
      </c>
      <c r="K10" s="11">
        <f>IF((J10+$F$7)&gt;=I10,0,IF((J10+$F$7+$B$15)&lt;=I10,$B$15,I10-(J10+$F$7)))</f>
        <v>750</v>
      </c>
      <c r="L10" s="8">
        <f>$F$7+J10+K10</f>
        <v>13950</v>
      </c>
      <c r="M10" s="13">
        <f>L10-I10</f>
        <v>-6050</v>
      </c>
      <c r="N10" s="11">
        <f>IF(M10&lt;0,0,IF(M10&gt;=$B$13,$B$13,M10))</f>
        <v>0</v>
      </c>
      <c r="O10" s="11">
        <f>IF(N10&lt;$B$13,0,M10-$B$13)</f>
        <v>0</v>
      </c>
      <c r="P10" s="11">
        <f>IF(M10&lt;0,-M10,0)</f>
        <v>6050</v>
      </c>
      <c r="Q10" s="11">
        <f t="shared" si="3"/>
        <v>42000</v>
      </c>
      <c r="R10" s="11">
        <f>IF(L10&lt;I10,L10,I10)</f>
        <v>13950</v>
      </c>
    </row>
    <row r="11" spans="2:18" ht="15.75" thickBot="1" x14ac:dyDescent="0.3">
      <c r="B11" s="10">
        <v>8640</v>
      </c>
      <c r="C11" s="17" t="s">
        <v>12</v>
      </c>
      <c r="E11" s="19" t="s">
        <v>14</v>
      </c>
      <c r="F11" s="15">
        <v>15000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ht="15.75" thickBot="1" x14ac:dyDescent="0.3">
      <c r="B12" s="10">
        <v>126000</v>
      </c>
      <c r="C12" s="34" t="s">
        <v>22</v>
      </c>
      <c r="E12" s="2"/>
      <c r="F12" s="2"/>
      <c r="G12" s="32">
        <f>$B$3*$F$11+$B$5*J12+$B$6*K12+$B$7*N12+$B$8*O12+$B$9*P12+$B$10*Q12+$B$11*R12</f>
        <v>-23367000</v>
      </c>
      <c r="H12" s="20" t="s">
        <v>1</v>
      </c>
      <c r="I12" s="14">
        <f>I8</f>
        <v>10000</v>
      </c>
      <c r="J12" s="9">
        <f>IF(AND(I12-$F$11&lt;=$F$11*$B$14, I12-$F$11&gt;0),I12-$F$11,IF(I12-$F$11&gt;=$F$11*$B$14,$F$11*$B$14,0))</f>
        <v>0</v>
      </c>
      <c r="K12" s="9">
        <f>IF((J12+$F$11)&gt;=I12,0,IF((J12+$F$11+$B$15)&lt;=I12,$B$15,I12-(J12+$F$11)))</f>
        <v>0</v>
      </c>
      <c r="L12" s="12">
        <f>$F$11+J12+K12</f>
        <v>15000</v>
      </c>
      <c r="M12" s="9">
        <f>L12-I12</f>
        <v>5000</v>
      </c>
      <c r="N12" s="9">
        <f>IF(M12&lt;0,0,IF(M12&gt;=$B$13,$B$13,M12))</f>
        <v>950</v>
      </c>
      <c r="O12" s="9">
        <f>IF(N12&lt;$B$13,0,M12-$B$13)</f>
        <v>4050</v>
      </c>
      <c r="P12" s="12">
        <f>IF(M12&lt;0,-M12,0)</f>
        <v>0</v>
      </c>
      <c r="Q12" s="9">
        <f>$B$12-($F$11*$B$16)</f>
        <v>21000</v>
      </c>
      <c r="R12" s="4">
        <f>IF(L12&lt;I12,L12,I12)</f>
        <v>10000</v>
      </c>
    </row>
    <row r="13" spans="2:18" ht="15.75" thickBot="1" x14ac:dyDescent="0.3">
      <c r="B13" s="10">
        <v>950</v>
      </c>
      <c r="C13" s="17" t="s">
        <v>27</v>
      </c>
      <c r="E13" s="2"/>
      <c r="F13" s="2"/>
      <c r="G13" s="32">
        <f>$B$3*$F$11+$B$5*J13+$B$6*K13+$B$7*N13+$B$8*O13+$B$9*P13+$B$10*Q13+$B$11*R13</f>
        <v>25200000</v>
      </c>
      <c r="H13" s="20" t="s">
        <v>5</v>
      </c>
      <c r="I13" s="14">
        <f>I9</f>
        <v>15000</v>
      </c>
      <c r="J13" s="10">
        <f t="shared" ref="J13:J14" si="4">IF(AND(I13-$F$11&lt;=$F$11*$B$14, I13-$F$11&gt;0),I13-$F$11,IF(I13-$F$11&gt;=$F$11*$B$14,$F$11*$B$14,0))</f>
        <v>0</v>
      </c>
      <c r="K13" s="10">
        <f>IF((J13+$F$11)&gt;=I13,0,IF((J13+$F$11+$B$15)&lt;=I13,$B$15,I13-(J13+$F$11)))</f>
        <v>0</v>
      </c>
      <c r="L13" s="2">
        <f>$F$11+J13+K13</f>
        <v>15000</v>
      </c>
      <c r="M13" s="10">
        <f>L13-I13</f>
        <v>0</v>
      </c>
      <c r="N13" s="10">
        <f>IF(M13&lt;0,0,IF(M13&gt;=$B$13,$B$13,M13))</f>
        <v>0</v>
      </c>
      <c r="O13" s="10">
        <f>IF(N13&lt;$B$13,0,M13-$B$13)</f>
        <v>0</v>
      </c>
      <c r="P13" s="2">
        <f>IF(M13&lt;0,-M13,0)</f>
        <v>0</v>
      </c>
      <c r="Q13" s="10">
        <f t="shared" ref="Q13:Q14" si="5">$B$12-($F$11*$B$16)</f>
        <v>21000</v>
      </c>
      <c r="R13" s="6">
        <f>IF(L13&lt;I13,L13,I13)</f>
        <v>15000</v>
      </c>
    </row>
    <row r="14" spans="2:18" ht="15.75" thickBot="1" x14ac:dyDescent="0.3">
      <c r="B14" s="10">
        <v>0.1</v>
      </c>
      <c r="C14" s="17" t="s">
        <v>28</v>
      </c>
      <c r="E14" s="2"/>
      <c r="F14" s="2"/>
      <c r="G14" s="32">
        <f>$B$3*$F$11+$B$5*J14+$B$6*K14+$B$7*N14+$B$8*O14+$B$9*P14+$B$10*Q14+$B$11*R14</f>
        <v>23820000</v>
      </c>
      <c r="H14" s="20" t="s">
        <v>6</v>
      </c>
      <c r="I14" s="14">
        <f>I10</f>
        <v>20000</v>
      </c>
      <c r="J14" s="11">
        <f t="shared" si="4"/>
        <v>1500</v>
      </c>
      <c r="K14" s="11">
        <f>IF((J14+$F$11)&gt;=I14,0,IF((J14+$F$11+$B$15)&lt;=I14,$B$15,I14-(J14+$F$11)))</f>
        <v>750</v>
      </c>
      <c r="L14" s="13">
        <f>$F$11+J14+K14</f>
        <v>17250</v>
      </c>
      <c r="M14" s="11">
        <f>L14-I14</f>
        <v>-2750</v>
      </c>
      <c r="N14" s="11">
        <f>IF(M14&lt;0,0,IF(M14&gt;=$B$13,$B$13,M14))</f>
        <v>0</v>
      </c>
      <c r="O14" s="11">
        <f>IF(N14&lt;$B$13,0,M14-$B$13)</f>
        <v>0</v>
      </c>
      <c r="P14" s="13">
        <f>IF(M14&lt;0,-M14,0)</f>
        <v>2750</v>
      </c>
      <c r="Q14" s="11">
        <f t="shared" si="5"/>
        <v>21000</v>
      </c>
      <c r="R14" s="8">
        <f>IF(L14&lt;I14,L14,I14)</f>
        <v>17250</v>
      </c>
    </row>
    <row r="15" spans="2:18" ht="15.75" thickBot="1" x14ac:dyDescent="0.3">
      <c r="B15" s="10">
        <v>750</v>
      </c>
      <c r="C15" s="34" t="s">
        <v>29</v>
      </c>
      <c r="E15" s="19" t="s">
        <v>15</v>
      </c>
      <c r="F15" s="15">
        <v>18000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ht="15.75" thickBot="1" x14ac:dyDescent="0.3">
      <c r="B16" s="11">
        <v>7</v>
      </c>
      <c r="C16" s="18" t="s">
        <v>32</v>
      </c>
      <c r="E16" s="2"/>
      <c r="F16" s="2"/>
      <c r="G16" s="32">
        <f>$B$3*$F$15+$B$5*J16+$B$6*K16+$B$7*N16+$B$8*O16+$B$9*P16+$B$10*Q16+$B$11*R16</f>
        <v>-37467000</v>
      </c>
      <c r="H16" s="20" t="s">
        <v>1</v>
      </c>
      <c r="I16" s="14">
        <f>I12</f>
        <v>10000</v>
      </c>
      <c r="J16" s="9">
        <f>IF(AND(I16-$F$15&lt;=$F$15*$B$14, I16-$F$15&gt;0),I16-$F$15,IF(I16-$F$15&gt;=$F$15*$B$14,$F$15*$B$14,0))</f>
        <v>0</v>
      </c>
      <c r="K16" s="9">
        <f>IF((J16+$F$15)&gt;=I16,0,IF((J16+$F$15+$B$15)&lt;=I16,$B$15,I16-(J16+$F$15)))</f>
        <v>0</v>
      </c>
      <c r="L16" s="12">
        <f>$F$15+J16+K16</f>
        <v>18000</v>
      </c>
      <c r="M16" s="9">
        <f>L16-I16</f>
        <v>8000</v>
      </c>
      <c r="N16" s="9">
        <f>IF(M16&lt;0,0,IF(M16&gt;=$B$13,$B$13,M16))</f>
        <v>950</v>
      </c>
      <c r="O16" s="9">
        <f>IF(N16&lt;$B$13,0,M16-$B$13)</f>
        <v>7050</v>
      </c>
      <c r="P16" s="12">
        <f>IF(M16&lt;0,-M16,0)</f>
        <v>0</v>
      </c>
      <c r="Q16" s="9">
        <f>$B$12-($F$15*$B$16)</f>
        <v>0</v>
      </c>
      <c r="R16" s="4">
        <f>IF(L16&lt;I16,L16,I16)</f>
        <v>10000</v>
      </c>
    </row>
    <row r="17" spans="5:18" ht="15.75" thickBot="1" x14ac:dyDescent="0.3">
      <c r="E17" s="2"/>
      <c r="F17" s="2"/>
      <c r="G17" s="32">
        <f>$B$3*$F$15+$B$5*J17+$B$6*K17+$B$7*N17+$B$8*O17+$B$9*P17+$B$10*Q17+$B$11*R17</f>
        <v>11233000</v>
      </c>
      <c r="H17" s="20" t="s">
        <v>5</v>
      </c>
      <c r="I17" s="14">
        <f>I13</f>
        <v>15000</v>
      </c>
      <c r="J17" s="10">
        <f t="shared" ref="J17:J18" si="6">IF(AND(I17-$F$15&lt;=$F$15*$B$14, I17-$F$15&gt;0),I17-$F$15,IF(I17-$F$15&gt;=$F$15*$B$14,$F$15*$B$14,0))</f>
        <v>0</v>
      </c>
      <c r="K17" s="10">
        <f>IF((J17+$F$15)&gt;=I17,0,IF((J17+$F$15+$B$15)&lt;=I17,$B$15,I17-(J17+$F$15)))</f>
        <v>0</v>
      </c>
      <c r="L17" s="2">
        <f>$F$15+J17+K17</f>
        <v>18000</v>
      </c>
      <c r="M17" s="10">
        <f>L17-I17</f>
        <v>3000</v>
      </c>
      <c r="N17" s="10">
        <f>IF(M17&lt;0,0,IF(M17&gt;=$B$13,$B$13,M17))</f>
        <v>950</v>
      </c>
      <c r="O17" s="10">
        <f>IF(N17&lt;$B$13,0,M17-$B$13)</f>
        <v>2050</v>
      </c>
      <c r="P17" s="2">
        <f>IF(M17&lt;0,-M17,0)</f>
        <v>0</v>
      </c>
      <c r="Q17" s="10">
        <f t="shared" ref="Q17:Q18" si="7">$B$12-($F$15*$B$16)</f>
        <v>0</v>
      </c>
      <c r="R17" s="6">
        <f>IF(L17&lt;I17,L17,I17)</f>
        <v>15000</v>
      </c>
    </row>
    <row r="18" spans="5:18" ht="15.75" thickBot="1" x14ac:dyDescent="0.3">
      <c r="E18" s="2"/>
      <c r="F18" s="2"/>
      <c r="G18" s="32">
        <f>$B$3*$F$15+$B$5*J18+$B$6*K18+$B$7*N18+$B$8*O18+$B$9*P18+$B$10*Q18+$B$11*R18</f>
        <v>42176000</v>
      </c>
      <c r="H18" s="20" t="s">
        <v>6</v>
      </c>
      <c r="I18" s="14">
        <f>I14</f>
        <v>20000</v>
      </c>
      <c r="J18" s="11">
        <f t="shared" si="6"/>
        <v>1800</v>
      </c>
      <c r="K18" s="11">
        <f>IF((J18+$F$15)&gt;=I18,0,IF((J18+$F$15+$B$15)&lt;=I18,$B$15,I18-(J18+$F$15)))</f>
        <v>200</v>
      </c>
      <c r="L18" s="13">
        <f>$F$15+J18+K18</f>
        <v>20000</v>
      </c>
      <c r="M18" s="11">
        <f>L18-I18</f>
        <v>0</v>
      </c>
      <c r="N18" s="11">
        <f>IF(M18&lt;0,0,IF(M18&gt;=$B$13,$B$13,M18))</f>
        <v>0</v>
      </c>
      <c r="O18" s="11">
        <f>IF(N18&lt;$B$13,0,M18-$B$13)</f>
        <v>0</v>
      </c>
      <c r="P18" s="13">
        <f>IF(M18&lt;0,-M18,0)</f>
        <v>0</v>
      </c>
      <c r="Q18" s="11">
        <f t="shared" si="7"/>
        <v>0</v>
      </c>
      <c r="R18" s="8">
        <f>IF(L18&lt;I18,L18,I18)</f>
        <v>20000</v>
      </c>
    </row>
    <row r="19" spans="5:18" ht="15.75" thickBot="1" x14ac:dyDescent="0.3"/>
    <row r="20" spans="5:18" ht="15.75" thickBot="1" x14ac:dyDescent="0.3">
      <c r="E20" s="8"/>
      <c r="F20" s="35" t="s">
        <v>17</v>
      </c>
      <c r="G20" s="36"/>
      <c r="H20" s="37"/>
    </row>
    <row r="21" spans="5:18" ht="15.75" thickBot="1" x14ac:dyDescent="0.3">
      <c r="E21" s="27" t="s">
        <v>16</v>
      </c>
      <c r="F21" s="24">
        <v>5000</v>
      </c>
      <c r="G21" s="25">
        <v>8000</v>
      </c>
      <c r="H21" s="26">
        <v>11000</v>
      </c>
    </row>
    <row r="22" spans="5:18" ht="15.75" thickBot="1" x14ac:dyDescent="0.3">
      <c r="E22" s="28" t="s">
        <v>18</v>
      </c>
      <c r="F22" s="32">
        <f>$G$4</f>
        <v>-4112000</v>
      </c>
      <c r="G22" s="32">
        <f>G5</f>
        <v>-8916000</v>
      </c>
      <c r="H22" s="32">
        <f>G6</f>
        <v>-14916000</v>
      </c>
    </row>
    <row r="23" spans="5:18" ht="15.75" thickBot="1" x14ac:dyDescent="0.3">
      <c r="E23" s="29" t="s">
        <v>19</v>
      </c>
      <c r="F23" s="32">
        <f>G8</f>
        <v>-9267000</v>
      </c>
      <c r="G23" s="32">
        <f>G9</f>
        <v>10452000</v>
      </c>
      <c r="H23" s="32">
        <f>G10</f>
        <v>4452000</v>
      </c>
    </row>
    <row r="24" spans="5:18" ht="15.75" thickBot="1" x14ac:dyDescent="0.3">
      <c r="E24" s="29" t="s">
        <v>20</v>
      </c>
      <c r="F24" s="32">
        <f>G12</f>
        <v>-23367000</v>
      </c>
      <c r="G24" s="32">
        <f>G13</f>
        <v>25200000</v>
      </c>
      <c r="H24" s="32">
        <f>G14</f>
        <v>23820000</v>
      </c>
    </row>
    <row r="25" spans="5:18" ht="15.75" thickBot="1" x14ac:dyDescent="0.3">
      <c r="E25" s="30" t="s">
        <v>21</v>
      </c>
      <c r="F25" s="32">
        <f>G16</f>
        <v>-37467000</v>
      </c>
      <c r="G25" s="32">
        <f>G17</f>
        <v>11233000</v>
      </c>
      <c r="H25" s="32">
        <f>G18</f>
        <v>42176000</v>
      </c>
    </row>
    <row r="26" spans="5:18" x14ac:dyDescent="0.25">
      <c r="E26" s="2"/>
      <c r="F26" s="2"/>
      <c r="G26" s="2"/>
      <c r="H26" s="2"/>
    </row>
    <row r="28" spans="5:18" x14ac:dyDescent="0.25">
      <c r="K28" s="2"/>
    </row>
  </sheetData>
  <mergeCells count="1">
    <mergeCell ref="F20:H20"/>
  </mergeCells>
  <conditionalFormatting sqref="G4:G6 F22:H25">
    <cfRule type="cellIs" dxfId="11" priority="4" operator="lessThan">
      <formula>0</formula>
    </cfRule>
  </conditionalFormatting>
  <conditionalFormatting sqref="G8:G10">
    <cfRule type="cellIs" dxfId="10" priority="3" operator="lessThan">
      <formula>0</formula>
    </cfRule>
  </conditionalFormatting>
  <conditionalFormatting sqref="G12:G14">
    <cfRule type="cellIs" dxfId="9" priority="2" operator="lessThan">
      <formula>0</formula>
    </cfRule>
  </conditionalFormatting>
  <conditionalFormatting sqref="G16:G18">
    <cfRule type="cellIs" dxfId="8" priority="1" operator="lessThan">
      <formula>0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6383-950A-457B-AEA8-FAA7255EE196}">
  <dimension ref="B2:R28"/>
  <sheetViews>
    <sheetView workbookViewId="0">
      <selection activeCell="K27" sqref="K27"/>
    </sheetView>
  </sheetViews>
  <sheetFormatPr baseColWidth="10" defaultColWidth="11.5703125" defaultRowHeight="15" x14ac:dyDescent="0.25"/>
  <cols>
    <col min="3" max="3" width="23" bestFit="1" customWidth="1"/>
    <col min="7" max="7" width="11.85546875" bestFit="1" customWidth="1"/>
    <col min="9" max="9" width="11.85546875" bestFit="1" customWidth="1"/>
    <col min="10" max="10" width="16.5703125" customWidth="1"/>
    <col min="13" max="13" width="14" customWidth="1"/>
  </cols>
  <sheetData>
    <row r="2" spans="2:18" ht="15.75" thickBot="1" x14ac:dyDescent="0.3"/>
    <row r="3" spans="2:18" ht="15.75" thickBot="1" x14ac:dyDescent="0.3">
      <c r="B3" s="9">
        <v>-24000</v>
      </c>
      <c r="C3" s="16" t="s">
        <v>30</v>
      </c>
      <c r="E3" s="19" t="s">
        <v>0</v>
      </c>
      <c r="F3" s="15">
        <v>3600</v>
      </c>
      <c r="G3" s="2"/>
      <c r="H3" s="2"/>
      <c r="I3" s="2"/>
      <c r="J3" s="21" t="s">
        <v>2</v>
      </c>
      <c r="K3" s="31" t="s">
        <v>3</v>
      </c>
      <c r="L3" s="23" t="s">
        <v>4</v>
      </c>
      <c r="M3" s="22" t="s">
        <v>7</v>
      </c>
      <c r="N3" s="31" t="s">
        <v>8</v>
      </c>
      <c r="O3" s="31" t="s">
        <v>9</v>
      </c>
      <c r="P3" s="31" t="s">
        <v>10</v>
      </c>
      <c r="Q3" s="31" t="s">
        <v>11</v>
      </c>
      <c r="R3" s="31" t="s">
        <v>12</v>
      </c>
    </row>
    <row r="4" spans="2:18" ht="15.75" thickBot="1" x14ac:dyDescent="0.3">
      <c r="B4" s="10">
        <v>0.15</v>
      </c>
      <c r="C4" s="17" t="s">
        <v>31</v>
      </c>
      <c r="E4" s="2"/>
      <c r="F4" s="2"/>
      <c r="G4" s="32">
        <f>$B$3*$F$3+$B$5*J4+$B$6*K4+$B$7*N4+$B$8*O4+$B$9*P4+$B$10*Q4+$B$11*R4</f>
        <v>15944000</v>
      </c>
      <c r="H4" s="20" t="s">
        <v>1</v>
      </c>
      <c r="I4" s="14">
        <v>4000</v>
      </c>
      <c r="J4" s="10">
        <f>IF(AND(I4-$F$3&lt;=$F$3*$B$14, I4-$F$3&gt;0),I4-$F$3,IF(I4-$F$3&gt;=$F$3*$B$14,$F$3*$B$14,0))</f>
        <v>360</v>
      </c>
      <c r="K4" s="10">
        <f>IF((J4+$F$3)&gt;=I4,0,IF((J4+$F$3+$B$15)&lt;=I4,$B$15,I4-(J4+$F$3)))</f>
        <v>40</v>
      </c>
      <c r="L4" s="4">
        <f>$F$3+J4+K4</f>
        <v>4000</v>
      </c>
      <c r="M4" s="12">
        <f>L4-I4</f>
        <v>0</v>
      </c>
      <c r="N4" s="10">
        <f>IF(M4&lt;0,0,IF(M4&gt;=$B$13,$B$13,M4))</f>
        <v>0</v>
      </c>
      <c r="O4" s="10">
        <f>IF(N4&lt;$B$13,0,M4-$B$13)</f>
        <v>0</v>
      </c>
      <c r="P4" s="9">
        <f>IF(M4&lt;0,-M4,0)</f>
        <v>0</v>
      </c>
      <c r="Q4" s="10">
        <f>$B$12-($F$3*$B$16)</f>
        <v>13500</v>
      </c>
      <c r="R4" s="9">
        <f>IF(L4&lt;I4,L4,I4)</f>
        <v>4000</v>
      </c>
    </row>
    <row r="5" spans="2:18" ht="15.75" thickBot="1" x14ac:dyDescent="0.3">
      <c r="B5" s="10">
        <f>B3*(1+B4)</f>
        <v>-27599.999999999996</v>
      </c>
      <c r="C5" s="17" t="s">
        <v>23</v>
      </c>
      <c r="E5" s="2"/>
      <c r="F5" s="2"/>
      <c r="G5" s="32">
        <f>$B$3*$F$3+$B$5*J5+$B$6*K5+$B$7*N5+$B$8*O5+$B$9*P5+$B$10*Q5+$B$11*R5</f>
        <v>12608000</v>
      </c>
      <c r="H5" s="20" t="s">
        <v>5</v>
      </c>
      <c r="I5" s="14">
        <v>6000</v>
      </c>
      <c r="J5" s="10">
        <f t="shared" ref="J5:J6" si="0">IF(AND(I5-$F$3&lt;=$F$3*$B$14, I5-$F$3&gt;0),I5-$F$3,IF(I5-$F$3&gt;=$F$3*$B$14,$F$3*$B$14,0))</f>
        <v>360</v>
      </c>
      <c r="K5" s="10">
        <f>IF((J5+$F$3)&gt;=I5,0,IF((J5+$F$3+$B$15)&lt;=I5,$B$15,I5-(J5+$F$3)))</f>
        <v>400</v>
      </c>
      <c r="L5" s="6">
        <f>$F$3+J5+K5</f>
        <v>4360</v>
      </c>
      <c r="M5" s="2">
        <f>L5-I5</f>
        <v>-1640</v>
      </c>
      <c r="N5" s="10">
        <f>IF(M5&lt;0,0,IF(M5&gt;=$B$13,$B$13,M5))</f>
        <v>0</v>
      </c>
      <c r="O5" s="10">
        <f>IF(N5&lt;$B$13,0,M5-$B$13)</f>
        <v>0</v>
      </c>
      <c r="P5" s="10">
        <f>IF(M5&lt;0,-M5,0)</f>
        <v>1640</v>
      </c>
      <c r="Q5" s="10">
        <f t="shared" ref="Q5:Q6" si="1">$B$12-($F$3*$B$16)</f>
        <v>13500</v>
      </c>
      <c r="R5" s="10">
        <f>IF(L5&lt;I5,L5,I5)</f>
        <v>4360</v>
      </c>
    </row>
    <row r="6" spans="2:18" ht="15.75" thickBot="1" x14ac:dyDescent="0.3">
      <c r="B6" s="10">
        <v>-28000</v>
      </c>
      <c r="C6" s="17" t="s">
        <v>3</v>
      </c>
      <c r="E6" s="2"/>
      <c r="F6" s="2"/>
      <c r="G6" s="32">
        <f>$B$3*$F$3+$B$5*J6+$B$6*K6+$B$7*N6+$B$8*O6+$B$9*P6+$B$10*Q6+$B$11*R6</f>
        <v>6608000</v>
      </c>
      <c r="H6" s="20" t="s">
        <v>6</v>
      </c>
      <c r="I6" s="14">
        <v>8000</v>
      </c>
      <c r="J6" s="11">
        <f t="shared" si="0"/>
        <v>360</v>
      </c>
      <c r="K6" s="11">
        <f>IF((J6+$F$3)&gt;=I6,0,IF((J6+$F$3+$B$15)&lt;=I6,$B$15,I6-(J6+$F$3)))</f>
        <v>400</v>
      </c>
      <c r="L6" s="8">
        <f>$F$3+J6+K6</f>
        <v>4360</v>
      </c>
      <c r="M6" s="13">
        <f>L6-I6</f>
        <v>-3640</v>
      </c>
      <c r="N6" s="11">
        <f>IF(M6&lt;0,0,IF(M6&gt;=$B$13,$B$13,M6))</f>
        <v>0</v>
      </c>
      <c r="O6" s="11">
        <f>IF(N6&lt;$B$13,0,M6-$B$13)</f>
        <v>0</v>
      </c>
      <c r="P6" s="11">
        <f>IF(M6&lt;0,-M6,0)</f>
        <v>3640</v>
      </c>
      <c r="Q6" s="11">
        <f t="shared" si="1"/>
        <v>13500</v>
      </c>
      <c r="R6" s="11">
        <f>IF(L6&lt;I6,L6,I6)</f>
        <v>4360</v>
      </c>
    </row>
    <row r="7" spans="2:18" ht="15.75" thickBot="1" x14ac:dyDescent="0.3">
      <c r="B7" s="10">
        <v>-2500</v>
      </c>
      <c r="C7" s="17" t="s">
        <v>24</v>
      </c>
      <c r="E7" s="19" t="s">
        <v>13</v>
      </c>
      <c r="F7" s="15">
        <v>4500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15.75" thickBot="1" x14ac:dyDescent="0.3">
      <c r="B8" s="10">
        <v>-2800</v>
      </c>
      <c r="C8" s="17" t="s">
        <v>9</v>
      </c>
      <c r="E8" s="2"/>
      <c r="F8" s="2"/>
      <c r="G8" s="32">
        <f>$B$3*$F$7+$B$5*J8+$B$6*K8+$B$7*N8+$B$8*O8+$B$9*P8+$B$10*Q8+$B$11*R8</f>
        <v>9550000</v>
      </c>
      <c r="H8" s="20" t="s">
        <v>1</v>
      </c>
      <c r="I8" s="14">
        <f>I4</f>
        <v>4000</v>
      </c>
      <c r="J8" s="9">
        <f>IF(AND(I8-$F$7&lt;=$F$7*$B$14, I8-$F$7&gt;0),I8-$F$7,IF(I8-$F$7&gt;=$F$7*$B$14,$F$7*$B$14,0))</f>
        <v>0</v>
      </c>
      <c r="K8" s="9">
        <f>IF((J8+$F$7)&gt;=I8,0,IF((J8+$F$7+$B$15)&lt;=I8,$B$15,I8-(J8+$F$7)))</f>
        <v>0</v>
      </c>
      <c r="L8" s="4">
        <f>$F$7+J8+K8</f>
        <v>4500</v>
      </c>
      <c r="M8" s="12">
        <f>L8-I8</f>
        <v>500</v>
      </c>
      <c r="N8" s="9">
        <f>IF(M8&lt;0,0,IF(M8&gt;=$B$13,$B$13,M8))</f>
        <v>500</v>
      </c>
      <c r="O8" s="9">
        <f>IF(N8&lt;$B$13,0,M8-$B$13)</f>
        <v>0</v>
      </c>
      <c r="P8" s="9">
        <f>IF(M8&lt;0,-M8,0)</f>
        <v>0</v>
      </c>
      <c r="Q8" s="9">
        <f>$B$12-($F$7*$B$16)</f>
        <v>9000</v>
      </c>
      <c r="R8" s="9">
        <f>IF(L8&lt;I8,L8,I8)</f>
        <v>4000</v>
      </c>
    </row>
    <row r="9" spans="2:18" ht="15.75" thickBot="1" x14ac:dyDescent="0.3">
      <c r="B9" s="10">
        <v>-3000</v>
      </c>
      <c r="C9" s="17" t="s">
        <v>25</v>
      </c>
      <c r="E9" s="2"/>
      <c r="F9" s="2"/>
      <c r="G9" s="32">
        <f>$B$3*$F$7+$B$5*J9+$B$6*K9+$B$7*N9+$B$8*O9+$B$9*P9+$B$10*Q9+$B$11*R9</f>
        <v>28970000</v>
      </c>
      <c r="H9" s="20" t="s">
        <v>5</v>
      </c>
      <c r="I9" s="14">
        <f>I5</f>
        <v>6000</v>
      </c>
      <c r="J9" s="10">
        <f t="shared" ref="J9:J10" si="2">IF(AND(I9-$F$7&lt;=$F$7*$B$14, I9-$F$7&gt;0),I9-$F$7,IF(I9-$F$7&gt;=$F$7*$B$14,$F$7*$B$14,0))</f>
        <v>450</v>
      </c>
      <c r="K9" s="10">
        <f>IF((J9+$F$7)&gt;=I9,0,IF((J9+$F$7+$B$15)&lt;=I9,$B$15,I9-(J9+$F$7)))</f>
        <v>400</v>
      </c>
      <c r="L9" s="6">
        <f>$F$7+J9+K9</f>
        <v>5350</v>
      </c>
      <c r="M9" s="2">
        <f>L9-I9</f>
        <v>-650</v>
      </c>
      <c r="N9" s="10">
        <f>IF(M9&lt;0,0,IF(M9&gt;=$B$13,$B$13,M9))</f>
        <v>0</v>
      </c>
      <c r="O9" s="10">
        <f>IF(N9&lt;$B$13,0,M9-$B$13)</f>
        <v>0</v>
      </c>
      <c r="P9" s="10">
        <f>IF(M9&lt;0,-M9,0)</f>
        <v>650</v>
      </c>
      <c r="Q9" s="10">
        <f t="shared" ref="Q9:Q10" si="3">$B$12-($F$7*$B$16)</f>
        <v>9000</v>
      </c>
      <c r="R9" s="10">
        <f>IF(L9&lt;I9,L9,I9)</f>
        <v>5350</v>
      </c>
    </row>
    <row r="10" spans="2:18" ht="15.75" thickBot="1" x14ac:dyDescent="0.3">
      <c r="B10" s="10">
        <v>-1200</v>
      </c>
      <c r="C10" s="17" t="s">
        <v>26</v>
      </c>
      <c r="E10" s="2"/>
      <c r="F10" s="2"/>
      <c r="G10" s="32">
        <f>$B$3*$F$7+$B$5*J10+$B$6*K10+$B$7*N10+$B$8*O10+$B$9*P10+$B$10*Q10+$B$11*R10</f>
        <v>22970000</v>
      </c>
      <c r="H10" s="20" t="s">
        <v>6</v>
      </c>
      <c r="I10" s="14">
        <f>I6</f>
        <v>8000</v>
      </c>
      <c r="J10" s="11">
        <f t="shared" si="2"/>
        <v>450</v>
      </c>
      <c r="K10" s="11">
        <f>IF((J10+$F$7)&gt;=I10,0,IF((J10+$F$7+$B$15)&lt;=I10,$B$15,I10-(J10+$F$7)))</f>
        <v>400</v>
      </c>
      <c r="L10" s="8">
        <f>$F$7+J10+K10</f>
        <v>5350</v>
      </c>
      <c r="M10" s="13">
        <f>L10-I10</f>
        <v>-2650</v>
      </c>
      <c r="N10" s="11">
        <f>IF(M10&lt;0,0,IF(M10&gt;=$B$13,$B$13,M10))</f>
        <v>0</v>
      </c>
      <c r="O10" s="11">
        <f>IF(N10&lt;$B$13,0,M10-$B$13)</f>
        <v>0</v>
      </c>
      <c r="P10" s="11">
        <f>IF(M10&lt;0,-M10,0)</f>
        <v>2650</v>
      </c>
      <c r="Q10" s="11">
        <f t="shared" si="3"/>
        <v>9000</v>
      </c>
      <c r="R10" s="11">
        <f>IF(L10&lt;I10,L10,I10)</f>
        <v>5350</v>
      </c>
    </row>
    <row r="11" spans="2:18" ht="15.75" thickBot="1" x14ac:dyDescent="0.3">
      <c r="B11" s="10">
        <v>32400</v>
      </c>
      <c r="C11" s="17" t="s">
        <v>12</v>
      </c>
      <c r="E11" s="19" t="s">
        <v>14</v>
      </c>
      <c r="F11" s="15">
        <v>5400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ht="15.75" thickBot="1" x14ac:dyDescent="0.3">
      <c r="B12" s="10">
        <v>31500</v>
      </c>
      <c r="C12" s="34" t="s">
        <v>22</v>
      </c>
      <c r="E12" s="2"/>
      <c r="F12" s="2"/>
      <c r="G12" s="32">
        <f>$B$3*$F$11+$B$5*J12+$B$6*K12+$B$7*N12+$B$8*O12+$B$9*P12+$B$10*Q12+$B$11*R12</f>
        <v>-9110000</v>
      </c>
      <c r="H12" s="20" t="s">
        <v>1</v>
      </c>
      <c r="I12" s="14">
        <f>I8</f>
        <v>4000</v>
      </c>
      <c r="J12" s="9">
        <f>IF(AND(I12-$F$11&lt;=$F$11*$B$14, I12-$F$11&gt;0),I12-$F$11,IF(I12-$F$11&gt;=$F$11*$B$14,$F$11*$B$14,0))</f>
        <v>0</v>
      </c>
      <c r="K12" s="9">
        <f>IF((J12+$F$11)&gt;=I12,0,IF((J12+$F$11+$B$15)&lt;=I12,$B$15,I12-(J12+$F$11)))</f>
        <v>0</v>
      </c>
      <c r="L12" s="12">
        <f>$F$11+J12+K12</f>
        <v>5400</v>
      </c>
      <c r="M12" s="9">
        <f>L12-I12</f>
        <v>1400</v>
      </c>
      <c r="N12" s="9">
        <f>IF(M12&lt;0,0,IF(M12&gt;=$B$13,$B$13,M12))</f>
        <v>700</v>
      </c>
      <c r="O12" s="9">
        <f>IF(N12&lt;$B$13,0,M12-$B$13)</f>
        <v>700</v>
      </c>
      <c r="P12" s="12">
        <f>IF(M12&lt;0,-M12,0)</f>
        <v>0</v>
      </c>
      <c r="Q12" s="9">
        <f>$B$12-($F$11*$B$16)</f>
        <v>4500</v>
      </c>
      <c r="R12" s="4">
        <f>IF(L12&lt;I12,L12,I12)</f>
        <v>4000</v>
      </c>
    </row>
    <row r="13" spans="2:18" ht="15.75" thickBot="1" x14ac:dyDescent="0.3">
      <c r="B13" s="10">
        <v>700</v>
      </c>
      <c r="C13" s="17" t="s">
        <v>27</v>
      </c>
      <c r="E13" s="2"/>
      <c r="F13" s="2"/>
      <c r="G13" s="32">
        <f>$B$3*$F$11+$B$5*J13+$B$6*K13+$B$7*N13+$B$8*O13+$B$9*P13+$B$10*Q13+$B$11*R13</f>
        <v>42816000</v>
      </c>
      <c r="H13" s="20" t="s">
        <v>5</v>
      </c>
      <c r="I13" s="14">
        <f>I9</f>
        <v>6000</v>
      </c>
      <c r="J13" s="10">
        <f t="shared" ref="J13:J14" si="4">IF(AND(I13-$F$11&lt;=$F$11*$B$14, I13-$F$11&gt;0),I13-$F$11,IF(I13-$F$11&gt;=$F$11*$B$14,$F$11*$B$14,0))</f>
        <v>540</v>
      </c>
      <c r="K13" s="10">
        <f>IF((J13+$F$11)&gt;=I13,0,IF((J13+$F$11+$B$15)&lt;=I13,$B$15,I13-(J13+$F$11)))</f>
        <v>60</v>
      </c>
      <c r="L13" s="2">
        <f>$F$11+J13+K13</f>
        <v>6000</v>
      </c>
      <c r="M13" s="10">
        <f>L13-I13</f>
        <v>0</v>
      </c>
      <c r="N13" s="10">
        <f>IF(M13&lt;0,0,IF(M13&gt;=$B$13,$B$13,M13))</f>
        <v>0</v>
      </c>
      <c r="O13" s="10">
        <f>IF(N13&lt;$B$13,0,M13-$B$13)</f>
        <v>0</v>
      </c>
      <c r="P13" s="2">
        <f>IF(M13&lt;0,-M13,0)</f>
        <v>0</v>
      </c>
      <c r="Q13" s="10">
        <f t="shared" ref="Q13:Q14" si="5">$B$12-($F$11*$B$16)</f>
        <v>4500</v>
      </c>
      <c r="R13" s="6">
        <f>IF(L13&lt;I13,L13,I13)</f>
        <v>6000</v>
      </c>
    </row>
    <row r="14" spans="2:18" ht="15.75" thickBot="1" x14ac:dyDescent="0.3">
      <c r="B14" s="10">
        <v>0.1</v>
      </c>
      <c r="C14" s="17" t="s">
        <v>28</v>
      </c>
      <c r="E14" s="2"/>
      <c r="F14" s="2"/>
      <c r="G14" s="32">
        <f>$B$3*$F$11+$B$5*J14+$B$6*K14+$B$7*N14+$B$8*O14+$B$9*P14+$B$10*Q14+$B$11*R14</f>
        <v>39332000</v>
      </c>
      <c r="H14" s="20" t="s">
        <v>6</v>
      </c>
      <c r="I14" s="14">
        <f>I10</f>
        <v>8000</v>
      </c>
      <c r="J14" s="11">
        <f t="shared" si="4"/>
        <v>540</v>
      </c>
      <c r="K14" s="11">
        <f>IF((J14+$F$11)&gt;=I14,0,IF((J14+$F$11+$B$15)&lt;=I14,$B$15,I14-(J14+$F$11)))</f>
        <v>400</v>
      </c>
      <c r="L14" s="13">
        <f>$F$11+J14+K14</f>
        <v>6340</v>
      </c>
      <c r="M14" s="11">
        <f>L14-I14</f>
        <v>-1660</v>
      </c>
      <c r="N14" s="11">
        <f>IF(M14&lt;0,0,IF(M14&gt;=$B$13,$B$13,M14))</f>
        <v>0</v>
      </c>
      <c r="O14" s="11">
        <f>IF(N14&lt;$B$13,0,M14-$B$13)</f>
        <v>0</v>
      </c>
      <c r="P14" s="13">
        <f>IF(M14&lt;0,-M14,0)</f>
        <v>1660</v>
      </c>
      <c r="Q14" s="11">
        <f t="shared" si="5"/>
        <v>4500</v>
      </c>
      <c r="R14" s="8">
        <f>IF(L14&lt;I14,L14,I14)</f>
        <v>6340</v>
      </c>
    </row>
    <row r="15" spans="2:18" ht="15.75" thickBot="1" x14ac:dyDescent="0.3">
      <c r="B15" s="10">
        <v>400</v>
      </c>
      <c r="C15" s="34" t="s">
        <v>29</v>
      </c>
      <c r="E15" s="19" t="s">
        <v>15</v>
      </c>
      <c r="F15" s="15">
        <v>6300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ht="15.75" thickBot="1" x14ac:dyDescent="0.3">
      <c r="B16" s="11">
        <v>5</v>
      </c>
      <c r="C16" s="18" t="s">
        <v>32</v>
      </c>
      <c r="E16" s="2"/>
      <c r="F16" s="2"/>
      <c r="G16" s="32">
        <f>$B$3*$F$15+$B$5*J16+$B$6*K16+$B$7*N16+$B$8*O16+$B$9*P16+$B$10*Q16+$B$11*R16</f>
        <v>-27830000</v>
      </c>
      <c r="H16" s="20" t="s">
        <v>1</v>
      </c>
      <c r="I16" s="14">
        <f>I12</f>
        <v>4000</v>
      </c>
      <c r="J16" s="9">
        <f>IF(AND(I16-$F$15&lt;=$F$15*$B$14, I16-$F$15&gt;0),I16-$F$15,IF(I16-$F$15&gt;=$F$15*$B$14,$F$15*$B$14,0))</f>
        <v>0</v>
      </c>
      <c r="K16" s="9">
        <f>IF((J16+$F$15)&gt;=I16,0,IF((J16+$F$15+$B$15)&lt;=I16,$B$15,I16-(J16+$F$15)))</f>
        <v>0</v>
      </c>
      <c r="L16" s="12">
        <f>$F$15+J16+K16</f>
        <v>6300</v>
      </c>
      <c r="M16" s="9">
        <f>L16-I16</f>
        <v>2300</v>
      </c>
      <c r="N16" s="9">
        <f>IF(M16&lt;0,0,IF(M16&gt;=$B$13,$B$13,M16))</f>
        <v>700</v>
      </c>
      <c r="O16" s="9">
        <f>IF(N16&lt;$B$13,0,M16-$B$13)</f>
        <v>1600</v>
      </c>
      <c r="P16" s="12">
        <f>IF(M16&lt;0,-M16,0)</f>
        <v>0</v>
      </c>
      <c r="Q16" s="9">
        <f>$B$12-($F$15*$B$16)</f>
        <v>0</v>
      </c>
      <c r="R16" s="4">
        <f>IF(L16&lt;I16,L16,I16)</f>
        <v>4000</v>
      </c>
    </row>
    <row r="17" spans="5:18" ht="15.75" thickBot="1" x14ac:dyDescent="0.3">
      <c r="E17" s="2"/>
      <c r="F17" s="2"/>
      <c r="G17" s="32">
        <f>$B$3*$F$15+$B$5*J17+$B$6*K17+$B$7*N17+$B$8*O17+$B$9*P17+$B$10*Q17+$B$11*R17</f>
        <v>42450000</v>
      </c>
      <c r="H17" s="20" t="s">
        <v>5</v>
      </c>
      <c r="I17" s="14">
        <f>I13</f>
        <v>6000</v>
      </c>
      <c r="J17" s="10">
        <f t="shared" ref="J17:J18" si="6">IF(AND(I17-$F$15&lt;=$F$15*$B$14, I17-$F$15&gt;0),I17-$F$15,IF(I17-$F$15&gt;=$F$15*$B$14,$F$15*$B$14,0))</f>
        <v>0</v>
      </c>
      <c r="K17" s="10">
        <f>IF((J17+$F$15)&gt;=I17,0,IF((J17+$F$15+$B$15)&lt;=I17,$B$15,I17-(J17+$F$15)))</f>
        <v>0</v>
      </c>
      <c r="L17" s="2">
        <f>$F$15+J17+K17</f>
        <v>6300</v>
      </c>
      <c r="M17" s="10">
        <f>L17-I17</f>
        <v>300</v>
      </c>
      <c r="N17" s="10">
        <f>IF(M17&lt;0,0,IF(M17&gt;=$B$13,$B$13,M17))</f>
        <v>300</v>
      </c>
      <c r="O17" s="10">
        <f>IF(N17&lt;$B$13,0,M17-$B$13)</f>
        <v>0</v>
      </c>
      <c r="P17" s="2">
        <f>IF(M17&lt;0,-M17,0)</f>
        <v>0</v>
      </c>
      <c r="Q17" s="10">
        <f t="shared" ref="Q17:Q18" si="7">$B$12-($F$15*$B$16)</f>
        <v>0</v>
      </c>
      <c r="R17" s="6">
        <f>IF(L17&lt;I17,L17,I17)</f>
        <v>6000</v>
      </c>
    </row>
    <row r="18" spans="5:18" ht="15.75" thickBot="1" x14ac:dyDescent="0.3">
      <c r="E18" s="2"/>
      <c r="F18" s="2"/>
      <c r="G18" s="32">
        <f>$B$3*$F$15+$B$5*J18+$B$6*K18+$B$7*N18+$B$8*O18+$B$9*P18+$B$10*Q18+$B$11*R18</f>
        <v>55694000</v>
      </c>
      <c r="H18" s="20" t="s">
        <v>6</v>
      </c>
      <c r="I18" s="14">
        <f>I14</f>
        <v>8000</v>
      </c>
      <c r="J18" s="11">
        <f t="shared" si="6"/>
        <v>630</v>
      </c>
      <c r="K18" s="11">
        <f>IF((J18+$F$15)&gt;=I18,0,IF((J18+$F$15+$B$15)&lt;=I18,$B$15,I18-(J18+$F$15)))</f>
        <v>400</v>
      </c>
      <c r="L18" s="13">
        <f>$F$15+J18+K18</f>
        <v>7330</v>
      </c>
      <c r="M18" s="11">
        <f>L18-I18</f>
        <v>-670</v>
      </c>
      <c r="N18" s="11">
        <f>IF(M18&lt;0,0,IF(M18&gt;=$B$13,$B$13,M18))</f>
        <v>0</v>
      </c>
      <c r="O18" s="11">
        <f>IF(N18&lt;$B$13,0,M18-$B$13)</f>
        <v>0</v>
      </c>
      <c r="P18" s="13">
        <f>IF(M18&lt;0,-M18,0)</f>
        <v>670</v>
      </c>
      <c r="Q18" s="11">
        <f t="shared" si="7"/>
        <v>0</v>
      </c>
      <c r="R18" s="8">
        <f>IF(L18&lt;I18,L18,I18)</f>
        <v>7330</v>
      </c>
    </row>
    <row r="19" spans="5:18" ht="15.75" thickBot="1" x14ac:dyDescent="0.3"/>
    <row r="20" spans="5:18" ht="15.75" thickBot="1" x14ac:dyDescent="0.3">
      <c r="E20" s="8"/>
      <c r="F20" s="35" t="s">
        <v>17</v>
      </c>
      <c r="G20" s="36"/>
      <c r="H20" s="37"/>
    </row>
    <row r="21" spans="5:18" ht="15.75" thickBot="1" x14ac:dyDescent="0.3">
      <c r="E21" s="27" t="s">
        <v>16</v>
      </c>
      <c r="F21" s="24">
        <v>5000</v>
      </c>
      <c r="G21" s="25">
        <v>8000</v>
      </c>
      <c r="H21" s="26">
        <v>11000</v>
      </c>
    </row>
    <row r="22" spans="5:18" ht="15.75" thickBot="1" x14ac:dyDescent="0.3">
      <c r="E22" s="28" t="s">
        <v>18</v>
      </c>
      <c r="F22" s="32">
        <f>$G$4</f>
        <v>15944000</v>
      </c>
      <c r="G22" s="32">
        <f>G5</f>
        <v>12608000</v>
      </c>
      <c r="H22" s="32">
        <f>G6</f>
        <v>6608000</v>
      </c>
    </row>
    <row r="23" spans="5:18" ht="15.75" thickBot="1" x14ac:dyDescent="0.3">
      <c r="E23" s="29" t="s">
        <v>19</v>
      </c>
      <c r="F23" s="32">
        <f>G8</f>
        <v>9550000</v>
      </c>
      <c r="G23" s="32">
        <f>G9</f>
        <v>28970000</v>
      </c>
      <c r="H23" s="32">
        <f>G10</f>
        <v>22970000</v>
      </c>
    </row>
    <row r="24" spans="5:18" ht="15.75" thickBot="1" x14ac:dyDescent="0.3">
      <c r="E24" s="29" t="s">
        <v>20</v>
      </c>
      <c r="F24" s="32">
        <f>G12</f>
        <v>-9110000</v>
      </c>
      <c r="G24" s="32">
        <f>G13</f>
        <v>42816000</v>
      </c>
      <c r="H24" s="32">
        <f>G14</f>
        <v>39332000</v>
      </c>
    </row>
    <row r="25" spans="5:18" ht="15.75" thickBot="1" x14ac:dyDescent="0.3">
      <c r="E25" s="30" t="s">
        <v>21</v>
      </c>
      <c r="F25" s="32">
        <f>G16</f>
        <v>-27830000</v>
      </c>
      <c r="G25" s="32">
        <f>G17</f>
        <v>42450000</v>
      </c>
      <c r="H25" s="32">
        <f>G18</f>
        <v>55694000</v>
      </c>
    </row>
    <row r="26" spans="5:18" x14ac:dyDescent="0.25">
      <c r="E26" s="2"/>
      <c r="F26" s="2"/>
      <c r="G26" s="2"/>
      <c r="H26" s="2"/>
    </row>
    <row r="28" spans="5:18" x14ac:dyDescent="0.25">
      <c r="K28" s="2"/>
    </row>
  </sheetData>
  <mergeCells count="1">
    <mergeCell ref="F20:H20"/>
  </mergeCells>
  <conditionalFormatting sqref="G4:G6 F22:H25">
    <cfRule type="cellIs" dxfId="15" priority="4" operator="lessThan">
      <formula>0</formula>
    </cfRule>
  </conditionalFormatting>
  <conditionalFormatting sqref="G8:G10">
    <cfRule type="cellIs" dxfId="14" priority="3" operator="lessThan">
      <formula>0</formula>
    </cfRule>
  </conditionalFormatting>
  <conditionalFormatting sqref="G12:G14">
    <cfRule type="cellIs" dxfId="13" priority="2" operator="lessThan">
      <formula>0</formula>
    </cfRule>
  </conditionalFormatting>
  <conditionalFormatting sqref="G16:G18">
    <cfRule type="cellIs" dxfId="12" priority="1" operator="lessThan">
      <formula>0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2"/>
  <sheetViews>
    <sheetView topLeftCell="E1" workbookViewId="0">
      <selection activeCell="I8" sqref="I8"/>
    </sheetView>
  </sheetViews>
  <sheetFormatPr baseColWidth="10" defaultColWidth="11.5703125" defaultRowHeight="15" x14ac:dyDescent="0.25"/>
  <sheetData>
    <row r="3" spans="2:11" x14ac:dyDescent="0.25">
      <c r="B3" s="1"/>
      <c r="C3">
        <v>0.5</v>
      </c>
      <c r="D3">
        <v>0.5</v>
      </c>
      <c r="E3">
        <v>0</v>
      </c>
      <c r="F3">
        <v>1.5</v>
      </c>
      <c r="G3">
        <v>1</v>
      </c>
      <c r="H3">
        <v>-0.5</v>
      </c>
      <c r="I3">
        <v>0</v>
      </c>
      <c r="J3">
        <v>0</v>
      </c>
      <c r="K3">
        <v>7.5</v>
      </c>
    </row>
    <row r="4" spans="2:11" x14ac:dyDescent="0.25">
      <c r="C4">
        <v>2.5</v>
      </c>
      <c r="D4">
        <v>1.5</v>
      </c>
      <c r="E4">
        <v>1</v>
      </c>
      <c r="F4">
        <v>2.5</v>
      </c>
      <c r="G4">
        <v>0</v>
      </c>
      <c r="H4">
        <v>0.5</v>
      </c>
      <c r="I4">
        <v>0</v>
      </c>
      <c r="J4">
        <v>0</v>
      </c>
      <c r="K4">
        <v>2.5</v>
      </c>
    </row>
    <row r="5" spans="2:11" x14ac:dyDescent="0.25"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-1</v>
      </c>
      <c r="J5">
        <v>1</v>
      </c>
      <c r="K5">
        <v>1</v>
      </c>
    </row>
    <row r="7" spans="2:11" x14ac:dyDescent="0.25">
      <c r="C7">
        <f>C3-(0.5*C5)</f>
        <v>0</v>
      </c>
      <c r="D7">
        <f t="shared" ref="D7:J7" si="0">D3-(0.5*D5)</f>
        <v>0</v>
      </c>
      <c r="E7">
        <f t="shared" si="0"/>
        <v>0</v>
      </c>
      <c r="F7">
        <f t="shared" si="0"/>
        <v>1</v>
      </c>
      <c r="G7">
        <f t="shared" si="0"/>
        <v>1</v>
      </c>
      <c r="H7">
        <f t="shared" si="0"/>
        <v>-1</v>
      </c>
      <c r="I7">
        <f t="shared" si="0"/>
        <v>0.5</v>
      </c>
      <c r="J7">
        <f t="shared" si="0"/>
        <v>-0.5</v>
      </c>
      <c r="K7">
        <f>K3-(0.5*K5)</f>
        <v>7</v>
      </c>
    </row>
    <row r="8" spans="2:11" x14ac:dyDescent="0.25">
      <c r="C8">
        <f>C4-(C5*2.5)</f>
        <v>0</v>
      </c>
      <c r="D8">
        <f t="shared" ref="D8:K8" si="1">D4-(D5*2.5)</f>
        <v>-1</v>
      </c>
      <c r="E8">
        <f t="shared" si="1"/>
        <v>1</v>
      </c>
      <c r="F8">
        <f t="shared" si="1"/>
        <v>0</v>
      </c>
      <c r="G8">
        <f t="shared" si="1"/>
        <v>0</v>
      </c>
      <c r="H8">
        <f t="shared" si="1"/>
        <v>-2</v>
      </c>
      <c r="I8">
        <f t="shared" si="1"/>
        <v>2.5</v>
      </c>
      <c r="J8">
        <f t="shared" si="1"/>
        <v>-2.5</v>
      </c>
      <c r="K8">
        <f t="shared" si="1"/>
        <v>0</v>
      </c>
    </row>
    <row r="9" spans="2:11" x14ac:dyDescent="0.25">
      <c r="C9">
        <f>C5</f>
        <v>1</v>
      </c>
      <c r="D9">
        <f t="shared" ref="D9:K9" si="2">D5</f>
        <v>1</v>
      </c>
      <c r="E9">
        <f t="shared" si="2"/>
        <v>0</v>
      </c>
      <c r="F9">
        <f t="shared" si="2"/>
        <v>1</v>
      </c>
      <c r="G9">
        <f t="shared" si="2"/>
        <v>0</v>
      </c>
      <c r="H9">
        <f t="shared" si="2"/>
        <v>1</v>
      </c>
      <c r="I9">
        <f t="shared" si="2"/>
        <v>-1</v>
      </c>
      <c r="J9">
        <f t="shared" si="2"/>
        <v>1</v>
      </c>
      <c r="K9">
        <f t="shared" si="2"/>
        <v>1</v>
      </c>
    </row>
    <row r="11" spans="2:11" x14ac:dyDescent="0.25">
      <c r="C11">
        <v>6.5</v>
      </c>
      <c r="D11">
        <v>2.5</v>
      </c>
      <c r="E11">
        <v>0</v>
      </c>
      <c r="F11">
        <v>6.5</v>
      </c>
      <c r="G11">
        <v>0</v>
      </c>
      <c r="H11">
        <v>1.5</v>
      </c>
      <c r="I11">
        <v>0</v>
      </c>
      <c r="K11">
        <v>7.5</v>
      </c>
    </row>
    <row r="12" spans="2:11" x14ac:dyDescent="0.25">
      <c r="C12">
        <f>C11-(C9*6.5)</f>
        <v>0</v>
      </c>
      <c r="D12">
        <f t="shared" ref="D12:K12" si="3">D11-(D9*6.5)</f>
        <v>-4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-5</v>
      </c>
      <c r="I12">
        <f t="shared" si="3"/>
        <v>6.5</v>
      </c>
      <c r="K12">
        <f t="shared" si="3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8C34-2DB7-47BD-8562-E7CC44674FC3}">
  <dimension ref="B2:R28"/>
  <sheetViews>
    <sheetView tabSelected="1" workbookViewId="0">
      <selection activeCell="M28" sqref="M28"/>
    </sheetView>
  </sheetViews>
  <sheetFormatPr baseColWidth="10" defaultColWidth="11.5703125" defaultRowHeight="15" x14ac:dyDescent="0.25"/>
  <cols>
    <col min="3" max="3" width="23" bestFit="1" customWidth="1"/>
    <col min="9" max="9" width="11.85546875" bestFit="1" customWidth="1"/>
    <col min="10" max="10" width="16.5703125" customWidth="1"/>
    <col min="13" max="13" width="14" customWidth="1"/>
  </cols>
  <sheetData>
    <row r="2" spans="2:18" ht="15.75" thickBot="1" x14ac:dyDescent="0.3"/>
    <row r="3" spans="2:18" ht="15.75" thickBot="1" x14ac:dyDescent="0.3">
      <c r="B3" s="9">
        <v>-9875</v>
      </c>
      <c r="C3" s="16" t="s">
        <v>30</v>
      </c>
      <c r="E3" s="19" t="s">
        <v>0</v>
      </c>
      <c r="F3" s="15">
        <v>5250</v>
      </c>
      <c r="G3" s="2"/>
      <c r="H3" s="2"/>
      <c r="I3" s="2"/>
      <c r="J3" s="31" t="s">
        <v>2</v>
      </c>
      <c r="K3" s="31" t="s">
        <v>3</v>
      </c>
      <c r="L3" s="23" t="s">
        <v>4</v>
      </c>
      <c r="M3" s="22" t="s">
        <v>7</v>
      </c>
      <c r="N3" s="31" t="s">
        <v>8</v>
      </c>
      <c r="O3" s="31" t="s">
        <v>9</v>
      </c>
      <c r="P3" s="21" t="s">
        <v>10</v>
      </c>
      <c r="Q3" s="31" t="s">
        <v>11</v>
      </c>
      <c r="R3" s="23" t="s">
        <v>12</v>
      </c>
    </row>
    <row r="4" spans="2:18" ht="15.75" thickBot="1" x14ac:dyDescent="0.3">
      <c r="B4" s="10">
        <v>0.2</v>
      </c>
      <c r="C4" s="17" t="s">
        <v>31</v>
      </c>
      <c r="E4" s="2"/>
      <c r="F4" s="2"/>
      <c r="G4" s="32">
        <f>$B$3*$F$3+$B$5*J4+$B$6*K4+$B$7*N4+$B$8*O4+$B$9*P4+$B$10*Q4+$B$11*R4</f>
        <v>19543750</v>
      </c>
      <c r="H4" s="20" t="s">
        <v>1</v>
      </c>
      <c r="I4" s="14">
        <v>5500</v>
      </c>
      <c r="J4" s="10">
        <f>IF(AND(I4-$F$3&lt;=$F$3*$B$14, I4-$F$3&gt;0),I4-$F$3,IF(I4-$F$3&gt;=$F$3*$B$14,$F$3*$B$14,0))</f>
        <v>250</v>
      </c>
      <c r="K4" s="10">
        <f>IF((J4+$F$3)&gt;=I4,0,IF((J4+$F$3+$B$15)&lt;=I4,$B$15,I4-(J4+$F$3)))</f>
        <v>0</v>
      </c>
      <c r="L4" s="4">
        <f>$F$3+J4+K4</f>
        <v>5500</v>
      </c>
      <c r="M4" s="12">
        <f>L4-I4</f>
        <v>0</v>
      </c>
      <c r="N4" s="10">
        <f>IF(M4&lt;0,0,IF(M4&gt;=$B$13,$B$13,M4))</f>
        <v>0</v>
      </c>
      <c r="O4" s="10">
        <f>IF(N4&lt;$B$13,0,M4-$B$13)</f>
        <v>0</v>
      </c>
      <c r="P4" s="3">
        <f>IF(M4&lt;0,-M4,0)</f>
        <v>0</v>
      </c>
      <c r="Q4" s="10">
        <f>$B$12-($F$3*9)</f>
        <v>13500</v>
      </c>
      <c r="R4" s="4">
        <f>IF(L4&lt;I4,L4,I4)</f>
        <v>5500</v>
      </c>
    </row>
    <row r="5" spans="2:18" ht="15.75" thickBot="1" x14ac:dyDescent="0.3">
      <c r="B5" s="10">
        <f>B3*(1+B4)</f>
        <v>-11850</v>
      </c>
      <c r="C5" s="17" t="s">
        <v>23</v>
      </c>
      <c r="E5" s="2"/>
      <c r="F5" s="2"/>
      <c r="G5" s="32">
        <f>$B$3*$F$3+$B$5*J5+$B$6*K5+$B$7*N5+$B$8*O5+$B$9*P5+$B$10*Q5+$B$11*R5</f>
        <v>21573125</v>
      </c>
      <c r="H5" s="20" t="s">
        <v>5</v>
      </c>
      <c r="I5" s="14">
        <v>7000</v>
      </c>
      <c r="J5" s="10">
        <f t="shared" ref="J5:J6" si="0">IF(AND(I5-$F$3&lt;=$F$3*$B$14, I5-$F$3&gt;0),I5-$F$3,IF(I5-$F$3&gt;=$F$3*$B$14,$F$3*$B$14,0))</f>
        <v>525</v>
      </c>
      <c r="K5" s="10">
        <f>IF((J5+$F$3)&gt;=I5,0,IF((J5+$F$3+$B$15)&lt;=I5,$B$15,I5-(J5+$F$3)))</f>
        <v>950</v>
      </c>
      <c r="L5" s="6">
        <f>$F$3+J5+K5</f>
        <v>6725</v>
      </c>
      <c r="M5" s="2">
        <f>L5-I5</f>
        <v>-275</v>
      </c>
      <c r="N5" s="10">
        <f>IF(M5&lt;0,0,IF(M5&gt;=$B$13,$B$13,M5))</f>
        <v>0</v>
      </c>
      <c r="O5" s="10">
        <f>IF(N5&lt;$B$13,0,M5-$B$13)</f>
        <v>0</v>
      </c>
      <c r="P5" s="5">
        <f>IF(M5&lt;0,-M5,0)</f>
        <v>275</v>
      </c>
      <c r="Q5" s="10">
        <f t="shared" ref="Q5:Q6" si="1">$B$12-($F$3*9)</f>
        <v>13500</v>
      </c>
      <c r="R5" s="6">
        <f>IF(L5&lt;I5,L5,I5)</f>
        <v>6725</v>
      </c>
    </row>
    <row r="6" spans="2:18" ht="15.75" thickBot="1" x14ac:dyDescent="0.3">
      <c r="B6" s="10">
        <v>-12000</v>
      </c>
      <c r="C6" s="17" t="s">
        <v>3</v>
      </c>
      <c r="E6" s="2"/>
      <c r="F6" s="2"/>
      <c r="G6" s="32">
        <f>$B$3*$F$3+$B$5*J6+$B$6*K6+$B$7*N6+$B$8*O6+$B$9*P6+$B$10*Q6+$B$11*R6</f>
        <v>19323125</v>
      </c>
      <c r="H6" s="20" t="s">
        <v>6</v>
      </c>
      <c r="I6" s="14">
        <v>9500</v>
      </c>
      <c r="J6" s="11">
        <f t="shared" si="0"/>
        <v>525</v>
      </c>
      <c r="K6" s="11">
        <f>IF((J6+$F$3)&gt;=I6,0,IF((J6+$F$3+$B$15)&lt;=I6,$B$15,I6-(J6+$F$3)))</f>
        <v>950</v>
      </c>
      <c r="L6" s="8">
        <f>$F$3+J6+K6</f>
        <v>6725</v>
      </c>
      <c r="M6" s="13">
        <f>L6-I6</f>
        <v>-2775</v>
      </c>
      <c r="N6" s="11">
        <f>IF(M6&lt;0,0,IF(M6&gt;=$B$13,$B$13,M6))</f>
        <v>0</v>
      </c>
      <c r="O6" s="11">
        <f>IF(N6&lt;$B$13,0,M6-$B$13)</f>
        <v>0</v>
      </c>
      <c r="P6" s="7">
        <f>IF(M6&lt;0,-M6,0)</f>
        <v>2775</v>
      </c>
      <c r="Q6" s="11">
        <f t="shared" si="1"/>
        <v>13500</v>
      </c>
      <c r="R6" s="8">
        <f>IF(L6&lt;I6,L6,I6)</f>
        <v>6725</v>
      </c>
    </row>
    <row r="7" spans="2:18" ht="15.75" thickBot="1" x14ac:dyDescent="0.3">
      <c r="B7" s="10">
        <v>-800</v>
      </c>
      <c r="C7" s="17" t="s">
        <v>24</v>
      </c>
      <c r="E7" s="19" t="s">
        <v>13</v>
      </c>
      <c r="F7" s="15">
        <v>6000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15.75" thickBot="1" x14ac:dyDescent="0.3">
      <c r="B8" s="10">
        <v>-850</v>
      </c>
      <c r="C8" s="17" t="s">
        <v>9</v>
      </c>
      <c r="E8" s="2"/>
      <c r="F8" s="2"/>
      <c r="G8" s="32">
        <f>$B$3*$F$7+$B$5*J8+$B$6*K8+$B$7*N8+$B$8*O8+$B$9*P8+$B$10*Q8+$B$11*R8</f>
        <v>15543750</v>
      </c>
      <c r="H8" s="20" t="s">
        <v>1</v>
      </c>
      <c r="I8" s="14">
        <f>I4</f>
        <v>5500</v>
      </c>
      <c r="J8" s="9">
        <f>IF(AND(I8-$F$7&lt;=$F$7*$B$14, I8-$F$7&gt;0),I8-$F$7,IF(I8-$F$7&gt;=$F$7*$B$14,$F$7*$B$14,0))</f>
        <v>0</v>
      </c>
      <c r="K8" s="9">
        <f>IF((J8+$F$7)&gt;=I8,0,IF((J8+$F$7+$B$15)&lt;=I8,$B$15,I8-(J8+$F$7)))</f>
        <v>0</v>
      </c>
      <c r="L8" s="4">
        <f>$F$7+J8+K8</f>
        <v>6000</v>
      </c>
      <c r="M8" s="12">
        <f>L8-I8</f>
        <v>500</v>
      </c>
      <c r="N8" s="9">
        <f>IF(M8&lt;0,0,IF(M8&gt;=$B$13,$B$13,M8))</f>
        <v>500</v>
      </c>
      <c r="O8" s="9">
        <f>IF(N8&lt;$B$13,0,M8-$B$13)</f>
        <v>0</v>
      </c>
      <c r="P8" s="3">
        <f>IF(M8&lt;0,-M8,0)</f>
        <v>0</v>
      </c>
      <c r="Q8" s="9">
        <f>$B$12-($F$7*9)</f>
        <v>6750</v>
      </c>
      <c r="R8" s="4">
        <f>IF(L8&lt;I8,L8,I8)</f>
        <v>5500</v>
      </c>
    </row>
    <row r="9" spans="2:18" ht="15.75" thickBot="1" x14ac:dyDescent="0.3">
      <c r="B9" s="10">
        <v>-900</v>
      </c>
      <c r="C9" s="17" t="s">
        <v>25</v>
      </c>
      <c r="E9" s="2"/>
      <c r="F9" s="2"/>
      <c r="G9" s="32">
        <f>$B$3*$F$7+$B$5*J9+$B$6*K9+$B$7*N9+$B$8*O9+$B$9*P9+$B$10*Q9+$B$11*R9</f>
        <v>24771250</v>
      </c>
      <c r="H9" s="20" t="s">
        <v>5</v>
      </c>
      <c r="I9" s="14">
        <f>I5</f>
        <v>7000</v>
      </c>
      <c r="J9" s="10">
        <f t="shared" ref="J9:J10" si="2">IF(AND(I9-$F$7&lt;=$F$7*$B$14, I9-$F$7&gt;0),I9-$F$7,IF(I9-$F$7&gt;=$F$7*$B$14,$F$7*$B$14,0))</f>
        <v>600</v>
      </c>
      <c r="K9" s="10">
        <f>IF((J9+$F$7)&gt;=I9,0,IF((J9+$F$7+$B$15)&lt;=I9,$B$15,I9-(J9+$F$7)))</f>
        <v>400</v>
      </c>
      <c r="L9" s="6">
        <f>$F$7+J9+K9</f>
        <v>7000</v>
      </c>
      <c r="M9" s="2">
        <f>L9-I9</f>
        <v>0</v>
      </c>
      <c r="N9" s="10">
        <f>IF(M9&lt;0,0,IF(M9&gt;=$B$13,$B$13,M9))</f>
        <v>0</v>
      </c>
      <c r="O9" s="10">
        <f>IF(N9&lt;$B$13,0,M9-$B$13)</f>
        <v>0</v>
      </c>
      <c r="P9" s="5">
        <f>IF(M9&lt;0,-M9,0)</f>
        <v>0</v>
      </c>
      <c r="Q9" s="10">
        <f t="shared" ref="Q9:Q10" si="3">$B$12-($F$7*9)</f>
        <v>6750</v>
      </c>
      <c r="R9" s="6">
        <f>IF(L9&lt;I9,L9,I9)</f>
        <v>7000</v>
      </c>
    </row>
    <row r="10" spans="2:18" ht="15.75" thickBot="1" x14ac:dyDescent="0.3">
      <c r="B10" s="10">
        <v>-125</v>
      </c>
      <c r="C10" s="17" t="s">
        <v>26</v>
      </c>
      <c r="E10" s="2"/>
      <c r="F10" s="2"/>
      <c r="G10" s="32">
        <f>$B$3*$F$7+$B$5*J10+$B$6*K10+$B$7*N10+$B$8*O10+$B$9*P10+$B$10*Q10+$B$11*R10</f>
        <v>24020000</v>
      </c>
      <c r="H10" s="20" t="s">
        <v>6</v>
      </c>
      <c r="I10" s="14">
        <f>I6</f>
        <v>9500</v>
      </c>
      <c r="J10" s="11">
        <f t="shared" si="2"/>
        <v>600</v>
      </c>
      <c r="K10" s="11">
        <f>IF((J10+$F$7)&gt;=I10,0,IF((J10+$F$7+$B$15)&lt;=I10,$B$15,I10-(J10+$F$7)))</f>
        <v>950</v>
      </c>
      <c r="L10" s="8">
        <f>$F$7+J10+K10</f>
        <v>7550</v>
      </c>
      <c r="M10" s="13">
        <f>L10-I10</f>
        <v>-1950</v>
      </c>
      <c r="N10" s="11">
        <f>IF(M10&lt;0,0,IF(M10&gt;=$B$13,$B$13,M10))</f>
        <v>0</v>
      </c>
      <c r="O10" s="11">
        <f>IF(N10&lt;$B$13,0,M10-$B$13)</f>
        <v>0</v>
      </c>
      <c r="P10" s="7">
        <f>IF(M10&lt;0,-M10,0)</f>
        <v>1950</v>
      </c>
      <c r="Q10" s="11">
        <f t="shared" si="3"/>
        <v>6750</v>
      </c>
      <c r="R10" s="8">
        <f>IF(L10&lt;I10,L10,I10)</f>
        <v>7550</v>
      </c>
    </row>
    <row r="11" spans="2:18" ht="15.75" thickBot="1" x14ac:dyDescent="0.3">
      <c r="B11" s="10">
        <v>13825</v>
      </c>
      <c r="C11" s="17" t="s">
        <v>12</v>
      </c>
      <c r="E11" s="19" t="s">
        <v>14</v>
      </c>
      <c r="F11" s="15">
        <v>6750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ht="15.75" thickBot="1" x14ac:dyDescent="0.3">
      <c r="B12" s="10">
        <v>60750</v>
      </c>
      <c r="C12" s="34" t="s">
        <v>22</v>
      </c>
      <c r="E12" s="2"/>
      <c r="F12" s="2"/>
      <c r="G12" s="32">
        <f>$B$3*$F$11+$B$5*J12+$B$6*K12+$B$7*N12+$B$8*O12+$B$9*P12+$B$10*Q12+$B$11*R12</f>
        <v>8351250</v>
      </c>
      <c r="H12" s="20" t="s">
        <v>1</v>
      </c>
      <c r="I12" s="14">
        <f>I8</f>
        <v>5500</v>
      </c>
      <c r="J12" s="9">
        <f>IF(AND(I12-$F$11&lt;=$F$11*$B$14, I12-$F$11&gt;0),I12-$F$11,IF(I12-$F$11&gt;=$F$11*$B$14,$F$11*$B$14,0))</f>
        <v>0</v>
      </c>
      <c r="K12" s="9">
        <f>IF((J12+$F$11)&gt;=I12,0,IF((J12+$F$11+$B$15)&lt;=I12,$B$15,I12-(J12+$F$11)))</f>
        <v>0</v>
      </c>
      <c r="L12" s="12">
        <f>$F$11+J12+K12</f>
        <v>6750</v>
      </c>
      <c r="M12" s="9">
        <f>L12-I12</f>
        <v>1250</v>
      </c>
      <c r="N12" s="9">
        <f>IF(M12&lt;0,0,IF(M12&gt;=$B$13,$B$13,M12))</f>
        <v>650</v>
      </c>
      <c r="O12" s="9">
        <f>IF(N12&lt;$B$13,0,M12-$B$13)</f>
        <v>600</v>
      </c>
      <c r="P12" s="12">
        <f>IF(M12&lt;0,-M12,0)</f>
        <v>0</v>
      </c>
      <c r="Q12" s="9">
        <f>$B$12-($F$11*9)</f>
        <v>0</v>
      </c>
      <c r="R12" s="4">
        <f>IF(L12&lt;I12,L12,I12)</f>
        <v>5500</v>
      </c>
    </row>
    <row r="13" spans="2:18" ht="15.75" thickBot="1" x14ac:dyDescent="0.3">
      <c r="B13" s="10">
        <v>650</v>
      </c>
      <c r="C13" s="17" t="s">
        <v>27</v>
      </c>
      <c r="E13" s="2"/>
      <c r="F13" s="2"/>
      <c r="G13" s="32">
        <f>$B$3*$F$11+$B$5*J13+$B$6*K13+$B$7*N13+$B$8*O13+$B$9*P13+$B$10*Q13+$B$11*R13</f>
        <v>27156250</v>
      </c>
      <c r="H13" s="20" t="s">
        <v>5</v>
      </c>
      <c r="I13" s="14">
        <f>I9</f>
        <v>7000</v>
      </c>
      <c r="J13" s="10">
        <f t="shared" ref="J13:J14" si="4">IF(AND(I13-$F$11&lt;=$F$11*$B$14, I13-$F$11&gt;0),I13-$F$11,IF(I13-$F$11&gt;=$F$11*$B$14,$F$11*$B$14,0))</f>
        <v>250</v>
      </c>
      <c r="K13" s="10">
        <f>IF((J13+$F$11)&gt;=I13,0,IF((J13+$F$11+$B$15)&lt;=I13,$B$15,I13-(J13+$F$11)))</f>
        <v>0</v>
      </c>
      <c r="L13" s="2">
        <f>$F$11+J13+K13</f>
        <v>7000</v>
      </c>
      <c r="M13" s="10">
        <f>L13-I13</f>
        <v>0</v>
      </c>
      <c r="N13" s="10">
        <f>IF(M13&lt;0,0,IF(M13&gt;=$B$13,$B$13,M13))</f>
        <v>0</v>
      </c>
      <c r="O13" s="10">
        <f>IF(N13&lt;$B$13,0,M13-$B$13)</f>
        <v>0</v>
      </c>
      <c r="P13" s="2">
        <f>IF(M13&lt;0,-M13,0)</f>
        <v>0</v>
      </c>
      <c r="Q13" s="10">
        <f t="shared" ref="Q13:Q14" si="5">$B$12-($F$11*9)</f>
        <v>0</v>
      </c>
      <c r="R13" s="6">
        <f>IF(L13&lt;I13,L13,I13)</f>
        <v>7000</v>
      </c>
    </row>
    <row r="14" spans="2:18" ht="15.75" thickBot="1" x14ac:dyDescent="0.3">
      <c r="B14" s="10">
        <v>0.1</v>
      </c>
      <c r="C14" s="17" t="s">
        <v>28</v>
      </c>
      <c r="E14" s="2"/>
      <c r="F14" s="2"/>
      <c r="G14" s="32">
        <f>$B$3*$F$11+$B$5*J14+$B$6*K14+$B$7*N14+$B$8*O14+$B$9*P14+$B$10*Q14+$B$11*R14</f>
        <v>28716875</v>
      </c>
      <c r="H14" s="20" t="s">
        <v>6</v>
      </c>
      <c r="I14" s="14">
        <f>I10</f>
        <v>9500</v>
      </c>
      <c r="J14" s="11">
        <f t="shared" si="4"/>
        <v>675</v>
      </c>
      <c r="K14" s="11">
        <f>IF((J14+$F$11)&gt;=I14,0,IF((J14+$F$11+$B$15)&lt;=I14,$B$15,I14-(J14+$F$11)))</f>
        <v>950</v>
      </c>
      <c r="L14" s="13">
        <f>$F$11+J14+K14</f>
        <v>8375</v>
      </c>
      <c r="M14" s="11">
        <f>L14-I14</f>
        <v>-1125</v>
      </c>
      <c r="N14" s="11">
        <f>IF(M14&lt;0,0,IF(M14&gt;=$B$13,$B$13,M14))</f>
        <v>0</v>
      </c>
      <c r="O14" s="11">
        <f>IF(N14&lt;$B$13,0,M14-$B$13)</f>
        <v>0</v>
      </c>
      <c r="P14" s="13">
        <f>IF(M14&lt;0,-M14,0)</f>
        <v>1125</v>
      </c>
      <c r="Q14" s="11">
        <f t="shared" si="5"/>
        <v>0</v>
      </c>
      <c r="R14" s="8">
        <f>IF(L14&lt;I14,L14,I14)</f>
        <v>8375</v>
      </c>
    </row>
    <row r="15" spans="2:18" ht="15.75" thickBot="1" x14ac:dyDescent="0.3">
      <c r="B15" s="11">
        <v>950</v>
      </c>
      <c r="C15" s="18" t="s">
        <v>29</v>
      </c>
      <c r="E15" s="19" t="s">
        <v>15</v>
      </c>
      <c r="F15" s="15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ht="15.75" thickBot="1" x14ac:dyDescent="0.3">
      <c r="E16" s="2"/>
      <c r="F16" s="2"/>
      <c r="G16" s="32">
        <f>$B$3*$F$15+$B$5*J16+$B$6*K16+$B$7*N16+$B$8*O16+$B$9*P16+$B$10*Q16+$B$11*R16</f>
        <v>-7593750</v>
      </c>
      <c r="H16" s="20" t="s">
        <v>1</v>
      </c>
      <c r="I16" s="14">
        <v>0</v>
      </c>
      <c r="J16" s="9">
        <f>IF(AND(I16-$F$15&lt;=$F$15*$B$14, I16-$F$15&gt;0),I16-$F$15,IF(I16-$F$15&gt;=$F$15*$B$14,$F$15*$B$14,0))</f>
        <v>0</v>
      </c>
      <c r="K16" s="9">
        <f>IF((J16+$F$15)&gt;=I16,0,IF((J16+$F$15+$B$15)&lt;=I16,$B$15,I16-(J16+$F$15)))</f>
        <v>0</v>
      </c>
      <c r="L16" s="12">
        <f>$F$15+J16+K16</f>
        <v>0</v>
      </c>
      <c r="M16" s="9">
        <f>L16-I16</f>
        <v>0</v>
      </c>
      <c r="N16" s="9">
        <f>IF(M16&lt;0,0,IF(M16&gt;=$B$13,$B$13,M16))</f>
        <v>0</v>
      </c>
      <c r="O16" s="9">
        <f>IF(N16&lt;$B$13,0,M16-$B$13)</f>
        <v>0</v>
      </c>
      <c r="P16" s="12">
        <f>IF(M16&lt;0,-M16,0)</f>
        <v>0</v>
      </c>
      <c r="Q16" s="9">
        <f>$B$12-($F$15*9)</f>
        <v>60750</v>
      </c>
      <c r="R16" s="4">
        <f>IF(L16&lt;I16,L16,I16)</f>
        <v>0</v>
      </c>
    </row>
    <row r="17" spans="5:18" ht="15.75" thickBot="1" x14ac:dyDescent="0.3">
      <c r="E17" s="2"/>
      <c r="F17" s="2"/>
      <c r="G17" s="32">
        <f>$B$3*$F$15+$B$5*J17+$B$6*K17+$B$7*N17+$B$8*O17+$B$9*P17+$B$10*Q17+$B$11*R17</f>
        <v>-7593750</v>
      </c>
      <c r="H17" s="20" t="s">
        <v>5</v>
      </c>
      <c r="I17" s="14">
        <v>0</v>
      </c>
      <c r="J17" s="10">
        <f t="shared" ref="J17:J18" si="6">IF(AND(I17-$F$15&lt;=$F$15*$B$14, I17-$F$15&gt;0),I17-$F$15,IF(I17-$F$15&gt;=$F$15*$B$14,$F$15*$B$14,0))</f>
        <v>0</v>
      </c>
      <c r="K17" s="10">
        <f>IF((J17+$F$15)&gt;=I17,0,IF((J17+$F$15+$B$15)&lt;=I17,$B$15,I17-(J17+$F$15)))</f>
        <v>0</v>
      </c>
      <c r="L17" s="2">
        <f>$F$15+J17+K17</f>
        <v>0</v>
      </c>
      <c r="M17" s="10">
        <f>L17-I17</f>
        <v>0</v>
      </c>
      <c r="N17" s="10">
        <f>IF(M17&lt;0,0,IF(M17&gt;=$B$13,$B$13,M17))</f>
        <v>0</v>
      </c>
      <c r="O17" s="10">
        <f>IF(N17&lt;$B$13,0,M17-$B$13)</f>
        <v>0</v>
      </c>
      <c r="P17" s="2">
        <f>IF(M17&lt;0,-M17,0)</f>
        <v>0</v>
      </c>
      <c r="Q17" s="10">
        <f t="shared" ref="Q17:Q18" si="7">$B$12-($F$15*9)</f>
        <v>60750</v>
      </c>
      <c r="R17" s="6">
        <f>IF(L17&lt;I17,L17,I17)</f>
        <v>0</v>
      </c>
    </row>
    <row r="18" spans="5:18" ht="15.75" thickBot="1" x14ac:dyDescent="0.3">
      <c r="E18" s="2"/>
      <c r="F18" s="2"/>
      <c r="G18" s="32">
        <f>$B$3*$F$15+$B$5*J18+$B$6*K18+$B$7*N18+$B$8*O18+$B$9*P18+$B$10*Q18+$B$11*R18</f>
        <v>-7593750</v>
      </c>
      <c r="H18" s="20" t="s">
        <v>6</v>
      </c>
      <c r="I18" s="14">
        <v>0</v>
      </c>
      <c r="J18" s="11">
        <f t="shared" si="6"/>
        <v>0</v>
      </c>
      <c r="K18" s="11">
        <f>IF((J18+$F$15)&gt;=I18,0,IF((J18+$F$15+$B$15)&lt;=I18,$B$15,I18-(J18+$F$15)))</f>
        <v>0</v>
      </c>
      <c r="L18" s="13">
        <f>$F$15+J18+K18</f>
        <v>0</v>
      </c>
      <c r="M18" s="11">
        <f>L18-I18</f>
        <v>0</v>
      </c>
      <c r="N18" s="11">
        <f>IF(M18&lt;0,0,IF(M18&gt;=$B$13,$B$13,M18))</f>
        <v>0</v>
      </c>
      <c r="O18" s="11">
        <f>IF(N18&lt;$B$13,0,M18-$B$13)</f>
        <v>0</v>
      </c>
      <c r="P18" s="13">
        <f>IF(M18&lt;0,-M18,0)</f>
        <v>0</v>
      </c>
      <c r="Q18" s="11">
        <f t="shared" si="7"/>
        <v>60750</v>
      </c>
      <c r="R18" s="8">
        <f>IF(L18&lt;I18,L18,I18)</f>
        <v>0</v>
      </c>
    </row>
    <row r="19" spans="5:18" ht="15.75" thickBot="1" x14ac:dyDescent="0.3"/>
    <row r="20" spans="5:18" ht="15.75" thickBot="1" x14ac:dyDescent="0.3">
      <c r="E20" s="8"/>
      <c r="F20" s="35" t="s">
        <v>17</v>
      </c>
      <c r="G20" s="36"/>
      <c r="H20" s="37"/>
    </row>
    <row r="21" spans="5:18" ht="15.75" thickBot="1" x14ac:dyDescent="0.3">
      <c r="E21" s="27" t="s">
        <v>16</v>
      </c>
      <c r="F21" s="24">
        <v>5000</v>
      </c>
      <c r="G21" s="25">
        <v>8000</v>
      </c>
      <c r="H21" s="26">
        <v>11000</v>
      </c>
    </row>
    <row r="22" spans="5:18" ht="15.75" thickBot="1" x14ac:dyDescent="0.3">
      <c r="E22" s="28" t="s">
        <v>18</v>
      </c>
      <c r="F22" s="32">
        <f>$G$4</f>
        <v>19543750</v>
      </c>
      <c r="G22" s="32">
        <f>G5</f>
        <v>21573125</v>
      </c>
      <c r="H22" s="32">
        <f>G6</f>
        <v>19323125</v>
      </c>
    </row>
    <row r="23" spans="5:18" ht="15.75" thickBot="1" x14ac:dyDescent="0.3">
      <c r="E23" s="29" t="s">
        <v>19</v>
      </c>
      <c r="F23" s="32">
        <f>G8</f>
        <v>15543750</v>
      </c>
      <c r="G23" s="32">
        <f>G9</f>
        <v>24771250</v>
      </c>
      <c r="H23" s="32">
        <f>G10</f>
        <v>24020000</v>
      </c>
    </row>
    <row r="24" spans="5:18" ht="15.75" thickBot="1" x14ac:dyDescent="0.3">
      <c r="E24" s="29" t="s">
        <v>20</v>
      </c>
      <c r="F24" s="32">
        <f>G12</f>
        <v>8351250</v>
      </c>
      <c r="G24" s="32">
        <f>G13</f>
        <v>27156250</v>
      </c>
      <c r="H24" s="32">
        <f>G14</f>
        <v>28716875</v>
      </c>
    </row>
    <row r="25" spans="5:18" ht="15.75" thickBot="1" x14ac:dyDescent="0.3">
      <c r="E25" s="30" t="s">
        <v>21</v>
      </c>
      <c r="F25" s="32">
        <f>G16</f>
        <v>-7593750</v>
      </c>
      <c r="G25" s="32">
        <f>G17</f>
        <v>-7593750</v>
      </c>
      <c r="H25" s="32">
        <f>G18</f>
        <v>-7593750</v>
      </c>
    </row>
    <row r="26" spans="5:18" x14ac:dyDescent="0.25">
      <c r="E26" s="2"/>
      <c r="F26" s="2"/>
      <c r="G26" s="2"/>
      <c r="H26" s="2"/>
    </row>
    <row r="28" spans="5:18" x14ac:dyDescent="0.25">
      <c r="K28" s="2"/>
    </row>
  </sheetData>
  <mergeCells count="1">
    <mergeCell ref="F20:H20"/>
  </mergeCells>
  <conditionalFormatting sqref="G4:G6 F22:H25">
    <cfRule type="cellIs" dxfId="3" priority="4" operator="lessThan">
      <formula>0</formula>
    </cfRule>
  </conditionalFormatting>
  <conditionalFormatting sqref="G8:G10">
    <cfRule type="cellIs" dxfId="2" priority="3" operator="lessThan">
      <formula>0</formula>
    </cfRule>
  </conditionalFormatting>
  <conditionalFormatting sqref="G12:G14">
    <cfRule type="cellIs" dxfId="1" priority="2" operator="lessThan">
      <formula>0</formula>
    </cfRule>
  </conditionalFormatting>
  <conditionalFormatting sqref="G16:G18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6</vt:lpstr>
      <vt:lpstr>Ejercicio 3</vt:lpstr>
      <vt:lpstr>Ejercicio 5</vt:lpstr>
      <vt:lpstr>Hoja3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Ramón Méndez</cp:lastModifiedBy>
  <dcterms:created xsi:type="dcterms:W3CDTF">2023-03-21T02:39:50Z</dcterms:created>
  <dcterms:modified xsi:type="dcterms:W3CDTF">2023-09-26T06:21:39Z</dcterms:modified>
</cp:coreProperties>
</file>