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/>
  </bookViews>
  <sheets>
    <sheet name="I&amp;O" sheetId="1" r:id="rId1"/>
    <sheet name="Diet Chart" sheetId="2" r:id="rId2"/>
    <sheet name="Adults" sheetId="3" r:id="rId3"/>
    <sheet name="Basic diet cal" sheetId="4" r:id="rId4"/>
  </sheets>
  <definedNames>
    <definedName name="_xlnm.Database">#REF!</definedName>
    <definedName name="import">#REF!</definedName>
    <definedName name="NIN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AG47" i="2"/>
  <c r="AF47"/>
  <c r="AE47"/>
  <c r="AD47"/>
  <c r="AC47"/>
  <c r="AB47"/>
  <c r="AA47"/>
  <c r="Z47"/>
  <c r="Y47"/>
  <c r="X47"/>
  <c r="W47"/>
  <c r="V47"/>
  <c r="AG24"/>
  <c r="AF24"/>
  <c r="AE24"/>
  <c r="AD24"/>
  <c r="AC24"/>
  <c r="AB24"/>
  <c r="AA24"/>
  <c r="Z24"/>
  <c r="Y24"/>
  <c r="X24"/>
  <c r="W24"/>
  <c r="V24"/>
  <c r="D126" i="1" l="1"/>
  <c r="D125"/>
  <c r="D124"/>
  <c r="D123"/>
  <c r="D121"/>
  <c r="C6"/>
  <c r="M26" i="2" l="1"/>
  <c r="L26"/>
  <c r="K26"/>
  <c r="J26"/>
  <c r="I26"/>
  <c r="H26"/>
  <c r="G26"/>
  <c r="F26"/>
  <c r="E26"/>
  <c r="D26"/>
  <c r="C26"/>
  <c r="M23"/>
  <c r="L23"/>
  <c r="K23"/>
  <c r="J23"/>
  <c r="I23"/>
  <c r="H23"/>
  <c r="G23"/>
  <c r="F23"/>
  <c r="E23"/>
  <c r="D23"/>
  <c r="C23"/>
  <c r="M20"/>
  <c r="L20"/>
  <c r="K20"/>
  <c r="J20"/>
  <c r="I20"/>
  <c r="H20"/>
  <c r="G20"/>
  <c r="F20"/>
  <c r="E20"/>
  <c r="D20"/>
  <c r="C20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M49"/>
  <c r="L49"/>
  <c r="K49"/>
  <c r="J49"/>
  <c r="I49"/>
  <c r="H49"/>
  <c r="G49"/>
  <c r="F49"/>
  <c r="E49"/>
  <c r="D49"/>
  <c r="C49"/>
  <c r="M46"/>
  <c r="L46"/>
  <c r="K46"/>
  <c r="J46"/>
  <c r="I46"/>
  <c r="H46"/>
  <c r="G46"/>
  <c r="F46"/>
  <c r="E46"/>
  <c r="D46"/>
  <c r="C46"/>
  <c r="M43"/>
  <c r="L43"/>
  <c r="K43"/>
  <c r="J43"/>
  <c r="I43"/>
  <c r="H43"/>
  <c r="G43"/>
  <c r="F43"/>
  <c r="E43"/>
  <c r="D43"/>
  <c r="C43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M72"/>
  <c r="L72"/>
  <c r="K72"/>
  <c r="J72"/>
  <c r="I72"/>
  <c r="H72"/>
  <c r="G72"/>
  <c r="F72"/>
  <c r="E72"/>
  <c r="D72"/>
  <c r="C72"/>
  <c r="M69"/>
  <c r="L69"/>
  <c r="K69"/>
  <c r="J69"/>
  <c r="I69"/>
  <c r="H69"/>
  <c r="G69"/>
  <c r="F69"/>
  <c r="E69"/>
  <c r="D69"/>
  <c r="C69"/>
  <c r="M66"/>
  <c r="L66"/>
  <c r="K66"/>
  <c r="J66"/>
  <c r="I66"/>
  <c r="H66"/>
  <c r="G66"/>
  <c r="F66"/>
  <c r="E66"/>
  <c r="D66"/>
  <c r="C66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69"/>
  <c r="B66"/>
  <c r="B56"/>
  <c r="B55"/>
  <c r="B54"/>
  <c r="B49"/>
  <c r="B46"/>
  <c r="B43"/>
  <c r="B33"/>
  <c r="B32"/>
  <c r="B31"/>
  <c r="B26"/>
  <c r="B23"/>
  <c r="B20"/>
  <c r="B10"/>
  <c r="B9"/>
  <c r="B8"/>
  <c r="B12" i="3" l="1"/>
  <c r="O4" i="2"/>
  <c r="M22" l="1"/>
  <c r="I22"/>
  <c r="E22"/>
  <c r="M17"/>
  <c r="I17"/>
  <c r="E17"/>
  <c r="L16"/>
  <c r="H16"/>
  <c r="D16"/>
  <c r="J13"/>
  <c r="F13"/>
  <c r="M12"/>
  <c r="I12"/>
  <c r="E12"/>
  <c r="L11"/>
  <c r="H11"/>
  <c r="D11"/>
  <c r="L45"/>
  <c r="H45"/>
  <c r="D45"/>
  <c r="L40"/>
  <c r="H40"/>
  <c r="D40"/>
  <c r="K39"/>
  <c r="G39"/>
  <c r="L22"/>
  <c r="H22"/>
  <c r="D22"/>
  <c r="L17"/>
  <c r="H17"/>
  <c r="D17"/>
  <c r="K16"/>
  <c r="G16"/>
  <c r="C16"/>
  <c r="M13"/>
  <c r="I13"/>
  <c r="E13"/>
  <c r="L12"/>
  <c r="H12"/>
  <c r="D12"/>
  <c r="K11"/>
  <c r="G11"/>
  <c r="C11"/>
  <c r="K45"/>
  <c r="G45"/>
  <c r="C45"/>
  <c r="K40"/>
  <c r="G40"/>
  <c r="C40"/>
  <c r="J39"/>
  <c r="F39"/>
  <c r="K22"/>
  <c r="G22"/>
  <c r="C22"/>
  <c r="K17"/>
  <c r="G17"/>
  <c r="C17"/>
  <c r="J16"/>
  <c r="F16"/>
  <c r="L13"/>
  <c r="H13"/>
  <c r="D13"/>
  <c r="K12"/>
  <c r="G12"/>
  <c r="C12"/>
  <c r="J11"/>
  <c r="F11"/>
  <c r="J45"/>
  <c r="F45"/>
  <c r="J40"/>
  <c r="F40"/>
  <c r="M39"/>
  <c r="I39"/>
  <c r="E39"/>
  <c r="K36"/>
  <c r="G36"/>
  <c r="C36"/>
  <c r="J35"/>
  <c r="F35"/>
  <c r="M34"/>
  <c r="I34"/>
  <c r="E34"/>
  <c r="M68"/>
  <c r="I68"/>
  <c r="E68"/>
  <c r="M63"/>
  <c r="I63"/>
  <c r="E63"/>
  <c r="L62"/>
  <c r="H62"/>
  <c r="D62"/>
  <c r="J22"/>
  <c r="F22"/>
  <c r="J17"/>
  <c r="F17"/>
  <c r="M16"/>
  <c r="I16"/>
  <c r="E16"/>
  <c r="K13"/>
  <c r="G13"/>
  <c r="C13"/>
  <c r="J12"/>
  <c r="F12"/>
  <c r="M11"/>
  <c r="I11"/>
  <c r="E11"/>
  <c r="M45"/>
  <c r="I45"/>
  <c r="E45"/>
  <c r="M40"/>
  <c r="I40"/>
  <c r="E40"/>
  <c r="L39"/>
  <c r="H39"/>
  <c r="D39"/>
  <c r="J36"/>
  <c r="F36"/>
  <c r="M35"/>
  <c r="I35"/>
  <c r="E35"/>
  <c r="L34"/>
  <c r="H34"/>
  <c r="D34"/>
  <c r="L68"/>
  <c r="H68"/>
  <c r="D68"/>
  <c r="L63"/>
  <c r="H63"/>
  <c r="D63"/>
  <c r="K62"/>
  <c r="G62"/>
  <c r="C62"/>
  <c r="M59"/>
  <c r="I59"/>
  <c r="H36"/>
  <c r="K35"/>
  <c r="C35"/>
  <c r="F34"/>
  <c r="C68"/>
  <c r="M62"/>
  <c r="C58"/>
  <c r="B11"/>
  <c r="I57"/>
  <c r="B58"/>
  <c r="B36"/>
  <c r="M36"/>
  <c r="E36"/>
  <c r="H35"/>
  <c r="K34"/>
  <c r="C34"/>
  <c r="J68"/>
  <c r="J62"/>
  <c r="J58"/>
  <c r="E57"/>
  <c r="B68"/>
  <c r="L36"/>
  <c r="D36"/>
  <c r="G35"/>
  <c r="J34"/>
  <c r="G68"/>
  <c r="F63"/>
  <c r="I62"/>
  <c r="K59"/>
  <c r="F59"/>
  <c r="M58"/>
  <c r="I58"/>
  <c r="E58"/>
  <c r="L57"/>
  <c r="H57"/>
  <c r="D57"/>
  <c r="B62"/>
  <c r="B57"/>
  <c r="B45"/>
  <c r="B40"/>
  <c r="B35"/>
  <c r="B13"/>
  <c r="H59"/>
  <c r="K58"/>
  <c r="J57"/>
  <c r="B59"/>
  <c r="B16"/>
  <c r="G59"/>
  <c r="F58"/>
  <c r="B63"/>
  <c r="C39"/>
  <c r="I36"/>
  <c r="L35"/>
  <c r="D35"/>
  <c r="G34"/>
  <c r="F68"/>
  <c r="K63"/>
  <c r="C63"/>
  <c r="F62"/>
  <c r="J59"/>
  <c r="E59"/>
  <c r="L58"/>
  <c r="H58"/>
  <c r="D58"/>
  <c r="K57"/>
  <c r="G57"/>
  <c r="C57"/>
  <c r="B39"/>
  <c r="B34"/>
  <c r="B22"/>
  <c r="B17"/>
  <c r="B12"/>
  <c r="K68"/>
  <c r="J63"/>
  <c r="E62"/>
  <c r="D59"/>
  <c r="G58"/>
  <c r="F57"/>
  <c r="G63"/>
  <c r="L59"/>
  <c r="C59"/>
  <c r="M57"/>
  <c r="E23" i="1" l="1"/>
  <c r="F23" s="1"/>
  <c r="C25" s="1"/>
  <c r="C18" l="1"/>
  <c r="B70" i="3" l="1"/>
  <c r="B71" s="1"/>
  <c r="O7" i="2"/>
  <c r="E182" i="4"/>
  <c r="E130"/>
  <c r="E129"/>
  <c r="E128"/>
  <c r="E127"/>
  <c r="E126"/>
  <c r="E125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E142" l="1"/>
  <c r="O24" i="2"/>
  <c r="O48"/>
  <c r="O47"/>
  <c r="O25"/>
  <c r="O71"/>
  <c r="O70"/>
  <c r="Z203" i="4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AB203"/>
  <c r="AF203"/>
  <c r="AG203"/>
  <c r="AD203"/>
  <c r="I47" i="2" l="1"/>
  <c r="H47"/>
  <c r="K47"/>
  <c r="E47"/>
  <c r="D47"/>
  <c r="G47"/>
  <c r="B47"/>
  <c r="J47"/>
  <c r="C47"/>
  <c r="F47"/>
  <c r="M47"/>
  <c r="L47"/>
  <c r="F70"/>
  <c r="H70"/>
  <c r="B70"/>
  <c r="K70"/>
  <c r="I70"/>
  <c r="L70"/>
  <c r="D70"/>
  <c r="M70"/>
  <c r="G70"/>
  <c r="C70"/>
  <c r="J70"/>
  <c r="E70"/>
  <c r="D71"/>
  <c r="K71"/>
  <c r="F71"/>
  <c r="G71"/>
  <c r="B71"/>
  <c r="J71"/>
  <c r="L71"/>
  <c r="C71"/>
  <c r="I71"/>
  <c r="M71"/>
  <c r="H71"/>
  <c r="E71"/>
  <c r="G24"/>
  <c r="D24"/>
  <c r="B24"/>
  <c r="C24"/>
  <c r="J24"/>
  <c r="M24"/>
  <c r="F24"/>
  <c r="I24"/>
  <c r="L24"/>
  <c r="K24"/>
  <c r="E24"/>
  <c r="H24"/>
  <c r="D117" i="1"/>
  <c r="E103"/>
  <c r="E85" i="4" s="1"/>
  <c r="O3" i="2" l="1"/>
  <c r="B10" i="3"/>
  <c r="B9"/>
  <c r="B7"/>
  <c r="AG212" i="4"/>
  <c r="AG4" s="1"/>
  <c r="AF212"/>
  <c r="AF4" s="1"/>
  <c r="AE212"/>
  <c r="AD212"/>
  <c r="AD4" s="1"/>
  <c r="AC212"/>
  <c r="AC4" s="1"/>
  <c r="AB212"/>
  <c r="AB4" s="1"/>
  <c r="AA212"/>
  <c r="Z212"/>
  <c r="Z4" s="1"/>
  <c r="Y212"/>
  <c r="Y4" s="1"/>
  <c r="X212"/>
  <c r="X4" s="1"/>
  <c r="W212"/>
  <c r="V212"/>
  <c r="V4" s="1"/>
  <c r="U212"/>
  <c r="U4" s="1"/>
  <c r="T212"/>
  <c r="T4" s="1"/>
  <c r="S212"/>
  <c r="R212"/>
  <c r="R4" s="1"/>
  <c r="Q212"/>
  <c r="Q4" s="1"/>
  <c r="P212"/>
  <c r="P4" s="1"/>
  <c r="O212"/>
  <c r="N212"/>
  <c r="N4" s="1"/>
  <c r="L212"/>
  <c r="K212"/>
  <c r="K4" s="1"/>
  <c r="J212"/>
  <c r="I212"/>
  <c r="H212"/>
  <c r="G212"/>
  <c r="G4" s="1"/>
  <c r="F212"/>
  <c r="E212"/>
  <c r="AG169"/>
  <c r="AF169"/>
  <c r="AF6" s="1"/>
  <c r="AE169"/>
  <c r="AD169"/>
  <c r="AC169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E13" s="1"/>
  <c r="AD160"/>
  <c r="AC160"/>
  <c r="AC13" s="1"/>
  <c r="AB160"/>
  <c r="AB13" s="1"/>
  <c r="AA160"/>
  <c r="AA13" s="1"/>
  <c r="Z160"/>
  <c r="Y160"/>
  <c r="Y13" s="1"/>
  <c r="X160"/>
  <c r="X13" s="1"/>
  <c r="W160"/>
  <c r="W13" s="1"/>
  <c r="V160"/>
  <c r="U160"/>
  <c r="U13" s="1"/>
  <c r="T160"/>
  <c r="T13" s="1"/>
  <c r="S160"/>
  <c r="S13" s="1"/>
  <c r="R160"/>
  <c r="Q160"/>
  <c r="Q13" s="1"/>
  <c r="P160"/>
  <c r="P13" s="1"/>
  <c r="O160"/>
  <c r="O13" s="1"/>
  <c r="N160"/>
  <c r="M160"/>
  <c r="M13" s="1"/>
  <c r="L160"/>
  <c r="L13" s="1"/>
  <c r="K160"/>
  <c r="K13" s="1"/>
  <c r="J160"/>
  <c r="I160"/>
  <c r="I13" s="1"/>
  <c r="H160"/>
  <c r="H13" s="1"/>
  <c r="G160"/>
  <c r="G13" s="1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N68"/>
  <c r="N9" s="1"/>
  <c r="M68"/>
  <c r="M9" s="1"/>
  <c r="L68"/>
  <c r="L9" s="1"/>
  <c r="K68"/>
  <c r="J68"/>
  <c r="J9" s="1"/>
  <c r="I68"/>
  <c r="I9" s="1"/>
  <c r="H68"/>
  <c r="H9" s="1"/>
  <c r="G68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D13"/>
  <c r="Z13"/>
  <c r="V13"/>
  <c r="R13"/>
  <c r="N13"/>
  <c r="J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O9"/>
  <c r="K9"/>
  <c r="G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G6"/>
  <c r="AE6"/>
  <c r="AD6"/>
  <c r="AC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E4"/>
  <c r="AA4"/>
  <c r="W4"/>
  <c r="S4"/>
  <c r="O4"/>
  <c r="M4"/>
  <c r="L4"/>
  <c r="J4"/>
  <c r="I4"/>
  <c r="H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C71" i="1"/>
  <c r="AG48" i="2" l="1"/>
  <c r="AC48"/>
  <c r="Y48"/>
  <c r="AF48"/>
  <c r="AB48"/>
  <c r="X48"/>
  <c r="AE25"/>
  <c r="AA25"/>
  <c r="W25"/>
  <c r="AD25"/>
  <c r="Z25"/>
  <c r="AE48"/>
  <c r="AA48"/>
  <c r="W48"/>
  <c r="AD48"/>
  <c r="Z48"/>
  <c r="AG25"/>
  <c r="AC25"/>
  <c r="Y25"/>
  <c r="AF25"/>
  <c r="AB25"/>
  <c r="X25"/>
  <c r="M48"/>
  <c r="I48"/>
  <c r="E48"/>
  <c r="M25"/>
  <c r="I25"/>
  <c r="E25"/>
  <c r="L48"/>
  <c r="H48"/>
  <c r="D48"/>
  <c r="L25"/>
  <c r="H25"/>
  <c r="D25"/>
  <c r="K48"/>
  <c r="G48"/>
  <c r="C48"/>
  <c r="K25"/>
  <c r="G25"/>
  <c r="C25"/>
  <c r="J48"/>
  <c r="F48"/>
  <c r="V48"/>
  <c r="B48" s="1"/>
  <c r="J25"/>
  <c r="F25"/>
  <c r="V25"/>
  <c r="B25" s="1"/>
  <c r="J18"/>
  <c r="K15"/>
  <c r="G44"/>
  <c r="E41"/>
  <c r="C21"/>
  <c r="H41"/>
  <c r="F21"/>
  <c r="M44"/>
  <c r="G41"/>
  <c r="H38"/>
  <c r="H67"/>
  <c r="I21"/>
  <c r="C18"/>
  <c r="D15"/>
  <c r="D44"/>
  <c r="K67"/>
  <c r="I64"/>
  <c r="J61"/>
  <c r="M38"/>
  <c r="E67"/>
  <c r="E61"/>
  <c r="F38"/>
  <c r="L21"/>
  <c r="F18"/>
  <c r="G15"/>
  <c r="C44"/>
  <c r="M18"/>
  <c r="J44"/>
  <c r="D41"/>
  <c r="L18"/>
  <c r="M15"/>
  <c r="I44"/>
  <c r="C41"/>
  <c r="D38"/>
  <c r="D67"/>
  <c r="E21"/>
  <c r="J41"/>
  <c r="K38"/>
  <c r="G67"/>
  <c r="E64"/>
  <c r="F61"/>
  <c r="E38"/>
  <c r="M61"/>
  <c r="B15"/>
  <c r="L64"/>
  <c r="I38"/>
  <c r="I67"/>
  <c r="B61"/>
  <c r="C61"/>
  <c r="B21"/>
  <c r="H21"/>
  <c r="C15"/>
  <c r="M41"/>
  <c r="K21"/>
  <c r="I18"/>
  <c r="J15"/>
  <c r="F44"/>
  <c r="H18"/>
  <c r="I15"/>
  <c r="E44"/>
  <c r="J64"/>
  <c r="K61"/>
  <c r="K18"/>
  <c r="L15"/>
  <c r="L44"/>
  <c r="F41"/>
  <c r="G38"/>
  <c r="C67"/>
  <c r="B64"/>
  <c r="J38"/>
  <c r="J67"/>
  <c r="F67"/>
  <c r="H64"/>
  <c r="I61"/>
  <c r="D21"/>
  <c r="K44"/>
  <c r="I41"/>
  <c r="G21"/>
  <c r="E18"/>
  <c r="F15"/>
  <c r="L41"/>
  <c r="J21"/>
  <c r="D18"/>
  <c r="E15"/>
  <c r="K41"/>
  <c r="L38"/>
  <c r="L67"/>
  <c r="F64"/>
  <c r="M21"/>
  <c r="G18"/>
  <c r="H15"/>
  <c r="H44"/>
  <c r="C38"/>
  <c r="M64"/>
  <c r="B38"/>
  <c r="M67"/>
  <c r="G61"/>
  <c r="B41"/>
  <c r="K64"/>
  <c r="L61"/>
  <c r="B18"/>
  <c r="G64"/>
  <c r="D64"/>
  <c r="D61"/>
  <c r="B44"/>
  <c r="B67"/>
  <c r="C64"/>
  <c r="H61"/>
  <c r="C9" i="4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F33" i="1" s="1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3" i="3" l="1"/>
  <c r="C23" s="1"/>
  <c r="P55" i="4"/>
  <c r="S55"/>
  <c r="S57" s="1"/>
  <c r="S3" s="1"/>
  <c r="AF55"/>
  <c r="AF57" s="1"/>
  <c r="AF3" s="1"/>
  <c r="C12"/>
  <c r="B24" i="3"/>
  <c r="C24" s="1"/>
  <c r="C28"/>
  <c r="B15"/>
  <c r="C19" i="1" s="1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M57" s="1"/>
  <c r="M3" s="1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B21" i="3" l="1"/>
  <c r="E19" i="1" s="1"/>
  <c r="E57" i="4"/>
  <c r="C55"/>
  <c r="C57" l="1"/>
  <c r="E3"/>
  <c r="C3" s="1"/>
  <c r="B57" i="3"/>
  <c r="B58" s="1"/>
  <c r="C63" l="1"/>
  <c r="B63"/>
  <c r="B61" s="1"/>
  <c r="C26" i="1"/>
  <c r="B69" i="3" l="1"/>
  <c r="C27" i="1" s="1"/>
  <c r="E27"/>
  <c r="B65" i="3"/>
  <c r="E65" i="1" l="1"/>
  <c r="D66"/>
  <c r="C65"/>
  <c r="E61"/>
  <c r="E55"/>
  <c r="D65"/>
  <c r="C55"/>
  <c r="D61"/>
  <c r="D55"/>
  <c r="E66"/>
  <c r="C66"/>
  <c r="C64"/>
  <c r="D64"/>
  <c r="E64"/>
  <c r="D67"/>
  <c r="E63"/>
  <c r="C63"/>
  <c r="D59"/>
  <c r="D58"/>
  <c r="E60"/>
  <c r="D63"/>
  <c r="C67"/>
  <c r="D62"/>
  <c r="D60"/>
  <c r="C59"/>
  <c r="C60"/>
  <c r="C58"/>
  <c r="E67"/>
  <c r="E59"/>
  <c r="E62"/>
  <c r="E58"/>
  <c r="C28"/>
  <c r="D33" l="1"/>
  <c r="E95" i="4"/>
  <c r="E112" i="1" s="1"/>
  <c r="E105" i="4"/>
  <c r="D143" i="1"/>
  <c r="D190" s="1"/>
  <c r="E152"/>
  <c r="E186" s="1"/>
  <c r="D151"/>
  <c r="E154"/>
  <c r="E194" s="1"/>
  <c r="H194" s="1"/>
  <c r="F155"/>
  <c r="D157"/>
  <c r="D184" s="1"/>
  <c r="E158"/>
  <c r="D152"/>
  <c r="D186" s="1"/>
  <c r="F153"/>
  <c r="D154"/>
  <c r="D194" s="1"/>
  <c r="G194" s="1"/>
  <c r="E155"/>
  <c r="F156"/>
  <c r="D158"/>
  <c r="G95" i="4"/>
  <c r="G112" i="1" s="1"/>
  <c r="G105" i="4"/>
  <c r="F143" i="1"/>
  <c r="F190" s="1"/>
  <c r="E153"/>
  <c r="F151"/>
  <c r="D155"/>
  <c r="E156"/>
  <c r="F157"/>
  <c r="F184" s="1"/>
  <c r="F95" i="4"/>
  <c r="F112" i="1" s="1"/>
  <c r="F105" i="4"/>
  <c r="E143" i="1"/>
  <c r="E190" s="1"/>
  <c r="F152"/>
  <c r="F186" s="1"/>
  <c r="D153"/>
  <c r="E151"/>
  <c r="F154"/>
  <c r="F194" s="1"/>
  <c r="I194" s="1"/>
  <c r="D156"/>
  <c r="E157"/>
  <c r="E184" s="1"/>
  <c r="F158"/>
  <c r="F183" l="1"/>
  <c r="I183" s="1"/>
  <c r="F196"/>
  <c r="I196" s="1"/>
  <c r="F116"/>
  <c r="E146"/>
  <c r="F99" i="4"/>
  <c r="F107" s="1"/>
  <c r="I112" i="1"/>
  <c r="I113"/>
  <c r="I114" s="1"/>
  <c r="E140"/>
  <c r="E141"/>
  <c r="E182" s="1"/>
  <c r="E139"/>
  <c r="F185"/>
  <c r="F191"/>
  <c r="I191"/>
  <c r="I201" s="1"/>
  <c r="F201"/>
  <c r="G184"/>
  <c r="G195" s="1"/>
  <c r="D195"/>
  <c r="I109"/>
  <c r="I110" s="1"/>
  <c r="E116"/>
  <c r="D146"/>
  <c r="E99" i="4"/>
  <c r="E107" s="1"/>
  <c r="I108" i="1"/>
  <c r="E111" s="1"/>
  <c r="H190"/>
  <c r="E200"/>
  <c r="H200" s="1"/>
  <c r="H184"/>
  <c r="H195" s="1"/>
  <c r="E195"/>
  <c r="I190"/>
  <c r="F200"/>
  <c r="I200" s="1"/>
  <c r="I184"/>
  <c r="I195" s="1"/>
  <c r="F195"/>
  <c r="E196"/>
  <c r="H196" s="1"/>
  <c r="E183"/>
  <c r="H183" s="1"/>
  <c r="G191"/>
  <c r="G201" s="1"/>
  <c r="D201"/>
  <c r="D185"/>
  <c r="D191"/>
  <c r="D196"/>
  <c r="G196" s="1"/>
  <c r="D183"/>
  <c r="G183" s="1"/>
  <c r="D139"/>
  <c r="D140"/>
  <c r="D141"/>
  <c r="D182" s="1"/>
  <c r="E201"/>
  <c r="E185"/>
  <c r="E191"/>
  <c r="H191"/>
  <c r="H201" s="1"/>
  <c r="G99" i="4"/>
  <c r="G107" s="1"/>
  <c r="I116" i="1"/>
  <c r="I117"/>
  <c r="I118" s="1"/>
  <c r="G116"/>
  <c r="F146"/>
  <c r="F141"/>
  <c r="F182" s="1"/>
  <c r="F139"/>
  <c r="F140"/>
  <c r="G190"/>
  <c r="D200"/>
  <c r="G200" s="1"/>
  <c r="G111" l="1"/>
  <c r="F145" s="1"/>
  <c r="D145"/>
  <c r="E98" i="4"/>
  <c r="G103"/>
  <c r="G111" s="1"/>
  <c r="F150" i="1"/>
  <c r="D150"/>
  <c r="E103" i="4"/>
  <c r="E111" s="1"/>
  <c r="D188" i="1"/>
  <c r="G188" s="1"/>
  <c r="D198"/>
  <c r="G198" s="1"/>
  <c r="E188"/>
  <c r="H188" s="1"/>
  <c r="E198"/>
  <c r="H198" s="1"/>
  <c r="F198"/>
  <c r="I198" s="1"/>
  <c r="F188"/>
  <c r="I188" s="1"/>
  <c r="D199"/>
  <c r="G199" s="1"/>
  <c r="D189"/>
  <c r="G189" s="1"/>
  <c r="E150"/>
  <c r="F103" i="4"/>
  <c r="F111" s="1"/>
  <c r="F189" i="1"/>
  <c r="I189" s="1"/>
  <c r="F199"/>
  <c r="I199" s="1"/>
  <c r="E199"/>
  <c r="H199" s="1"/>
  <c r="E189"/>
  <c r="H189" s="1"/>
  <c r="J108"/>
  <c r="F111"/>
  <c r="J112" s="1"/>
  <c r="J116" l="1"/>
  <c r="G113" s="1"/>
  <c r="G98" i="4"/>
  <c r="G106" s="1"/>
  <c r="F113" i="1"/>
  <c r="K112" s="1"/>
  <c r="E106" i="4"/>
  <c r="E113" i="1"/>
  <c r="K108" s="1"/>
  <c r="F98" i="4"/>
  <c r="E145" i="1"/>
  <c r="E114" l="1"/>
  <c r="L108" s="1"/>
  <c r="F114"/>
  <c r="L112" s="1"/>
  <c r="F147"/>
  <c r="G100" i="4"/>
  <c r="E147" i="1"/>
  <c r="F100" i="4"/>
  <c r="F108" s="1"/>
  <c r="D147" i="1"/>
  <c r="E100" i="4"/>
  <c r="F106"/>
  <c r="K116" i="1"/>
  <c r="E115" l="1"/>
  <c r="M108" s="1"/>
  <c r="F115"/>
  <c r="M112" s="1"/>
  <c r="G114"/>
  <c r="L116" s="1"/>
  <c r="G108" i="4"/>
  <c r="E101"/>
  <c r="E109" s="1"/>
  <c r="D148" i="1"/>
  <c r="E108" i="4"/>
  <c r="E148" i="1"/>
  <c r="F101" i="4"/>
  <c r="F109" s="1"/>
  <c r="G115" i="1" l="1"/>
  <c r="M116" s="1"/>
  <c r="D149"/>
  <c r="E102" i="4"/>
  <c r="E117" i="1"/>
  <c r="F148"/>
  <c r="G101" i="4"/>
  <c r="F102"/>
  <c r="E149" i="1"/>
  <c r="F117"/>
  <c r="F149" l="1"/>
  <c r="G102" i="4"/>
  <c r="G110" s="1"/>
  <c r="F110"/>
  <c r="F104"/>
  <c r="F112" s="1"/>
  <c r="G109"/>
  <c r="E110"/>
  <c r="E104"/>
  <c r="E112" s="1"/>
  <c r="G117" i="1"/>
  <c r="G104" i="4" l="1"/>
  <c r="G112" s="1"/>
  <c r="X121"/>
  <c r="X11" s="1"/>
  <c r="AD121"/>
  <c r="AD11" s="1"/>
  <c r="G121"/>
  <c r="G11" s="1"/>
  <c r="M121"/>
  <c r="M11" s="1"/>
  <c r="S121"/>
  <c r="S11" s="1"/>
  <c r="Y121"/>
  <c r="Y11" s="1"/>
  <c r="AE121"/>
  <c r="AE11" s="1"/>
  <c r="H121"/>
  <c r="H11" s="1"/>
  <c r="N121"/>
  <c r="N11" s="1"/>
  <c r="T121"/>
  <c r="T11" s="1"/>
  <c r="Z121"/>
  <c r="Z11" s="1"/>
  <c r="AF121"/>
  <c r="AF11" s="1"/>
  <c r="I121"/>
  <c r="I11" s="1"/>
  <c r="O121"/>
  <c r="O11" s="1"/>
  <c r="U121"/>
  <c r="U11" s="1"/>
  <c r="AA121"/>
  <c r="AA11" s="1"/>
  <c r="AG121"/>
  <c r="AG11" s="1"/>
  <c r="J121"/>
  <c r="J11" s="1"/>
  <c r="P121"/>
  <c r="P11" s="1"/>
  <c r="V121"/>
  <c r="V11" s="1"/>
  <c r="AB121"/>
  <c r="AB11" s="1"/>
  <c r="E121"/>
  <c r="E11" s="1"/>
  <c r="K121"/>
  <c r="K11" s="1"/>
  <c r="Q121"/>
  <c r="Q11" s="1"/>
  <c r="W121"/>
  <c r="W11" s="1"/>
  <c r="AC121"/>
  <c r="AC11" s="1"/>
  <c r="F121"/>
  <c r="F11" s="1"/>
  <c r="L121"/>
  <c r="L11" s="1"/>
  <c r="R121"/>
  <c r="R11" s="1"/>
  <c r="C11" l="1"/>
</calcChain>
</file>

<file path=xl/sharedStrings.xml><?xml version="1.0" encoding="utf-8"?>
<sst xmlns="http://schemas.openxmlformats.org/spreadsheetml/2006/main" count="1094" uniqueCount="548">
  <si>
    <t>1. Get your BMI and weight category</t>
  </si>
  <si>
    <t>2. Get your RDCA (Recommended Daily Calorie Allowance)</t>
  </si>
  <si>
    <t>ADULT or CHILD?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</si>
  <si>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</si>
  <si>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</si>
  <si>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</si>
  <si>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</si>
  <si>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</si>
  <si>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</si>
  <si>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</si>
  <si>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Are you pregnant ?</t>
  </si>
  <si>
    <t>Are you breast feeding ?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</si>
  <si>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</si>
  <si>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</si>
  <si>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</si>
  <si>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</si>
  <si>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</si>
  <si>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</si>
  <si>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</si>
  <si>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</si>
  <si>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</si>
  <si>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</si>
  <si>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</si>
  <si>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</si>
  <si>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</si>
  <si>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</si>
  <si>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</si>
  <si>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</si>
  <si>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</si>
  <si>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</si>
  <si>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</si>
  <si>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</si>
  <si>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</si>
  <si>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</si>
  <si>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</si>
  <si>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</si>
  <si>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</si>
  <si>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</si>
  <si>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NOW</t>
  </si>
  <si>
    <t>OR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</si>
  <si>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</si>
  <si>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</si>
  <si>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</si>
  <si>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</si>
  <si>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</si>
  <si>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</si>
  <si>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</si>
  <si>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</si>
  <si>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</si>
  <si>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</si>
  <si>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</si>
  <si>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</si>
  <si>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</si>
  <si>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</si>
  <si>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</si>
  <si>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</si>
  <si>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fats and oils (tsp) for non-veg</t>
  </si>
  <si>
    <t>fats and oils (tsp) for veg</t>
  </si>
  <si>
    <t>sweets and added sugars/day</t>
  </si>
  <si>
    <t>USDA</t>
  </si>
  <si>
    <t>DASH</t>
  </si>
  <si>
    <t>for 12 kg weight gain</t>
  </si>
  <si>
    <t>for 10 kg gain</t>
  </si>
  <si>
    <t>Pregnancy requirements</t>
  </si>
  <si>
    <t>1 st trimester</t>
  </si>
  <si>
    <t>2nd trimester</t>
  </si>
  <si>
    <t>3rd trimester</t>
  </si>
  <si>
    <t>Calories</t>
  </si>
  <si>
    <t>Proteins</t>
  </si>
  <si>
    <t>Fats</t>
  </si>
  <si>
    <t>same as other adults except</t>
  </si>
  <si>
    <t>long chain n3 fatty acids</t>
  </si>
  <si>
    <t>0-6 months</t>
  </si>
  <si>
    <t>later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</si>
  <si>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</si>
  <si>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</si>
  <si>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</si>
  <si>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</si>
  <si>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</si>
  <si>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</si>
  <si>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</si>
  <si>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</si>
  <si>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</si>
  <si>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</si>
  <si>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</si>
  <si>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If Yes,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</si>
  <si>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</si>
  <si>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</si>
  <si>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</si>
  <si>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</si>
  <si>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</si>
  <si>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</si>
  <si>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</si>
  <si>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</si>
  <si>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</si>
  <si>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</si>
  <si>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</si>
  <si>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</si>
  <si>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</si>
  <si>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</si>
  <si>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</si>
  <si>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</si>
  <si>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</si>
  <si>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</si>
  <si>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</si>
  <si>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</si>
  <si>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</si>
  <si>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</si>
  <si>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</si>
  <si>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</si>
  <si>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</si>
  <si>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</si>
  <si>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</si>
  <si>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</si>
  <si>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</si>
  <si>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</si>
  <si>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</si>
  <si>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</si>
  <si>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</si>
  <si>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</si>
  <si>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</si>
  <si>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</si>
  <si>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</si>
  <si>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</si>
  <si>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</si>
  <si>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</si>
  <si>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</si>
  <si>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</si>
  <si>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</si>
  <si>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</si>
  <si>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</si>
  <si>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</si>
  <si>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</si>
  <si>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</si>
  <si>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</si>
  <si>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</si>
  <si>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</si>
  <si>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</si>
  <si>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</si>
  <si>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</si>
  <si>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</si>
  <si>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</si>
  <si>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</si>
  <si>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</si>
  <si>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</si>
  <si>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</si>
  <si>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</si>
  <si>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</si>
  <si>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</si>
  <si>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</si>
  <si>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</si>
  <si>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</si>
  <si>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</si>
  <si>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</si>
  <si>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</si>
  <si>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</si>
  <si>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</si>
  <si>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</si>
  <si>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</si>
  <si>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</si>
  <si>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</si>
  <si>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</si>
  <si>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</si>
  <si>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</si>
  <si>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</si>
  <si>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</si>
  <si>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</si>
  <si>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</si>
  <si>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</si>
  <si>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</si>
  <si>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</si>
  <si>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</si>
  <si>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</si>
  <si>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</si>
  <si>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</si>
  <si>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</si>
  <si>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</si>
  <si>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</si>
  <si>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</si>
  <si>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</si>
  <si>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</si>
  <si>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</si>
  <si>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</si>
  <si>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</si>
  <si>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</si>
  <si>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</si>
  <si>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</si>
  <si>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</si>
  <si>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</si>
  <si>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</si>
  <si>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</si>
  <si>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</si>
  <si>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</si>
  <si>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</si>
  <si>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</si>
  <si>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</si>
  <si>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</si>
  <si>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</si>
  <si>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</si>
  <si>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</si>
  <si>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</si>
  <si>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</si>
  <si>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</si>
  <si>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</si>
  <si>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</si>
  <si>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</si>
  <si>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</si>
  <si>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</si>
  <si>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</si>
  <si>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</si>
  <si>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</si>
  <si>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</si>
  <si>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</si>
  <si>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</si>
  <si>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</si>
  <si>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</si>
  <si>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</si>
  <si>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</si>
  <si>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</si>
  <si>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</si>
  <si>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</si>
  <si>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</si>
  <si>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</si>
  <si>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</si>
  <si>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</si>
  <si>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</si>
  <si>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</si>
  <si>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</si>
  <si>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</si>
  <si>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</si>
  <si>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</si>
  <si>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</si>
  <si>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</si>
  <si>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</si>
  <si>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</si>
  <si>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</si>
  <si>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</si>
  <si>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</si>
  <si>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</si>
  <si>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</si>
  <si>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</si>
  <si>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</si>
  <si>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</si>
  <si>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</si>
  <si>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</si>
  <si>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</si>
  <si>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</si>
  <si>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</si>
  <si>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</si>
  <si>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</si>
  <si>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</si>
  <si>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</si>
  <si>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</si>
  <si>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</si>
  <si>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</si>
  <si>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</si>
  <si>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</si>
  <si>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</si>
  <si>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</si>
  <si>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</si>
  <si>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</si>
  <si>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</si>
  <si>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</si>
  <si>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</si>
  <si>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</si>
  <si>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</si>
  <si>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</si>
  <si>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</si>
  <si>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</si>
  <si>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Breakfast cereal for breakfast</t>
  </si>
  <si>
    <t>Your option choice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</si>
  <si>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</si>
  <si>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</si>
  <si>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</si>
  <si>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</si>
  <si>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</si>
  <si>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</si>
  <si>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</si>
  <si>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</si>
  <si>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</si>
  <si>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</si>
  <si>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</si>
  <si>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</si>
  <si>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</si>
  <si>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</si>
  <si>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</si>
  <si>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</si>
  <si>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</si>
  <si>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</si>
  <si>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</si>
  <si>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</si>
  <si>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</si>
  <si>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</si>
  <si>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</si>
  <si>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</si>
  <si>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</si>
  <si>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</si>
  <si>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</si>
  <si>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</si>
  <si>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</si>
  <si>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</si>
  <si>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</si>
  <si>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</si>
  <si>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</si>
  <si>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</si>
  <si>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</si>
  <si>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</si>
  <si>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</si>
  <si>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</si>
  <si>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</si>
  <si>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</si>
  <si>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</si>
  <si>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</si>
  <si>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</si>
  <si>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</si>
  <si>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</si>
  <si>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</si>
  <si>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</si>
  <si>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</si>
  <si>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</si>
  <si>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</si>
  <si>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</si>
  <si>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</si>
  <si>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</si>
  <si>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</si>
  <si>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</si>
  <si>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</si>
  <si>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</si>
  <si>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</si>
  <si>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</si>
  <si>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</si>
  <si>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</si>
  <si>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</si>
  <si>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</si>
  <si>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</si>
  <si>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</si>
  <si>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</si>
  <si>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</si>
  <si>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</si>
  <si>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</si>
  <si>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</si>
  <si>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</si>
  <si>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</si>
  <si>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</si>
  <si>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</si>
  <si>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</si>
  <si>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</si>
  <si>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</si>
  <si>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</si>
  <si>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</si>
  <si>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</si>
  <si>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</si>
  <si>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</si>
  <si>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</si>
  <si>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</si>
  <si>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</si>
  <si>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</si>
  <si>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</si>
  <si>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</si>
  <si>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</si>
  <si>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</si>
  <si>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</si>
  <si>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</si>
  <si>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</si>
  <si>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</si>
  <si>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</si>
  <si>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</si>
  <si>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</si>
  <si>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</si>
  <si>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</si>
  <si>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</si>
  <si>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</si>
  <si>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</si>
  <si>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</si>
  <si>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</si>
  <si>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</si>
  <si>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</si>
  <si>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</si>
  <si>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</si>
  <si>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</si>
  <si>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</si>
  <si>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</si>
  <si>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</si>
  <si>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</si>
  <si>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</si>
  <si>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</si>
  <si>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</si>
  <si>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</si>
  <si>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</si>
  <si>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</si>
  <si>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</si>
  <si>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</si>
  <si>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</si>
  <si>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</si>
  <si>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</si>
  <si>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</si>
  <si>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</si>
  <si>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</si>
  <si>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</si>
  <si>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</si>
  <si>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</si>
  <si>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</si>
  <si>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</si>
  <si>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</si>
  <si>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</si>
  <si>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</si>
  <si>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</si>
  <si>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</si>
  <si>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</si>
  <si>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</si>
  <si>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</si>
  <si>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</si>
  <si>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</si>
  <si>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</si>
  <si>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</si>
  <si>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</si>
  <si>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</si>
  <si>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</si>
  <si>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</si>
  <si>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</si>
  <si>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</si>
  <si>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</si>
  <si>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</si>
  <si>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</si>
  <si>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</si>
  <si>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</si>
  <si>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</si>
  <si>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</si>
  <si>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</si>
  <si>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</si>
  <si>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</si>
  <si>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</si>
  <si>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</si>
  <si>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</si>
  <si>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</si>
  <si>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</si>
  <si>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</si>
  <si>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</si>
  <si>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</si>
  <si>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</si>
  <si>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</si>
  <si>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</si>
  <si>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</si>
  <si>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</si>
  <si>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</si>
  <si>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</si>
  <si>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</si>
  <si>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</si>
  <si>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</si>
  <si>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</si>
  <si>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</si>
  <si>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</si>
  <si>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</si>
  <si>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</si>
  <si>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</si>
  <si>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</si>
  <si>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</si>
  <si>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</si>
  <si>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</si>
  <si>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</si>
  <si>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</si>
  <si>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</si>
  <si>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</si>
  <si>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</si>
  <si>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</si>
  <si>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</si>
  <si>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</si>
  <si>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</si>
  <si>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</si>
  <si>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</si>
  <si>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</si>
  <si>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</si>
  <si>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</si>
  <si>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</si>
  <si>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</si>
  <si>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</si>
  <si>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</si>
  <si>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</si>
  <si>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</si>
  <si>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</si>
  <si>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</si>
  <si>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</si>
  <si>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</si>
  <si>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</si>
  <si>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</si>
  <si>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Lactation</t>
  </si>
  <si>
    <t>Lactation extra</t>
  </si>
  <si>
    <t>first 6 months</t>
  </si>
  <si>
    <t>First</t>
  </si>
  <si>
    <t>Second</t>
  </si>
  <si>
    <t>Third</t>
  </si>
  <si>
    <t>Additional calories</t>
  </si>
  <si>
    <t>If pregnant, What was the first day of your last mensrual period</t>
  </si>
  <si>
    <t>If breast-feeding, how old is your child?</t>
  </si>
  <si>
    <t>6 months or younger</t>
  </si>
  <si>
    <t>older than 6 months</t>
  </si>
  <si>
    <t>Which trimester are you in?</t>
  </si>
  <si>
    <t>What was your pre-pregnancy weight</t>
  </si>
  <si>
    <t>Non-milk proteins meals (2 oz servings per meal)</t>
  </si>
  <si>
    <t xml:space="preserve">Sex </t>
  </si>
  <si>
    <t xml:space="preserve">Age </t>
  </si>
  <si>
    <t>Adult non pregnant TEE</t>
  </si>
  <si>
    <t>Pregnancy TEE</t>
  </si>
  <si>
    <t>Lactation TEE</t>
  </si>
  <si>
    <t>For adults</t>
  </si>
  <si>
    <t xml:space="preserve">Basic daily diet plan </t>
  </si>
  <si>
    <t>Customized die plan</t>
  </si>
  <si>
    <t>For basic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</si>
  <si>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</si>
  <si>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</si>
  <si>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</si>
  <si>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</si>
  <si>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</si>
  <si>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</si>
  <si>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</si>
  <si>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</si>
  <si>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</si>
  <si>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</si>
  <si>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</si>
  <si>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</si>
  <si>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</si>
  <si>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</si>
  <si>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</si>
  <si>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</si>
  <si>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</si>
  <si>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</si>
  <si>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>Veg options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</si>
  <si>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</si>
  <si>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</si>
  <si>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</si>
  <si>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</si>
  <si>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</si>
  <si>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</si>
  <si>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</si>
  <si>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</si>
  <si>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Weight loss target</t>
  </si>
  <si>
    <t>Do you want a diet for weight loss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</si>
  <si>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</si>
  <si>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</si>
  <si>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</si>
  <si>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</si>
  <si>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</si>
  <si>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</si>
  <si>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Pre-pregnancy weight</t>
  </si>
  <si>
    <t>Pre-pregnancy RDCA</t>
  </si>
  <si>
    <t>age of child</t>
  </si>
  <si>
    <t>Minimum soy products/week for non veg</t>
  </si>
  <si>
    <t>Tofu/soya products for non-veg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</si>
</sst>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2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164" fontId="0" fillId="0" borderId="0" xfId="5" applyNumberFormat="1" applyFont="1" applyBorder="1"/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164" fontId="3" fillId="5" borderId="0" xfId="1" applyNumberFormat="1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13" fillId="2" borderId="0" xfId="0" applyFont="1" applyFill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0" fontId="24" fillId="0" borderId="0" xfId="3" applyFont="1" applyFill="1" applyBorder="1" applyAlignment="1">
      <alignment horizontal="left" vertical="top" wrapText="1"/>
    </xf>
    <xf numFmtId="43" fontId="4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43" fontId="0" fillId="0" borderId="0" xfId="0" applyNumberFormat="1" applyFill="1" applyAlignment="1">
      <alignment wrapText="1"/>
    </xf>
    <xf numFmtId="43" fontId="0" fillId="0" borderId="0" xfId="0" applyNumberFormat="1" applyFill="1"/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6" applyNumberFormat="1" applyFont="1" applyFill="1" applyAlignment="1">
      <alignment wrapText="1"/>
    </xf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164" fontId="0" fillId="18" borderId="0" xfId="8" applyNumberFormat="1" applyFont="1" applyFill="1" applyAlignment="1">
      <alignment wrapText="1"/>
    </xf>
    <xf numFmtId="2" fontId="0" fillId="18" borderId="0" xfId="8" applyNumberFormat="1" applyFont="1" applyFill="1" applyAlignment="1">
      <alignment wrapText="1"/>
    </xf>
    <xf numFmtId="166" fontId="0" fillId="18" borderId="0" xfId="8" applyNumberFormat="1" applyFont="1" applyFill="1" applyAlignment="1">
      <alignment wrapText="1"/>
    </xf>
    <xf numFmtId="1" fontId="0" fillId="18" borderId="0" xfId="8" applyNumberFormat="1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164" fontId="39" fillId="18" borderId="0" xfId="8" applyNumberFormat="1" applyFont="1" applyFill="1" applyAlignment="1">
      <alignment wrapText="1"/>
    </xf>
    <xf numFmtId="0" fontId="39" fillId="18" borderId="0" xfId="3" applyFont="1" applyFill="1" applyBorder="1"/>
    <xf numFmtId="164" fontId="39" fillId="18" borderId="0" xfId="0" applyNumberFormat="1" applyFont="1" applyFill="1" applyAlignment="1">
      <alignment wrapText="1"/>
    </xf>
    <xf numFmtId="0" fontId="39" fillId="18" borderId="0" xfId="0" applyFont="1" applyFill="1"/>
    <xf numFmtId="0" fontId="42" fillId="3" borderId="0" xfId="3" applyFont="1" applyFill="1" applyAlignment="1">
      <alignment vertical="top"/>
    </xf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8" fillId="20" borderId="0" xfId="3" applyFont="1" applyFill="1" applyAlignment="1">
      <alignment vertical="top" wrapText="1"/>
    </xf>
    <xf numFmtId="0" fontId="10" fillId="20" borderId="0" xfId="0" applyFont="1" applyFill="1" applyAlignment="1">
      <alignment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9" fontId="6" fillId="0" borderId="0" xfId="0" applyNumberFormat="1" applyFont="1" applyAlignment="1">
      <alignment wrapText="1"/>
    </xf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2" fillId="13" borderId="0" xfId="0" applyFont="1" applyFill="1"/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0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2" fontId="0" fillId="22" borderId="0" xfId="0" applyNumberFormat="1" applyFill="1" applyAlignment="1">
      <alignment vertical="top"/>
    </xf>
    <xf numFmtId="166" fontId="0" fillId="22" borderId="0" xfId="0" applyNumberFormat="1" applyFill="1" applyAlignment="1">
      <alignment vertical="top"/>
    </xf>
    <xf numFmtId="164" fontId="0" fillId="22" borderId="0" xfId="0" applyNumberFormat="1" applyFill="1" applyAlignment="1">
      <alignment vertical="top"/>
    </xf>
    <xf numFmtId="43" fontId="0" fillId="22" borderId="0" xfId="0" applyNumberFormat="1" applyFill="1" applyAlignment="1">
      <alignment vertical="top"/>
    </xf>
    <xf numFmtId="1" fontId="0" fillId="22" borderId="0" xfId="0" applyNumberFormat="1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5" fillId="3" borderId="0" xfId="3" applyFont="1" applyFill="1" applyAlignment="1">
      <alignment vertical="top" wrapText="1"/>
    </xf>
    <xf numFmtId="0" fontId="45" fillId="23" borderId="0" xfId="3" applyFont="1" applyFill="1" applyAlignment="1">
      <alignment vertical="top" wrapText="1"/>
    </xf>
    <xf numFmtId="164" fontId="5" fillId="10" borderId="0" xfId="5" applyNumberFormat="1" applyFont="1" applyFill="1" applyBorder="1"/>
    <xf numFmtId="164" fontId="7" fillId="10" borderId="5" xfId="5" applyNumberFormat="1" applyFont="1" applyFill="1" applyBorder="1"/>
    <xf numFmtId="164" fontId="7" fillId="0" borderId="5" xfId="5" applyNumberFormat="1" applyFont="1" applyBorder="1"/>
    <xf numFmtId="1" fontId="8" fillId="0" borderId="0" xfId="3" applyNumberFormat="1" applyFont="1" applyFill="1"/>
    <xf numFmtId="0" fontId="40" fillId="0" borderId="0" xfId="0" applyFont="1" applyFill="1" applyAlignment="1">
      <alignment wrapText="1"/>
    </xf>
    <xf numFmtId="1" fontId="40" fillId="0" borderId="0" xfId="0" applyNumberFormat="1" applyFont="1" applyFill="1"/>
    <xf numFmtId="165" fontId="13" fillId="5" borderId="0" xfId="1" applyNumberFormat="1" applyFont="1" applyFill="1" applyAlignment="1">
      <alignment wrapText="1"/>
    </xf>
    <xf numFmtId="164" fontId="7" fillId="10" borderId="0" xfId="19" applyNumberFormat="1" applyFont="1" applyFill="1" applyBorder="1"/>
    <xf numFmtId="164" fontId="1" fillId="10" borderId="0" xfId="19" applyNumberFormat="1" applyFont="1" applyFill="1" applyBorder="1"/>
    <xf numFmtId="164" fontId="7" fillId="0" borderId="0" xfId="19" applyNumberFormat="1" applyFont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164" fontId="7" fillId="3" borderId="0" xfId="5" applyNumberFormat="1" applyFont="1" applyFill="1" applyBorder="1"/>
    <xf numFmtId="9" fontId="0" fillId="24" borderId="0" xfId="0" applyNumberFormat="1" applyFill="1" applyBorder="1"/>
    <xf numFmtId="164" fontId="0" fillId="0" borderId="0" xfId="0" applyNumberFormat="1"/>
    <xf numFmtId="164" fontId="0" fillId="0" borderId="0" xfId="0" applyNumberFormat="1" applyFill="1" applyAlignment="1">
      <alignment vertical="top"/>
    </xf>
    <xf numFmtId="164" fontId="3" fillId="0" borderId="0" xfId="0" applyNumberFormat="1" applyFont="1" applyFill="1"/>
    <xf numFmtId="164" fontId="14" fillId="0" borderId="0" xfId="0" applyNumberFormat="1" applyFont="1" applyFill="1"/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  <xf numFmtId="0" fontId="3" fillId="5" borderId="0" xfId="1" applyNumberFormat="1" applyFont="1" applyFill="1" applyAlignment="1">
      <alignment wrapText="1"/>
    </xf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A45" workbookViewId="0">
      <selection activeCell="C62" sqref="C62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305"/>
      <c r="C1" s="114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 t="s">
        <v>2</v>
      </c>
      <c r="C3" s="352"/>
      <c r="D3" s="34"/>
      <c r="E3" s="12"/>
      <c r="G3" s="4"/>
    </row>
    <row r="4" spans="2:11">
      <c r="C4" s="114"/>
      <c r="D4" s="34"/>
      <c r="E4" s="12"/>
      <c r="G4" s="4"/>
    </row>
    <row r="5" spans="2:11">
      <c r="B5" s="1" t="s">
        <v>504</v>
      </c>
      <c r="C5" s="2"/>
      <c r="D5" s="34"/>
      <c r="E5" s="12"/>
      <c r="G5" s="4"/>
    </row>
    <row r="6" spans="2:11">
      <c r="B6" s="304" t="s">
        <v>499</v>
      </c>
      <c r="C6" s="356" t="str">
        <f>E6</f>
        <v>Female</v>
      </c>
      <c r="D6" s="34" t="s">
        <v>4</v>
      </c>
      <c r="E6" s="12" t="s">
        <v>3</v>
      </c>
      <c r="G6" s="4"/>
    </row>
    <row r="7" spans="2:11">
      <c r="B7" s="9" t="s">
        <v>500</v>
      </c>
      <c r="C7" s="357">
        <v>30</v>
      </c>
      <c r="D7" s="34"/>
      <c r="E7" s="12"/>
      <c r="G7" s="4"/>
    </row>
    <row r="8" spans="2:11">
      <c r="B8" s="9" t="s">
        <v>5</v>
      </c>
      <c r="C8" s="51"/>
      <c r="D8" s="3"/>
      <c r="G8" s="4"/>
    </row>
    <row r="9" spans="2:11">
      <c r="B9" s="10" t="s">
        <v>6</v>
      </c>
      <c r="C9" s="357">
        <v>5</v>
      </c>
      <c r="D9" s="3"/>
      <c r="G9" s="4"/>
    </row>
    <row r="10" spans="2:11">
      <c r="B10" s="10" t="s">
        <v>7</v>
      </c>
      <c r="C10" s="357">
        <v>7</v>
      </c>
      <c r="D10" s="3"/>
      <c r="G10" s="4"/>
    </row>
    <row r="11" spans="2:11">
      <c r="B11" s="9" t="s">
        <v>8</v>
      </c>
      <c r="C11" s="357">
        <v>72</v>
      </c>
      <c r="D11" s="321" t="s">
        <v>543</v>
      </c>
      <c r="E11">
        <v>62</v>
      </c>
      <c r="G11" s="4"/>
    </row>
    <row r="12" spans="2:11" s="12" customFormat="1" hidden="1">
      <c r="B12" s="9" t="s">
        <v>9</v>
      </c>
      <c r="C12" s="13"/>
      <c r="D12" s="14"/>
      <c r="E12" s="13"/>
      <c r="F12" s="13"/>
      <c r="G12" s="15"/>
    </row>
    <row r="13" spans="2:11" s="303" customFormat="1" hidden="1">
      <c r="B13" s="300" t="s">
        <v>10</v>
      </c>
      <c r="C13" s="358" t="s">
        <v>324</v>
      </c>
      <c r="D13" s="301" t="s">
        <v>216</v>
      </c>
      <c r="E13" s="301" t="s">
        <v>324</v>
      </c>
      <c r="F13" s="301"/>
      <c r="G13" s="302"/>
    </row>
    <row r="14" spans="2:11" s="303" customFormat="1" hidden="1">
      <c r="B14" s="300" t="s">
        <v>492</v>
      </c>
      <c r="C14" s="359"/>
      <c r="D14" s="301"/>
      <c r="E14" s="301"/>
      <c r="F14" s="301"/>
      <c r="G14" s="302"/>
    </row>
    <row r="15" spans="2:11" s="303" customFormat="1" hidden="1">
      <c r="B15" s="300" t="s">
        <v>497</v>
      </c>
      <c r="C15" s="359"/>
      <c r="D15" s="301"/>
      <c r="E15" s="301"/>
      <c r="F15" s="301"/>
      <c r="G15" s="302"/>
    </row>
    <row r="16" spans="2:11" s="303" customFormat="1" hidden="1">
      <c r="B16" s="300" t="s">
        <v>496</v>
      </c>
      <c r="C16" s="359"/>
      <c r="H16" s="301"/>
      <c r="I16" s="301"/>
      <c r="J16" s="301"/>
      <c r="K16" s="301"/>
    </row>
    <row r="17" spans="2:38" s="303" customFormat="1">
      <c r="B17" s="300" t="s">
        <v>11</v>
      </c>
      <c r="C17" s="358" t="s">
        <v>216</v>
      </c>
      <c r="D17" s="301"/>
      <c r="E17" s="301"/>
      <c r="F17" s="301"/>
      <c r="G17" s="302"/>
    </row>
    <row r="18" spans="2:38" s="303" customFormat="1">
      <c r="B18" s="300" t="s">
        <v>493</v>
      </c>
      <c r="C18" s="359" t="str">
        <f>D18</f>
        <v>6 months or younger</v>
      </c>
      <c r="D18" s="13" t="s">
        <v>494</v>
      </c>
      <c r="E18" s="13" t="s">
        <v>495</v>
      </c>
      <c r="F18" s="301"/>
      <c r="G18" s="302"/>
    </row>
    <row r="19" spans="2:38" s="12" customFormat="1">
      <c r="B19" s="20" t="s">
        <v>539</v>
      </c>
      <c r="C19" s="21">
        <f>Adults!B15</f>
        <v>21.40792875927476</v>
      </c>
      <c r="D19" s="22" t="s">
        <v>540</v>
      </c>
      <c r="E19" s="23" t="str">
        <f>Adults!B21</f>
        <v>53-67</v>
      </c>
      <c r="G19" s="24"/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22</v>
      </c>
      <c r="C21" s="2"/>
      <c r="D21" s="3"/>
      <c r="G21" s="4"/>
    </row>
    <row r="22" spans="2:38" s="26" customFormat="1" ht="12.75">
      <c r="B22" s="27" t="s">
        <v>23</v>
      </c>
      <c r="C22" s="354"/>
      <c r="D22" s="354" t="s">
        <v>180</v>
      </c>
      <c r="E22" s="354" t="s">
        <v>541</v>
      </c>
      <c r="F22" s="354" t="s">
        <v>542</v>
      </c>
      <c r="G22" s="354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24</v>
      </c>
      <c r="C23" s="15"/>
      <c r="D23" s="355">
        <v>1</v>
      </c>
      <c r="E23" s="15">
        <f>D23+D24</f>
        <v>2</v>
      </c>
      <c r="F23" s="15" t="str">
        <f>IF(E23=2, "Sedentary",IF(E23=3,"Mild",IF(E23=4,"Moderate",IF(E23&lt;=6,"Heavy","Extreme"))))</f>
        <v>Sedentary</v>
      </c>
      <c r="G23" s="15"/>
    </row>
    <row r="24" spans="2:38" s="12" customFormat="1">
      <c r="B24" s="9" t="s">
        <v>30</v>
      </c>
      <c r="C24" s="13"/>
      <c r="D24" s="97">
        <v>1</v>
      </c>
      <c r="E24" s="13"/>
      <c r="F24" s="13"/>
      <c r="G24" s="15"/>
    </row>
    <row r="25" spans="2:38" s="12" customFormat="1">
      <c r="B25" s="306" t="s">
        <v>197</v>
      </c>
      <c r="C25" s="351" t="str">
        <f>F23</f>
        <v>Sedentary</v>
      </c>
      <c r="D25" s="13"/>
      <c r="E25" s="13"/>
      <c r="F25" s="13"/>
      <c r="G25" s="15"/>
    </row>
    <row r="26" spans="2:38" s="12" customFormat="1">
      <c r="B26" s="306" t="s">
        <v>141</v>
      </c>
      <c r="C26" s="351">
        <f>Adults!B58</f>
        <v>1.3</v>
      </c>
      <c r="D26" s="13"/>
      <c r="E26" s="13"/>
      <c r="F26" s="13"/>
      <c r="G26" s="15"/>
    </row>
    <row r="27" spans="2:38" s="12" customFormat="1" ht="15.75">
      <c r="B27" s="311" t="s">
        <v>36</v>
      </c>
      <c r="C27" s="366">
        <f>IF(C33="yes",MAX(Adults!B69-500,1800),Adults!B69)</f>
        <v>1884.4125000000004</v>
      </c>
      <c r="D27" s="364" t="s">
        <v>544</v>
      </c>
      <c r="E27" s="365">
        <f>MROUND(Adults!C63,200)</f>
        <v>1800</v>
      </c>
      <c r="G27" s="24"/>
    </row>
    <row r="28" spans="2:38" s="12" customFormat="1" ht="47.25">
      <c r="B28" s="313" t="s">
        <v>37</v>
      </c>
      <c r="C28" s="312">
        <f>MROUND(C27,200)</f>
        <v>1800</v>
      </c>
      <c r="D28" s="34"/>
      <c r="G28" s="24"/>
    </row>
    <row r="29" spans="2:38" s="12" customFormat="1" hidden="1">
      <c r="B29" s="315"/>
      <c r="C29" s="316"/>
      <c r="D29" s="34"/>
      <c r="G29" s="24"/>
    </row>
    <row r="30" spans="2:38" s="12" customFormat="1" hidden="1">
      <c r="B30" s="315"/>
      <c r="C30" s="316"/>
      <c r="D30" s="34"/>
      <c r="G30" s="24"/>
    </row>
    <row r="31" spans="2:38" s="12" customFormat="1" hidden="1">
      <c r="B31" s="14"/>
      <c r="C31" s="310"/>
      <c r="D31" s="34"/>
      <c r="G31" s="24"/>
    </row>
    <row r="32" spans="2:38" s="12" customFormat="1" hidden="1">
      <c r="B32" s="14"/>
      <c r="C32" s="36"/>
      <c r="D32" s="309"/>
      <c r="G32" s="24"/>
    </row>
    <row r="33" spans="1:12" s="12" customFormat="1">
      <c r="B33" s="14" t="s">
        <v>536</v>
      </c>
      <c r="C33" s="8" t="s">
        <v>216</v>
      </c>
      <c r="D33" s="36">
        <f>C30-500</f>
        <v>-500</v>
      </c>
      <c r="E33" s="349" t="s">
        <v>535</v>
      </c>
      <c r="F33" s="350">
        <f>ROUND(C11-((Adults!B11^2)*22.9),0)</f>
        <v>6</v>
      </c>
      <c r="G33" s="24"/>
    </row>
    <row r="34" spans="1:12" s="12" customFormat="1" hidden="1">
      <c r="B34" s="37"/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 hidden="1">
      <c r="B36" s="349"/>
      <c r="C36" s="350"/>
      <c r="D36" s="34"/>
      <c r="G36" s="24"/>
    </row>
    <row r="37" spans="1:12" s="12" customFormat="1" hidden="1">
      <c r="D37" s="34"/>
      <c r="G37" s="24"/>
    </row>
    <row r="38" spans="1:12" s="12" customFormat="1" hidden="1">
      <c r="B38" s="14"/>
      <c r="C38" s="36"/>
      <c r="D38" s="34"/>
      <c r="G38" s="24"/>
    </row>
    <row r="39" spans="1:12" s="12" customFormat="1" hidden="1">
      <c r="G39" s="24"/>
    </row>
    <row r="40" spans="1:12" s="12" customFormat="1" hidden="1">
      <c r="B40" s="14"/>
      <c r="C40" s="36"/>
      <c r="D40" s="34"/>
      <c r="G40" s="24"/>
    </row>
    <row r="41" spans="1:12" s="12" customFormat="1" hidden="1">
      <c r="B41" s="14"/>
      <c r="C41" s="36"/>
      <c r="D41" s="34"/>
      <c r="G41" s="24"/>
    </row>
    <row r="42" spans="1:12" s="12" customFormat="1" hidden="1">
      <c r="B42" s="14"/>
      <c r="C42" s="36"/>
      <c r="D42" s="34"/>
      <c r="G42" s="24"/>
    </row>
    <row r="43" spans="1:12" s="12" customFormat="1" hidden="1">
      <c r="B43" s="14"/>
      <c r="C43" s="36"/>
      <c r="D43" s="34"/>
      <c r="G43" s="24"/>
    </row>
    <row r="44" spans="1:12" s="12" customFormat="1" hidden="1">
      <c r="B44" s="14"/>
      <c r="C44" s="36"/>
      <c r="D44" s="34"/>
      <c r="G44" s="24"/>
    </row>
    <row r="45" spans="1:12" s="12" customFormat="1">
      <c r="B45" s="14" t="s">
        <v>38</v>
      </c>
      <c r="C45" s="36"/>
      <c r="D45" s="34"/>
      <c r="G45" s="24"/>
    </row>
    <row r="46" spans="1:12" s="12" customFormat="1" ht="15.75">
      <c r="B46" s="38" t="s">
        <v>505</v>
      </c>
      <c r="C46" s="39" t="s">
        <v>39</v>
      </c>
      <c r="D46" s="62" t="s">
        <v>506</v>
      </c>
      <c r="G46" s="24"/>
    </row>
    <row r="47" spans="1:12">
      <c r="A47" s="12"/>
      <c r="B47" s="14" t="s">
        <v>507</v>
      </c>
      <c r="C47" s="36"/>
      <c r="D47" s="34" t="s">
        <v>85</v>
      </c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5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86</v>
      </c>
      <c r="C49" s="36">
        <v>3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87</v>
      </c>
      <c r="C50" s="3" t="s">
        <v>88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89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90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3"/>
      <c r="B53" s="56" t="s">
        <v>91</v>
      </c>
      <c r="C53" s="378" t="s">
        <v>92</v>
      </c>
      <c r="D53" s="378"/>
      <c r="E53" s="378"/>
      <c r="F53" s="36"/>
      <c r="G53" s="317"/>
      <c r="H53" s="12"/>
      <c r="I53" s="12"/>
      <c r="J53" s="12"/>
      <c r="K53" s="12"/>
      <c r="L53" s="12"/>
    </row>
    <row r="54" spans="1:12">
      <c r="A54" s="53"/>
      <c r="B54" s="35" t="s">
        <v>93</v>
      </c>
      <c r="C54" s="52" t="s">
        <v>94</v>
      </c>
      <c r="D54" s="57" t="s">
        <v>95</v>
      </c>
      <c r="E54" s="52" t="s">
        <v>96</v>
      </c>
      <c r="F54" s="12"/>
      <c r="G54" s="12"/>
      <c r="H54" s="12"/>
      <c r="I54" s="12"/>
      <c r="J54" s="12"/>
      <c r="K54" s="12"/>
      <c r="L54" s="12"/>
    </row>
    <row r="55" spans="1:12">
      <c r="A55" s="53">
        <v>1</v>
      </c>
      <c r="B55" s="58" t="s">
        <v>97</v>
      </c>
      <c r="C55" s="59">
        <f>LOOKUP('I&amp;O'!E27,'Diet Chart'!$B$5:$M$5,'Diet Chart'!$B$8:$M$8)</f>
        <v>8</v>
      </c>
      <c r="D55" s="59">
        <f>LOOKUP(E27,'Diet Chart'!$B$5:$M$5,'Diet Chart'!$B31:$M31)</f>
        <v>7</v>
      </c>
      <c r="E55" s="59">
        <f>LOOKUP(E27,'Diet Chart'!$B$5:$M$5,'Diet Chart'!$B54:$M54)</f>
        <v>6</v>
      </c>
      <c r="F55" s="146"/>
      <c r="G55" s="375"/>
      <c r="H55" s="152"/>
      <c r="I55" s="12"/>
      <c r="J55" s="12"/>
      <c r="K55" s="12"/>
      <c r="L55" s="12"/>
    </row>
    <row r="56" spans="1:12">
      <c r="A56" s="53"/>
      <c r="B56" s="35"/>
      <c r="C56" s="59"/>
      <c r="D56" s="59"/>
      <c r="E56" s="53"/>
      <c r="F56" s="376"/>
      <c r="G56" s="375"/>
      <c r="H56" s="12"/>
      <c r="I56" s="12"/>
      <c r="J56" s="12"/>
      <c r="K56" s="12"/>
      <c r="L56" s="12"/>
    </row>
    <row r="57" spans="1:12">
      <c r="A57" s="52">
        <v>2</v>
      </c>
      <c r="B57" s="35" t="s">
        <v>99</v>
      </c>
      <c r="C57" s="59"/>
      <c r="D57" s="59"/>
      <c r="E57" s="53"/>
      <c r="F57" s="376"/>
      <c r="G57" s="375"/>
      <c r="H57" s="12"/>
      <c r="I57" s="12"/>
      <c r="J57" s="12"/>
      <c r="K57" s="12"/>
      <c r="L57" s="12"/>
    </row>
    <row r="58" spans="1:12">
      <c r="A58" s="53" t="s">
        <v>100</v>
      </c>
      <c r="B58" s="60" t="s">
        <v>101</v>
      </c>
      <c r="C58" s="59">
        <f>IF($C$49=1,LOOKUP(E27,'Diet Chart'!$B$5:$M$5,'Diet Chart'!$B16:$M16),IF($C$49=2,LOOKUP(E27,'Diet Chart'!$B$5:$M$5,'Diet Chart'!$B17:$M17),LOOKUP(E27,'Diet Chart'!$B$5:$M$5,'Diet Chart'!$B22:$M22)))</f>
        <v>4</v>
      </c>
      <c r="D58" s="59">
        <f>IF($C$49=1,LOOKUP(E27,'Diet Chart'!$B$5:$M$5,'Diet Chart'!$B39:$M39),IF($C$49=2,LOOKUP(E27,'Diet Chart'!$B$5:$M$5,'Diet Chart'!$B40:$M40),LOOKUP(E27,'Diet Chart'!$B$5:$M$5,'Diet Chart'!$B45:$M45)))</f>
        <v>3</v>
      </c>
      <c r="E58" s="59">
        <f>IF($C$49=1,LOOKUP(E27,'Diet Chart'!$B$5:$M$5,'Diet Chart'!$B62:$M62),IF($C$49=2,LOOKUP(E27,'Diet Chart'!$B$5:$M$5,'Diet Chart'!$B63:$M63),LOOKUP(E27,'Diet Chart'!$B$5:$M$5,'Diet Chart'!$B68:$M68)))</f>
        <v>3</v>
      </c>
      <c r="F58" s="146"/>
      <c r="G58" s="375"/>
      <c r="H58" s="152"/>
      <c r="I58" s="12"/>
      <c r="J58" s="12"/>
      <c r="K58" s="12"/>
      <c r="L58" s="12"/>
    </row>
    <row r="59" spans="1:12">
      <c r="A59" s="53" t="s">
        <v>102</v>
      </c>
      <c r="B59" s="61" t="s">
        <v>103</v>
      </c>
      <c r="C59" s="59">
        <f>IF($C$49=1,LOOKUP(E27,'Diet Chart'!$B$5:$M$5,'Diet Chart'!$B15:$M15),IF($C$49=2,0,LOOKUP(E27,'Diet Chart'!$B$5:$M$5,'Diet Chart'!$B21:$M21)))</f>
        <v>10</v>
      </c>
      <c r="D59" s="59">
        <f>IF($C$49=1,LOOKUP(E27,'Diet Chart'!$B$5:$M$5,'Diet Chart'!$B38:$M38),IF($C$49=2,0,LOOKUP(E27,'Diet Chart'!$B$5:$M$5,'Diet Chart'!$B44:$M44)))</f>
        <v>10</v>
      </c>
      <c r="E59" s="59">
        <f>IF($C$49=1,LOOKUP(E27,'Diet Chart'!$B$5:$M$5,'Diet Chart'!$B61:$M61),IF($C$49=2,0,LOOKUP(E27,'Diet Chart'!$B$5:$M$5,'Diet Chart'!$B67:$M67)))</f>
        <v>9</v>
      </c>
      <c r="F59" s="376"/>
      <c r="G59" s="375"/>
      <c r="H59" s="152"/>
      <c r="I59" s="12"/>
      <c r="J59" s="12"/>
      <c r="K59" s="12"/>
      <c r="L59" s="12"/>
    </row>
    <row r="60" spans="1:12">
      <c r="A60" s="53" t="s">
        <v>104</v>
      </c>
      <c r="B60" s="61" t="s">
        <v>105</v>
      </c>
      <c r="C60" s="59">
        <f>IF(C49=3,LOOKUP(E27,'Diet Chart'!$B$5:$M$5,'Diet Chart'!$B20:$M20),0)</f>
        <v>4</v>
      </c>
      <c r="D60" s="59">
        <f>IF(C49=3,LOOKUP(E27,'Diet Chart'!$B$5:$M$5,'Diet Chart'!$B43:$M43),0)</f>
        <v>4</v>
      </c>
      <c r="E60" s="59">
        <f>IF(C49=3,LOOKUP(E27,'Diet Chart'!$B$5:$M$5,'Diet Chart'!$B66:$M66),0)</f>
        <v>4</v>
      </c>
      <c r="F60" s="376"/>
      <c r="G60" s="375"/>
      <c r="H60" s="152"/>
      <c r="I60" s="12"/>
      <c r="J60" s="12"/>
      <c r="K60" s="12"/>
      <c r="L60" s="12"/>
    </row>
    <row r="61" spans="1:12">
      <c r="A61" s="53" t="s">
        <v>106</v>
      </c>
      <c r="B61" s="61" t="s">
        <v>546</v>
      </c>
      <c r="C61" s="381">
        <v>0</v>
      </c>
      <c r="D61" s="59">
        <f>LOOKUP(E27,'Diet Chart'!$B$5:$M$5,'Diet Chart'!$B46:$M46)</f>
        <v>7</v>
      </c>
      <c r="E61" s="59">
        <f>LOOKUP(E27,'Diet Chart'!$B$5:$M$5,'Diet Chart'!$B69:$M69)</f>
        <v>7</v>
      </c>
      <c r="F61" s="376"/>
      <c r="G61" s="375"/>
      <c r="H61" s="152"/>
      <c r="I61" s="12"/>
      <c r="J61" s="12"/>
      <c r="K61" s="12"/>
      <c r="L61" s="12"/>
    </row>
    <row r="62" spans="1:12">
      <c r="A62" s="53" t="s">
        <v>107</v>
      </c>
      <c r="B62" s="61" t="s">
        <v>108</v>
      </c>
      <c r="C62" s="381">
        <v>0</v>
      </c>
      <c r="D62" s="59">
        <f>LOOKUP(E27,'Diet Chart'!$B$5:$M$5,'Diet Chart'!$B41:$M41)</f>
        <v>10.5</v>
      </c>
      <c r="E62" s="59">
        <f>LOOKUP(E27,'Diet Chart'!$B$5:$M$5,'Diet Chart'!$B64:$M64)</f>
        <v>7</v>
      </c>
      <c r="F62" s="377"/>
      <c r="G62" s="375"/>
      <c r="H62" s="152"/>
      <c r="I62" s="12"/>
      <c r="J62" s="12"/>
      <c r="K62" s="12"/>
      <c r="L62" s="12"/>
    </row>
    <row r="63" spans="1:12">
      <c r="A63" s="52">
        <v>3</v>
      </c>
      <c r="B63" s="35" t="s">
        <v>109</v>
      </c>
      <c r="C63" s="59">
        <f>IF($C$49&lt;3,LOOKUP(E27,'Diet Chart'!$B$5:$M$5,'Diet Chart'!$B11:$M11),LOOKUP(E27,'Diet Chart'!$B$5:$M$5,'Diet Chart'!$B12:$M12))</f>
        <v>1</v>
      </c>
      <c r="D63" s="59">
        <f>IF($C$49&lt;3,LOOKUP(E27,'Diet Chart'!$B$5:$M$5,'Diet Chart'!$B34:$M34),LOOKUP(E27,'Diet Chart'!$B$5:$M$5,'Diet Chart'!$B35:$M35))</f>
        <v>1</v>
      </c>
      <c r="E63" s="59">
        <f>IF($C$49&lt;3,LOOKUP(E27,'Diet Chart'!$B$5:$M$5,'Diet Chart'!$B57:$M57),LOOKUP(E27,'Diet Chart'!$B$5:$M$5,'Diet Chart'!$B58:$M58))</f>
        <v>1.8</v>
      </c>
      <c r="F63" s="377"/>
      <c r="G63" s="375"/>
      <c r="H63" s="152"/>
      <c r="I63" s="12"/>
      <c r="J63" s="12"/>
      <c r="K63" s="12"/>
      <c r="L63" s="12"/>
    </row>
    <row r="64" spans="1:12">
      <c r="A64" s="53">
        <v>4</v>
      </c>
      <c r="B64" s="35" t="s">
        <v>111</v>
      </c>
      <c r="C64" s="59">
        <f>LOOKUP(E27,'Diet Chart'!$B$5:$M$5,'Diet Chart'!$B13:$M13)</f>
        <v>3</v>
      </c>
      <c r="D64" s="59">
        <f>LOOKUP(E27,'Diet Chart'!$B$5:$M$5,'Diet Chart'!$B36:$M36)</f>
        <v>4</v>
      </c>
      <c r="E64" s="59">
        <f>LOOKUP(E27,'Diet Chart'!$B$5:$M$5,'Diet Chart'!$B59:$M59)</f>
        <v>3.5</v>
      </c>
      <c r="F64" s="377"/>
      <c r="G64" s="375"/>
      <c r="H64" s="152"/>
      <c r="I64" s="12"/>
      <c r="J64" s="12"/>
      <c r="K64" s="12"/>
      <c r="L64" s="12"/>
    </row>
    <row r="65" spans="1:12">
      <c r="A65" s="53">
        <v>5</v>
      </c>
      <c r="B65" s="35" t="s">
        <v>113</v>
      </c>
      <c r="C65" s="59">
        <f>LOOKUP(E27,'Diet Chart'!$B$5:$M$5,'Diet Chart'!$B9:$M9)</f>
        <v>4.5</v>
      </c>
      <c r="D65" s="59">
        <f>LOOKUP(E27,'Diet Chart'!$B$5:$M$5,'Diet Chart'!$B32:$M32)</f>
        <v>3</v>
      </c>
      <c r="E65" s="59">
        <f>LOOKUP(E27,'Diet Chart'!$B$5:$M$5,'Diet Chart'!$B55:$M55)</f>
        <v>4</v>
      </c>
      <c r="F65" s="377"/>
      <c r="G65" s="375"/>
      <c r="H65" s="152"/>
      <c r="I65" s="12"/>
      <c r="J65" s="12"/>
      <c r="K65" s="12"/>
      <c r="L65" s="12"/>
    </row>
    <row r="66" spans="1:12">
      <c r="A66" s="53">
        <v>6</v>
      </c>
      <c r="B66" s="35" t="s">
        <v>114</v>
      </c>
      <c r="C66" s="59">
        <f>LOOKUP(E27,'Diet Chart'!$B$5:$M$5,'Diet Chart'!$B10:$M10)</f>
        <v>1.5</v>
      </c>
      <c r="D66" s="59">
        <f>LOOKUP(E27,'Diet Chart'!$B$5:$M$5,'Diet Chart'!$B33:$M33)</f>
        <v>2.5</v>
      </c>
      <c r="E66" s="59">
        <f>LOOKUP(E27,'Diet Chart'!$B$5:$M$5,'Diet Chart'!$B56:$M56)</f>
        <v>4</v>
      </c>
      <c r="F66" s="377"/>
      <c r="G66" s="375"/>
      <c r="H66" s="152"/>
      <c r="I66" s="12"/>
      <c r="J66" s="12"/>
      <c r="K66" s="12"/>
      <c r="L66" s="12"/>
    </row>
    <row r="67" spans="1:12">
      <c r="A67" s="53">
        <v>7</v>
      </c>
      <c r="B67" s="35" t="s">
        <v>115</v>
      </c>
      <c r="C67" s="59">
        <f>IF($C$49&lt;3,LOOKUP(E27,'Diet Chart'!$B$5:$M$5,'Diet Chart'!$B24:$M24),LOOKUP(E27,'Diet Chart'!$B$5:$M$5,'Diet Chart'!$B25:$M25))</f>
        <v>9</v>
      </c>
      <c r="D67" s="59">
        <f>IF($C$49&lt;3,LOOKUP(E27,'Diet Chart'!$B$5:$M$5,'Diet Chart'!$B47:$M47),LOOKUP(E27,'Diet Chart'!$B$5:$M$5,'Diet Chart'!$B48:$M48))</f>
        <v>9</v>
      </c>
      <c r="E67" s="59">
        <f>IF($C$49&lt;3,LOOKUP(E27,'Diet Chart'!$B$5:$M$5,'Diet Chart'!$B70:$M70),LOOKUP(E27,'Diet Chart'!$B$5:$M$5,'Diet Chart'!$B71:$M71))</f>
        <v>7.5</v>
      </c>
      <c r="F67" s="377"/>
      <c r="G67" s="375"/>
      <c r="H67" s="152"/>
      <c r="I67" s="12"/>
      <c r="J67" s="12"/>
      <c r="K67" s="12"/>
      <c r="L67" s="12"/>
    </row>
    <row r="68" spans="1:12" s="12" customFormat="1">
      <c r="B68" s="111" t="s">
        <v>210</v>
      </c>
      <c r="C68" s="36"/>
      <c r="D68" s="34"/>
      <c r="G68" s="24"/>
    </row>
    <row r="69" spans="1:12" s="12" customFormat="1">
      <c r="B69" s="112" t="s">
        <v>211</v>
      </c>
      <c r="C69" s="51"/>
      <c r="D69" s="34"/>
      <c r="E69" s="113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212</v>
      </c>
      <c r="C71" s="114">
        <f>C49</f>
        <v>3</v>
      </c>
      <c r="D71" s="2"/>
      <c r="F71" s="12"/>
      <c r="G71" s="24"/>
      <c r="H71" s="12"/>
      <c r="I71" s="12"/>
      <c r="J71" s="12"/>
    </row>
    <row r="72" spans="1:12" ht="30">
      <c r="B72" s="3" t="s">
        <v>87</v>
      </c>
      <c r="C72" s="3" t="s">
        <v>88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89</v>
      </c>
      <c r="D73" s="2">
        <v>2</v>
      </c>
      <c r="F73" s="12"/>
      <c r="G73" s="24"/>
      <c r="H73" s="12"/>
      <c r="I73" s="12"/>
      <c r="J73" s="12"/>
    </row>
    <row r="74" spans="1:12">
      <c r="C74" t="s">
        <v>90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3" t="s">
        <v>213</v>
      </c>
      <c r="D75" s="3"/>
      <c r="F75" s="12"/>
      <c r="G75" s="24"/>
      <c r="H75" s="12"/>
      <c r="I75" s="12"/>
      <c r="J75" s="12"/>
    </row>
    <row r="76" spans="1:12" ht="30">
      <c r="D76" s="115" t="s">
        <v>214</v>
      </c>
      <c r="F76" s="12"/>
      <c r="G76" s="24"/>
      <c r="H76" s="12"/>
      <c r="I76" s="12"/>
      <c r="J76" s="12"/>
    </row>
    <row r="77" spans="1:12">
      <c r="C77" s="116" t="s">
        <v>215</v>
      </c>
      <c r="D77" s="117" t="s">
        <v>216</v>
      </c>
      <c r="E77" s="116"/>
      <c r="G77" s="4"/>
    </row>
    <row r="78" spans="1:12">
      <c r="C78" s="116" t="s">
        <v>217</v>
      </c>
      <c r="D78" s="7"/>
      <c r="E78" s="116"/>
      <c r="G78" s="4"/>
    </row>
    <row r="79" spans="1:12">
      <c r="C79" s="116"/>
      <c r="D79" s="3"/>
      <c r="G79" s="4"/>
    </row>
    <row r="80" spans="1:12">
      <c r="A80">
        <v>3</v>
      </c>
      <c r="B80" s="118" t="s">
        <v>512</v>
      </c>
      <c r="D80" s="3"/>
      <c r="G80" s="4"/>
    </row>
    <row r="81" spans="1:7" ht="60">
      <c r="B81" s="3" t="s">
        <v>219</v>
      </c>
      <c r="C81" s="1"/>
      <c r="D81" s="115" t="s">
        <v>214</v>
      </c>
      <c r="G81" s="4"/>
    </row>
    <row r="82" spans="1:7">
      <c r="C82" s="119" t="s">
        <v>508</v>
      </c>
      <c r="D82" s="7"/>
      <c r="E82" s="116"/>
      <c r="G82" s="4"/>
    </row>
    <row r="83" spans="1:7">
      <c r="C83" s="119" t="s">
        <v>509</v>
      </c>
      <c r="D83" s="7"/>
      <c r="E83" s="116"/>
      <c r="G83" s="4"/>
    </row>
    <row r="84" spans="1:7">
      <c r="C84" s="120" t="s">
        <v>510</v>
      </c>
      <c r="D84" s="7"/>
      <c r="E84" s="116"/>
      <c r="G84" s="4"/>
    </row>
    <row r="85" spans="1:7">
      <c r="C85" s="119" t="s">
        <v>223</v>
      </c>
      <c r="D85" s="7"/>
      <c r="E85" s="116"/>
      <c r="G85" s="4"/>
    </row>
    <row r="86" spans="1:7">
      <c r="C86" s="119" t="s">
        <v>224</v>
      </c>
      <c r="D86" s="7" t="s">
        <v>216</v>
      </c>
      <c r="E86" s="116"/>
      <c r="G86" s="4"/>
    </row>
    <row r="87" spans="1:7">
      <c r="B87" s="1"/>
      <c r="C87" s="119" t="s">
        <v>225</v>
      </c>
      <c r="D87" s="7"/>
      <c r="E87" s="116"/>
      <c r="G87" s="4"/>
    </row>
    <row r="88" spans="1:7" ht="90">
      <c r="B88" s="1"/>
      <c r="C88" s="318" t="s">
        <v>511</v>
      </c>
      <c r="D88" s="7"/>
      <c r="E88" s="319" t="s">
        <v>537</v>
      </c>
      <c r="G88" s="4"/>
    </row>
    <row r="89" spans="1:7" ht="48.75" customHeight="1">
      <c r="A89">
        <v>4</v>
      </c>
      <c r="B89" s="121" t="s">
        <v>226</v>
      </c>
      <c r="D89" s="115" t="s">
        <v>214</v>
      </c>
      <c r="G89" s="3"/>
    </row>
    <row r="90" spans="1:7">
      <c r="C90" s="116" t="s">
        <v>227</v>
      </c>
      <c r="D90" s="7"/>
      <c r="G90" s="122"/>
    </row>
    <row r="91" spans="1:7">
      <c r="C91" s="116" t="s">
        <v>228</v>
      </c>
      <c r="D91" s="7"/>
      <c r="G91" s="122"/>
    </row>
    <row r="92" spans="1:7">
      <c r="C92" s="116" t="s">
        <v>229</v>
      </c>
      <c r="D92" s="7" t="s">
        <v>216</v>
      </c>
      <c r="G92" s="122"/>
    </row>
    <row r="93" spans="1:7">
      <c r="C93" s="1"/>
      <c r="D93" s="123"/>
      <c r="G93" s="4"/>
    </row>
    <row r="94" spans="1:7">
      <c r="C94" s="1"/>
      <c r="D94" s="123"/>
      <c r="G94" s="4"/>
    </row>
    <row r="95" spans="1:7" ht="30">
      <c r="A95">
        <v>5</v>
      </c>
      <c r="B95" s="118" t="s">
        <v>230</v>
      </c>
      <c r="D95" s="115" t="s">
        <v>214</v>
      </c>
      <c r="G95" s="4"/>
    </row>
    <row r="96" spans="1:7" ht="30">
      <c r="B96" s="3" t="s">
        <v>231</v>
      </c>
      <c r="C96" s="211" t="s">
        <v>232</v>
      </c>
      <c r="D96" s="124"/>
      <c r="G96" s="4"/>
    </row>
    <row r="97" spans="1:13">
      <c r="C97" s="3" t="s">
        <v>234</v>
      </c>
      <c r="D97" s="7"/>
      <c r="E97" s="116"/>
      <c r="G97" s="4"/>
    </row>
    <row r="98" spans="1:13">
      <c r="C98" s="3" t="s">
        <v>233</v>
      </c>
      <c r="D98" s="7"/>
      <c r="E98" s="116"/>
      <c r="G98" s="4"/>
    </row>
    <row r="99" spans="1:13">
      <c r="C99" s="3" t="s">
        <v>333</v>
      </c>
      <c r="D99" s="7" t="s">
        <v>216</v>
      </c>
      <c r="E99" s="116"/>
      <c r="G99" s="4"/>
    </row>
    <row r="100" spans="1:13">
      <c r="C100" s="3" t="s">
        <v>334</v>
      </c>
      <c r="D100" s="7"/>
      <c r="E100" s="116"/>
      <c r="G100" s="4"/>
    </row>
    <row r="101" spans="1:13">
      <c r="D101" s="7"/>
      <c r="E101" s="116"/>
      <c r="G101" s="4"/>
    </row>
    <row r="102" spans="1:13" s="12" customFormat="1">
      <c r="D102" s="55" t="s">
        <v>235</v>
      </c>
      <c r="E102" s="283" t="s">
        <v>470</v>
      </c>
      <c r="F102" s="150"/>
      <c r="G102" s="24"/>
    </row>
    <row r="103" spans="1:13" ht="45">
      <c r="A103">
        <v>6</v>
      </c>
      <c r="B103" s="125" t="s">
        <v>236</v>
      </c>
      <c r="D103" s="7">
        <v>14</v>
      </c>
      <c r="E103" s="284">
        <f>D103</f>
        <v>14</v>
      </c>
      <c r="F103" s="320"/>
      <c r="G103" s="4"/>
    </row>
    <row r="104" spans="1:13" ht="45">
      <c r="B104" s="3"/>
      <c r="E104" s="321" t="s">
        <v>513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237</v>
      </c>
      <c r="D106" s="3"/>
      <c r="G106" s="4"/>
    </row>
    <row r="107" spans="1:13">
      <c r="D107" s="3"/>
      <c r="G107" s="4"/>
      <c r="H107" s="1" t="s">
        <v>40</v>
      </c>
      <c r="I107" t="s">
        <v>471</v>
      </c>
      <c r="J107" t="s">
        <v>472</v>
      </c>
      <c r="K107" t="s">
        <v>473</v>
      </c>
      <c r="L107" t="s">
        <v>474</v>
      </c>
      <c r="M107" t="s">
        <v>475</v>
      </c>
    </row>
    <row r="108" spans="1:13">
      <c r="D108" s="3"/>
      <c r="G108" s="4"/>
      <c r="I108" s="285">
        <f>E103-E112</f>
        <v>10</v>
      </c>
      <c r="J108" s="286">
        <f>I108-E111</f>
        <v>4.4285714285714288</v>
      </c>
      <c r="K108" s="286">
        <f>J108-E113</f>
        <v>2.5714285714285716</v>
      </c>
      <c r="L108">
        <f>K108-E114</f>
        <v>0.71428571428571441</v>
      </c>
      <c r="M108">
        <f>L108-E115</f>
        <v>0</v>
      </c>
    </row>
    <row r="109" spans="1:13" ht="30">
      <c r="D109" s="321" t="s">
        <v>515</v>
      </c>
      <c r="E109" s="283" t="s">
        <v>470</v>
      </c>
      <c r="G109" s="4"/>
      <c r="H109" t="s">
        <v>476</v>
      </c>
      <c r="I109" s="244">
        <f>(E112-D112)/E103</f>
        <v>7.1428571428571425E-2</v>
      </c>
    </row>
    <row r="110" spans="1:13" ht="30">
      <c r="D110" s="115" t="s">
        <v>238</v>
      </c>
      <c r="E110" s="1" t="s">
        <v>40</v>
      </c>
      <c r="F110" s="1" t="s">
        <v>59</v>
      </c>
      <c r="G110" s="287" t="s">
        <v>60</v>
      </c>
      <c r="H110" t="s">
        <v>477</v>
      </c>
      <c r="I110" s="288">
        <f>1-I109</f>
        <v>0.9285714285714286</v>
      </c>
    </row>
    <row r="111" spans="1:13">
      <c r="B111" s="126" t="s">
        <v>480</v>
      </c>
      <c r="D111" s="7">
        <v>6</v>
      </c>
      <c r="E111" s="289">
        <f>IF(D112&gt;=E112,D111,(IF(D111=0,0,IF(D111&gt;$I$108,$I$108,D111*I110))))</f>
        <v>5.5714285714285712</v>
      </c>
      <c r="F111" s="289">
        <f>IF(D112&gt;=F112,D111,(IF(D111=0,0,IF(D111&gt;$I$112,$I$112,D111*I114))))</f>
        <v>5.5714285714285712</v>
      </c>
      <c r="G111" s="289">
        <f>IF(D112&gt;=G112,D111,(IF(D111=0,0,IF(D111&gt;$I$116,$I$116,D111*I118))))</f>
        <v>5.5714285714285712</v>
      </c>
      <c r="H111" s="1" t="s">
        <v>59</v>
      </c>
      <c r="I111" t="s">
        <v>471</v>
      </c>
      <c r="J111" t="s">
        <v>472</v>
      </c>
      <c r="K111" t="s">
        <v>473</v>
      </c>
      <c r="L111" t="s">
        <v>474</v>
      </c>
      <c r="M111" t="s">
        <v>475</v>
      </c>
    </row>
    <row r="112" spans="1:13">
      <c r="B112" s="127" t="s">
        <v>407</v>
      </c>
      <c r="C112" s="128"/>
      <c r="D112" s="129">
        <v>3</v>
      </c>
      <c r="E112" s="290">
        <f>IF(D112&gt;'Basic diet cal'!E95,D112,'Basic diet cal'!E95)</f>
        <v>4</v>
      </c>
      <c r="F112" s="290">
        <f>IF(D112&gt;'Basic diet cal'!F95,D112,'Basic diet cal'!F95)</f>
        <v>4</v>
      </c>
      <c r="G112" s="290">
        <f>IF(D112&gt;'Basic diet cal'!G95,D112,'Basic diet cal'!G95)</f>
        <v>4</v>
      </c>
      <c r="I112" s="291">
        <f>E103-F112</f>
        <v>10</v>
      </c>
      <c r="J112" s="292">
        <f>I112-F111</f>
        <v>4.4285714285714288</v>
      </c>
      <c r="K112" s="292">
        <f>J112-F113</f>
        <v>2.5714285714285716</v>
      </c>
      <c r="L112" s="292">
        <f>K112-F114</f>
        <v>0.71428571428571441</v>
      </c>
      <c r="M112" s="292">
        <f>L112-F115</f>
        <v>0</v>
      </c>
    </row>
    <row r="113" spans="1:13">
      <c r="B113" s="119" t="s">
        <v>481</v>
      </c>
      <c r="D113" s="7">
        <v>2</v>
      </c>
      <c r="E113" s="289">
        <f>IF(D112&gt;=E112,D113,IF(D113=0,0,IF(D113&gt;$J$108,$J$108,D113*I110)))</f>
        <v>1.8571428571428572</v>
      </c>
      <c r="F113" s="289">
        <f>IF(D112&gt;=F112,D113,IF(D113=0,0,IF(D113&gt;$J$112,$J$112,D113*I114)))</f>
        <v>1.8571428571428572</v>
      </c>
      <c r="G113" s="289">
        <f>IF(D112&gt;=G112,D113,IF(D113=0,0,IF(D113&gt;$J$116,$J$116,D113*I118)))</f>
        <v>1.8571428571428572</v>
      </c>
      <c r="H113" t="s">
        <v>476</v>
      </c>
      <c r="I113" s="244">
        <f>(F112-D112)/E103</f>
        <v>7.1428571428571425E-2</v>
      </c>
    </row>
    <row r="114" spans="1:13">
      <c r="B114" s="119" t="s">
        <v>514</v>
      </c>
      <c r="D114" s="7">
        <v>2</v>
      </c>
      <c r="E114" s="289">
        <f>IF(D112&gt;=E112,D114,IF(D114=0,0,IF(D114&gt;$K$108,$K$108,D114*I110)))</f>
        <v>1.8571428571428572</v>
      </c>
      <c r="F114" s="289">
        <f>IF(D112&gt;=F112,D114,IF(D114=0,0,IF(D114&gt;$K$112,$K$112,D114*I114)))</f>
        <v>1.8571428571428572</v>
      </c>
      <c r="G114" s="289">
        <f>IF(D112&gt;=G112,D114,IF(D114=0,0,IF(D114&gt;$K$116,$K$116,D114*I118)))</f>
        <v>1.8571428571428572</v>
      </c>
      <c r="H114" t="s">
        <v>477</v>
      </c>
      <c r="I114" s="244">
        <f>1-I113</f>
        <v>0.9285714285714286</v>
      </c>
    </row>
    <row r="115" spans="1:13">
      <c r="B115" s="120" t="s">
        <v>484</v>
      </c>
      <c r="D115" s="7">
        <v>1</v>
      </c>
      <c r="E115" s="289">
        <f>IF(D112&gt;=E112,D115,IF(D115=0,0,IF(D115&gt;$L$108,$L$108,D115*I110)))</f>
        <v>0.71428571428571441</v>
      </c>
      <c r="F115" s="289">
        <f>IF(D112&gt;=F112,D115,IF(D115=0,0,IF(D115&gt;$L$112,$L$112,D115*I114)))</f>
        <v>0.71428571428571441</v>
      </c>
      <c r="G115" s="289">
        <f>IF(D112&gt;=G112,D115,IF(D115=0,0,IF(D115&gt;$L$116,$L$116,D115*I118)))</f>
        <v>0.71428571428571441</v>
      </c>
      <c r="H115" s="1" t="s">
        <v>60</v>
      </c>
      <c r="I115" t="s">
        <v>471</v>
      </c>
      <c r="J115" t="s">
        <v>472</v>
      </c>
      <c r="K115" t="s">
        <v>473</v>
      </c>
      <c r="L115" t="s">
        <v>474</v>
      </c>
      <c r="M115" t="s">
        <v>475</v>
      </c>
    </row>
    <row r="116" spans="1:13">
      <c r="B116" s="120" t="s">
        <v>483</v>
      </c>
      <c r="D116" s="7">
        <v>0</v>
      </c>
      <c r="E116" s="289">
        <f>IF(D112&gt;=E112,D116,IF(D116=0,0,IF(D116&gt;$M$108,$M$108,D116*I118)))</f>
        <v>0</v>
      </c>
      <c r="F116" s="289">
        <f>IF(D112&gt;=F112,D116,IF(D116=0,0,IF(D116&gt;$M$112,$M$112,D116*I118)))</f>
        <v>0</v>
      </c>
      <c r="G116" s="289">
        <f>IF(D112&gt;=G112,D116,IF(D116=0,0,IF(D116&gt;$M$116,$M$116,D116*I118)))</f>
        <v>0</v>
      </c>
      <c r="I116" s="291">
        <f>E103-G112</f>
        <v>10</v>
      </c>
      <c r="J116" s="292">
        <f>I116-G111</f>
        <v>4.4285714285714288</v>
      </c>
      <c r="K116" s="292">
        <f>J116-G113</f>
        <v>2.5714285714285716</v>
      </c>
      <c r="L116" s="292">
        <f>K116-G114</f>
        <v>0.71428571428571441</v>
      </c>
      <c r="M116" s="292">
        <f>L116-G115</f>
        <v>0</v>
      </c>
    </row>
    <row r="117" spans="1:13">
      <c r="B117" s="130"/>
      <c r="C117" s="2"/>
      <c r="D117" s="286">
        <f>SUM(D111:D116)</f>
        <v>14</v>
      </c>
      <c r="E117" s="286">
        <f>SUM(E111:E116)</f>
        <v>14</v>
      </c>
      <c r="F117">
        <f t="shared" ref="F117:G117" si="0">SUM(F111:F116)</f>
        <v>14</v>
      </c>
      <c r="G117">
        <f t="shared" si="0"/>
        <v>14</v>
      </c>
      <c r="H117" t="s">
        <v>476</v>
      </c>
      <c r="I117" s="244">
        <f>(G112-D112)/E103</f>
        <v>7.1428571428571425E-2</v>
      </c>
    </row>
    <row r="118" spans="1:13">
      <c r="B118" s="130"/>
      <c r="C118" s="2"/>
      <c r="D118" s="3"/>
      <c r="E118" s="286"/>
      <c r="F118" s="286"/>
      <c r="G118" s="286"/>
      <c r="H118" t="s">
        <v>477</v>
      </c>
      <c r="I118" s="244">
        <f>1-I117</f>
        <v>0.9285714285714286</v>
      </c>
    </row>
    <row r="119" spans="1:13">
      <c r="A119">
        <v>9</v>
      </c>
      <c r="B119" s="131" t="s">
        <v>516</v>
      </c>
      <c r="C119" s="132"/>
      <c r="D119" s="3"/>
      <c r="G119" s="4"/>
    </row>
    <row r="120" spans="1:13" ht="30">
      <c r="B120" s="322" t="s">
        <v>242</v>
      </c>
      <c r="C120" s="2"/>
      <c r="D120" s="115" t="s">
        <v>243</v>
      </c>
      <c r="G120" s="4"/>
    </row>
    <row r="121" spans="1:13">
      <c r="B121" s="127" t="s">
        <v>244</v>
      </c>
      <c r="C121" s="5"/>
      <c r="D121" s="373">
        <f t="shared" ref="D121:D126" si="1">IF(C121="yes", 100%,0)</f>
        <v>0</v>
      </c>
      <c r="G121" s="4"/>
    </row>
    <row r="122" spans="1:13">
      <c r="B122" s="119" t="s">
        <v>245</v>
      </c>
      <c r="C122" s="2"/>
      <c r="D122" s="373">
        <v>1</v>
      </c>
      <c r="G122" s="4"/>
    </row>
    <row r="123" spans="1:13">
      <c r="B123" s="119" t="s">
        <v>246</v>
      </c>
      <c r="C123" s="2"/>
      <c r="D123" s="373">
        <f t="shared" si="1"/>
        <v>0</v>
      </c>
      <c r="G123" s="4"/>
    </row>
    <row r="124" spans="1:13">
      <c r="B124" s="119" t="s">
        <v>247</v>
      </c>
      <c r="C124" s="2"/>
      <c r="D124" s="373">
        <f t="shared" si="1"/>
        <v>0</v>
      </c>
      <c r="E124" s="3"/>
      <c r="F124" s="3"/>
      <c r="G124" s="4"/>
    </row>
    <row r="125" spans="1:13">
      <c r="B125" s="119" t="s">
        <v>249</v>
      </c>
      <c r="C125" s="2"/>
      <c r="D125" s="373">
        <f t="shared" si="1"/>
        <v>0</v>
      </c>
      <c r="E125" s="3"/>
      <c r="F125" s="3"/>
      <c r="G125" s="4"/>
    </row>
    <row r="126" spans="1:13">
      <c r="B126" s="119" t="s">
        <v>248</v>
      </c>
      <c r="C126" s="2"/>
      <c r="D126" s="373">
        <f t="shared" si="1"/>
        <v>0</v>
      </c>
      <c r="E126" s="3"/>
      <c r="F126" s="3"/>
      <c r="G126" s="4"/>
    </row>
    <row r="127" spans="1:13">
      <c r="B127" s="119"/>
      <c r="C127" s="133"/>
      <c r="D127" s="3"/>
      <c r="E127" s="3"/>
      <c r="F127" s="3"/>
      <c r="G127" s="4"/>
    </row>
    <row r="128" spans="1:13" ht="30">
      <c r="A128">
        <v>10</v>
      </c>
      <c r="B128" s="134" t="s">
        <v>522</v>
      </c>
      <c r="C128" s="114" t="s">
        <v>538</v>
      </c>
      <c r="D128" s="3"/>
      <c r="E128" s="3"/>
      <c r="F128" s="135"/>
      <c r="G128" s="4"/>
    </row>
    <row r="129" spans="2:7" ht="30">
      <c r="B129" s="137"/>
      <c r="C129" s="2"/>
      <c r="D129" s="115" t="s">
        <v>214</v>
      </c>
      <c r="E129" s="3"/>
      <c r="F129" s="3"/>
      <c r="G129" s="4"/>
    </row>
    <row r="130" spans="2:7">
      <c r="B130" s="34" t="s">
        <v>517</v>
      </c>
      <c r="D130" s="326">
        <v>1</v>
      </c>
      <c r="E130" s="3"/>
      <c r="F130" s="3"/>
      <c r="G130" s="4"/>
    </row>
    <row r="131" spans="2:7">
      <c r="B131" s="34" t="s">
        <v>518</v>
      </c>
      <c r="C131" s="2"/>
      <c r="D131" s="326"/>
      <c r="E131" s="3"/>
      <c r="F131" s="3"/>
      <c r="G131" s="4"/>
    </row>
    <row r="132" spans="2:7">
      <c r="B132" s="34" t="s">
        <v>519</v>
      </c>
      <c r="C132" s="2"/>
      <c r="D132" s="326"/>
      <c r="E132" s="3"/>
      <c r="F132" s="3"/>
      <c r="G132" s="4"/>
    </row>
    <row r="133" spans="2:7">
      <c r="B133" s="353" t="s">
        <v>521</v>
      </c>
      <c r="C133" s="2"/>
      <c r="D133" s="327"/>
      <c r="E133" s="3"/>
      <c r="F133" s="3"/>
      <c r="G133" s="4"/>
    </row>
    <row r="134" spans="2:7">
      <c r="B134" s="353" t="s">
        <v>520</v>
      </c>
      <c r="C134" s="2"/>
      <c r="D134" s="327"/>
      <c r="E134" s="3"/>
      <c r="F134" s="3"/>
      <c r="G134" s="4"/>
    </row>
    <row r="135" spans="2:7" s="139" customFormat="1">
      <c r="B135" s="140"/>
      <c r="C135" s="141"/>
      <c r="D135" s="140"/>
      <c r="E135" s="140"/>
      <c r="F135" s="140"/>
      <c r="G135" s="142"/>
    </row>
    <row r="136" spans="2:7" ht="15.75">
      <c r="B136" s="143" t="s">
        <v>253</v>
      </c>
      <c r="C136" s="2"/>
      <c r="D136" s="3"/>
      <c r="G136" s="4"/>
    </row>
    <row r="137" spans="2:7" s="12" customFormat="1" ht="15.75">
      <c r="B137" s="144"/>
      <c r="C137" s="51"/>
      <c r="D137" s="34"/>
      <c r="G137" s="24"/>
    </row>
    <row r="138" spans="2:7" ht="24.75">
      <c r="B138" s="36" t="s">
        <v>254</v>
      </c>
      <c r="C138" s="51" t="s">
        <v>98</v>
      </c>
      <c r="D138" s="34"/>
      <c r="E138" s="12"/>
      <c r="F138" s="12"/>
      <c r="G138" s="4"/>
    </row>
    <row r="139" spans="2:7">
      <c r="B139" s="12" t="s">
        <v>255</v>
      </c>
      <c r="C139" s="12"/>
      <c r="D139" s="145">
        <f>C55*'Basic diet cal'!$E$34*('Basic diet cal'!$E$22+'Basic diet cal'!$F$22)</f>
        <v>2.6663999999999999</v>
      </c>
      <c r="E139" s="146">
        <f>D55*'Basic diet cal'!$E$34*('Basic diet cal'!$E$22+'Basic diet cal'!$F$22)</f>
        <v>2.3331</v>
      </c>
      <c r="F139" s="146">
        <f>E55*'Basic diet cal'!$E$34*('Basic diet cal'!$E$22+'Basic diet cal'!$F$22)</f>
        <v>1.9998</v>
      </c>
      <c r="G139" s="4"/>
    </row>
    <row r="140" spans="2:7">
      <c r="B140" s="12" t="s">
        <v>256</v>
      </c>
      <c r="C140" s="51"/>
      <c r="D140" s="146">
        <f>C55*'Basic diet cal'!$E$35*('Basic diet cal'!$E$22+'Basic diet cal'!$F$22)</f>
        <v>2.6663999999999999</v>
      </c>
      <c r="E140" s="146">
        <f>D55*'Basic diet cal'!$E$35*('Basic diet cal'!$E$22+'Basic diet cal'!$F$22)</f>
        <v>2.3331</v>
      </c>
      <c r="F140" s="146">
        <f>E55*'Basic diet cal'!$E$35*('Basic diet cal'!$E$22+'Basic diet cal'!$F$22)</f>
        <v>1.9998</v>
      </c>
      <c r="G140" s="4"/>
    </row>
    <row r="141" spans="2:7">
      <c r="B141" s="12" t="s">
        <v>257</v>
      </c>
      <c r="C141" s="51"/>
      <c r="D141" s="145">
        <f>C55*'Basic diet cal'!$D$22</f>
        <v>2.6663999999999999</v>
      </c>
      <c r="E141" s="146">
        <f>D55*'Basic diet cal'!$D$22</f>
        <v>2.3331</v>
      </c>
      <c r="F141" s="146">
        <f>E55*'Basic diet cal'!$D$22</f>
        <v>1.9998</v>
      </c>
      <c r="G141" s="4"/>
    </row>
    <row r="142" spans="2:7">
      <c r="B142" s="36" t="s">
        <v>258</v>
      </c>
      <c r="C142" s="51"/>
      <c r="D142" s="147"/>
      <c r="E142" s="148"/>
      <c r="F142" s="148"/>
      <c r="G142" s="4"/>
    </row>
    <row r="143" spans="2:7" ht="26.25">
      <c r="B143" s="12" t="s">
        <v>259</v>
      </c>
      <c r="C143" s="51" t="s">
        <v>260</v>
      </c>
      <c r="D143" s="149">
        <f>C58</f>
        <v>4</v>
      </c>
      <c r="E143" s="149">
        <f>D58</f>
        <v>3</v>
      </c>
      <c r="F143" s="149">
        <f>E58</f>
        <v>3</v>
      </c>
      <c r="G143" s="4"/>
    </row>
    <row r="144" spans="2:7">
      <c r="B144" s="294" t="s">
        <v>498</v>
      </c>
      <c r="C144" s="295"/>
      <c r="D144" s="296"/>
      <c r="E144" s="296"/>
      <c r="F144" s="296"/>
      <c r="G144" s="4"/>
    </row>
    <row r="145" spans="2:7">
      <c r="B145" s="297" t="s">
        <v>480</v>
      </c>
      <c r="C145" s="295"/>
      <c r="D145" s="296">
        <f t="shared" ref="D145:F150" si="2">E111</f>
        <v>5.5714285714285712</v>
      </c>
      <c r="E145" s="296">
        <f t="shared" si="2"/>
        <v>5.5714285714285712</v>
      </c>
      <c r="F145" s="296">
        <f t="shared" si="2"/>
        <v>5.5714285714285712</v>
      </c>
      <c r="G145" s="4"/>
    </row>
    <row r="146" spans="2:7">
      <c r="B146" s="297" t="s">
        <v>407</v>
      </c>
      <c r="C146" s="295"/>
      <c r="D146" s="296">
        <f t="shared" si="2"/>
        <v>4</v>
      </c>
      <c r="E146" s="296">
        <f t="shared" si="2"/>
        <v>4</v>
      </c>
      <c r="F146" s="296">
        <f t="shared" si="2"/>
        <v>4</v>
      </c>
      <c r="G146" s="4"/>
    </row>
    <row r="147" spans="2:7">
      <c r="B147" s="297" t="s">
        <v>481</v>
      </c>
      <c r="C147" s="295"/>
      <c r="D147" s="296">
        <f t="shared" si="2"/>
        <v>1.8571428571428572</v>
      </c>
      <c r="E147" s="296">
        <f t="shared" si="2"/>
        <v>1.8571428571428572</v>
      </c>
      <c r="F147" s="296">
        <f t="shared" si="2"/>
        <v>1.8571428571428572</v>
      </c>
      <c r="G147" s="4"/>
    </row>
    <row r="148" spans="2:7">
      <c r="B148" s="297" t="s">
        <v>482</v>
      </c>
      <c r="C148" s="295"/>
      <c r="D148" s="296">
        <f t="shared" si="2"/>
        <v>1.8571428571428572</v>
      </c>
      <c r="E148" s="296">
        <f t="shared" si="2"/>
        <v>1.8571428571428572</v>
      </c>
      <c r="F148" s="296">
        <f t="shared" si="2"/>
        <v>1.8571428571428572</v>
      </c>
      <c r="G148" s="4"/>
    </row>
    <row r="149" spans="2:7">
      <c r="B149" s="297" t="s">
        <v>484</v>
      </c>
      <c r="C149" s="295"/>
      <c r="D149" s="296">
        <f t="shared" si="2"/>
        <v>0.71428571428571441</v>
      </c>
      <c r="E149" s="296">
        <f t="shared" si="2"/>
        <v>0.71428571428571441</v>
      </c>
      <c r="F149" s="296">
        <f t="shared" si="2"/>
        <v>0.71428571428571441</v>
      </c>
      <c r="G149" s="4"/>
    </row>
    <row r="150" spans="2:7">
      <c r="B150" s="297" t="s">
        <v>483</v>
      </c>
      <c r="C150" s="295"/>
      <c r="D150" s="296">
        <f t="shared" si="2"/>
        <v>0</v>
      </c>
      <c r="E150" s="296">
        <f t="shared" si="2"/>
        <v>0</v>
      </c>
      <c r="F150" s="296">
        <f t="shared" si="2"/>
        <v>0</v>
      </c>
      <c r="G150" s="4"/>
    </row>
    <row r="151" spans="2:7">
      <c r="B151" s="297" t="s">
        <v>291</v>
      </c>
      <c r="C151" s="295"/>
      <c r="D151" s="298">
        <f>C62</f>
        <v>0</v>
      </c>
      <c r="E151" s="298">
        <f>D62</f>
        <v>10.5</v>
      </c>
      <c r="F151" s="298">
        <f>E62</f>
        <v>7</v>
      </c>
      <c r="G151" s="4"/>
    </row>
    <row r="152" spans="2:7">
      <c r="B152" s="299" t="s">
        <v>288</v>
      </c>
      <c r="C152" s="295"/>
      <c r="D152" s="298">
        <f>C59</f>
        <v>10</v>
      </c>
      <c r="E152" s="298">
        <f>D59</f>
        <v>10</v>
      </c>
      <c r="F152" s="298">
        <f>E59</f>
        <v>9</v>
      </c>
      <c r="G152" s="4"/>
    </row>
    <row r="153" spans="2:7">
      <c r="B153" s="297" t="s">
        <v>547</v>
      </c>
      <c r="C153" s="149"/>
      <c r="D153" s="149">
        <f>C61</f>
        <v>0</v>
      </c>
      <c r="E153" s="149">
        <f>D61</f>
        <v>7</v>
      </c>
      <c r="F153" s="149">
        <f>E61</f>
        <v>7</v>
      </c>
      <c r="G153" s="4"/>
    </row>
    <row r="154" spans="2:7">
      <c r="B154" s="36" t="s">
        <v>262</v>
      </c>
      <c r="C154" s="150" t="s">
        <v>110</v>
      </c>
      <c r="D154" s="151">
        <f t="shared" ref="D154:F158" si="3">C63</f>
        <v>1</v>
      </c>
      <c r="E154" s="151">
        <f t="shared" si="3"/>
        <v>1</v>
      </c>
      <c r="F154" s="151">
        <f t="shared" si="3"/>
        <v>1.8</v>
      </c>
      <c r="G154" s="4"/>
    </row>
    <row r="155" spans="2:7">
      <c r="B155" s="36" t="s">
        <v>263</v>
      </c>
      <c r="C155" s="51" t="s">
        <v>112</v>
      </c>
      <c r="D155" s="149">
        <f t="shared" si="3"/>
        <v>3</v>
      </c>
      <c r="E155" s="149">
        <f t="shared" si="3"/>
        <v>4</v>
      </c>
      <c r="F155" s="149">
        <f t="shared" si="3"/>
        <v>3.5</v>
      </c>
      <c r="G155" s="4"/>
    </row>
    <row r="156" spans="2:7">
      <c r="B156" s="36" t="s">
        <v>113</v>
      </c>
      <c r="C156" s="51" t="s">
        <v>261</v>
      </c>
      <c r="D156" s="149">
        <f t="shared" si="3"/>
        <v>4.5</v>
      </c>
      <c r="E156" s="149">
        <f t="shared" si="3"/>
        <v>3</v>
      </c>
      <c r="F156" s="149">
        <f t="shared" si="3"/>
        <v>4</v>
      </c>
      <c r="G156" s="4"/>
    </row>
    <row r="157" spans="2:7">
      <c r="B157" s="36" t="s">
        <v>114</v>
      </c>
      <c r="C157" s="51" t="s">
        <v>264</v>
      </c>
      <c r="D157" s="149">
        <f t="shared" si="3"/>
        <v>1.5</v>
      </c>
      <c r="E157" s="149">
        <f t="shared" si="3"/>
        <v>2.5</v>
      </c>
      <c r="F157" s="149">
        <f t="shared" si="3"/>
        <v>4</v>
      </c>
      <c r="G157" s="4"/>
    </row>
    <row r="158" spans="2:7">
      <c r="B158" s="36" t="s">
        <v>265</v>
      </c>
      <c r="C158" s="51" t="s">
        <v>116</v>
      </c>
      <c r="D158" s="149">
        <f t="shared" si="3"/>
        <v>9</v>
      </c>
      <c r="E158" s="149">
        <f t="shared" si="3"/>
        <v>9</v>
      </c>
      <c r="F158" s="149">
        <f t="shared" si="3"/>
        <v>7.5</v>
      </c>
      <c r="G158" s="4"/>
    </row>
    <row r="159" spans="2:7">
      <c r="B159" s="36"/>
      <c r="C159" s="51"/>
      <c r="D159" s="149"/>
      <c r="E159" s="152"/>
      <c r="F159" s="152"/>
      <c r="G159" s="4"/>
    </row>
    <row r="160" spans="2:7">
      <c r="B160" s="12"/>
      <c r="C160" s="51"/>
      <c r="D160" s="34"/>
      <c r="E160" s="12"/>
      <c r="F160" s="12"/>
      <c r="G160" s="4"/>
    </row>
    <row r="161" spans="2:12" s="12" customFormat="1">
      <c r="C161" s="51"/>
      <c r="D161" s="34"/>
      <c r="G161" s="24"/>
    </row>
    <row r="162" spans="2:12" ht="15.75">
      <c r="B162" s="153" t="s">
        <v>266</v>
      </c>
      <c r="G162" s="4"/>
      <c r="J162" s="154"/>
      <c r="K162" s="154"/>
      <c r="L162" s="154"/>
    </row>
    <row r="163" spans="2:12" ht="15.75">
      <c r="B163" s="155" t="s">
        <v>267</v>
      </c>
      <c r="G163" s="4"/>
      <c r="J163" s="154"/>
      <c r="K163" s="154"/>
      <c r="L163" s="154"/>
    </row>
    <row r="164" spans="2:12" s="12" customFormat="1" ht="15.75">
      <c r="B164" s="156" t="s">
        <v>527</v>
      </c>
      <c r="E164" s="156" t="s">
        <v>528</v>
      </c>
      <c r="G164" s="24"/>
      <c r="J164" s="154"/>
      <c r="K164" s="154"/>
      <c r="L164" s="154"/>
    </row>
    <row r="165" spans="2:12" s="12" customFormat="1">
      <c r="B165" s="112" t="s">
        <v>268</v>
      </c>
      <c r="C165" s="112" t="s">
        <v>269</v>
      </c>
      <c r="D165" s="8" t="s">
        <v>270</v>
      </c>
      <c r="E165" s="12">
        <v>0</v>
      </c>
      <c r="G165" s="24"/>
      <c r="J165" s="154"/>
      <c r="K165" s="154"/>
      <c r="L165" s="154"/>
    </row>
    <row r="166" spans="2:12" s="12" customFormat="1">
      <c r="B166" s="8" t="s">
        <v>271</v>
      </c>
      <c r="C166" s="8" t="s">
        <v>272</v>
      </c>
      <c r="D166" s="8" t="s">
        <v>216</v>
      </c>
      <c r="E166" s="8" t="s">
        <v>272</v>
      </c>
      <c r="G166" s="24"/>
      <c r="J166" s="154"/>
      <c r="K166" s="154"/>
      <c r="L166" s="154"/>
    </row>
    <row r="167" spans="2:12" s="12" customFormat="1" ht="15.75">
      <c r="B167" s="157" t="s">
        <v>273</v>
      </c>
      <c r="C167" s="8" t="s">
        <v>274</v>
      </c>
      <c r="D167" s="8"/>
      <c r="E167" s="8" t="s">
        <v>274</v>
      </c>
      <c r="G167" s="24"/>
      <c r="J167" s="154"/>
      <c r="K167" s="154"/>
      <c r="L167" s="154"/>
    </row>
    <row r="168" spans="2:12" s="12" customFormat="1">
      <c r="B168" s="112" t="s">
        <v>275</v>
      </c>
      <c r="C168" s="36" t="s">
        <v>276</v>
      </c>
      <c r="D168" s="8"/>
      <c r="E168" s="36" t="s">
        <v>276</v>
      </c>
      <c r="G168" s="24"/>
      <c r="J168" s="154"/>
      <c r="K168" s="154"/>
      <c r="L168" s="154"/>
    </row>
    <row r="169" spans="2:12" s="12" customFormat="1" ht="15.75">
      <c r="B169" s="155" t="s">
        <v>111</v>
      </c>
      <c r="C169" s="8"/>
      <c r="D169" s="8"/>
      <c r="G169" s="24"/>
      <c r="J169" s="154"/>
      <c r="K169" s="154"/>
      <c r="L169" s="154"/>
    </row>
    <row r="170" spans="2:12" s="12" customFormat="1" ht="15.75">
      <c r="B170" s="157" t="s">
        <v>271</v>
      </c>
      <c r="C170" s="8" t="s">
        <v>277</v>
      </c>
      <c r="D170" s="8" t="s">
        <v>216</v>
      </c>
      <c r="E170" s="8" t="s">
        <v>529</v>
      </c>
      <c r="G170" s="24"/>
      <c r="J170" s="154"/>
      <c r="K170" s="154"/>
      <c r="L170" s="154"/>
    </row>
    <row r="171" spans="2:12" s="12" customFormat="1" ht="15.75">
      <c r="B171" s="157" t="s">
        <v>273</v>
      </c>
      <c r="C171" s="8" t="s">
        <v>278</v>
      </c>
      <c r="D171" s="8"/>
      <c r="E171" s="8" t="s">
        <v>534</v>
      </c>
      <c r="G171" s="24"/>
      <c r="J171" s="154"/>
      <c r="K171" s="154"/>
      <c r="L171" s="154"/>
    </row>
    <row r="172" spans="2:12" s="12" customFormat="1" ht="15.75">
      <c r="B172" s="155" t="s">
        <v>279</v>
      </c>
      <c r="C172" s="8"/>
      <c r="D172" s="8"/>
      <c r="G172" s="24"/>
      <c r="J172" s="154"/>
      <c r="K172" s="154"/>
      <c r="L172" s="154"/>
    </row>
    <row r="173" spans="2:12" s="12" customFormat="1" ht="15.75">
      <c r="B173" s="157" t="s">
        <v>271</v>
      </c>
      <c r="C173" s="8" t="s">
        <v>280</v>
      </c>
      <c r="D173" s="8" t="s">
        <v>216</v>
      </c>
      <c r="E173" s="8"/>
      <c r="G173" s="24"/>
      <c r="J173" s="154"/>
      <c r="K173" s="154"/>
      <c r="L173" s="154"/>
    </row>
    <row r="174" spans="2:12" s="12" customFormat="1" ht="15.75">
      <c r="B174" s="157" t="s">
        <v>273</v>
      </c>
      <c r="C174" s="8" t="s">
        <v>278</v>
      </c>
      <c r="D174" s="8"/>
      <c r="E174" s="8"/>
      <c r="G174" s="24"/>
      <c r="J174" s="154"/>
      <c r="K174" s="154"/>
      <c r="L174" s="154"/>
    </row>
    <row r="175" spans="2:12" s="12" customFormat="1" ht="15.75">
      <c r="B175" s="155" t="s">
        <v>114</v>
      </c>
      <c r="C175" s="12" t="s">
        <v>277</v>
      </c>
      <c r="D175" s="8"/>
      <c r="G175" s="24"/>
      <c r="J175" s="154"/>
      <c r="K175" s="154"/>
      <c r="L175" s="154"/>
    </row>
    <row r="176" spans="2:12" s="12" customFormat="1" ht="15.75">
      <c r="B176" s="155" t="s">
        <v>262</v>
      </c>
      <c r="C176" s="12" t="s">
        <v>281</v>
      </c>
      <c r="D176" s="8"/>
      <c r="G176" s="24"/>
      <c r="J176" s="154"/>
      <c r="K176" s="154"/>
      <c r="L176" s="154"/>
    </row>
    <row r="177" spans="2:12" s="12" customFormat="1" ht="15.75">
      <c r="B177" s="155"/>
      <c r="C177" s="8"/>
      <c r="D177" s="8"/>
      <c r="G177" s="24"/>
      <c r="J177" s="154"/>
      <c r="K177" s="154"/>
      <c r="L177" s="154"/>
    </row>
    <row r="178" spans="2:12" s="12" customFormat="1" ht="15.75">
      <c r="B178" s="155" t="s">
        <v>282</v>
      </c>
      <c r="C178" s="12" t="s">
        <v>283</v>
      </c>
      <c r="D178" s="8"/>
      <c r="G178" s="24"/>
      <c r="J178" s="154"/>
      <c r="K178" s="154"/>
      <c r="L178" s="154"/>
    </row>
    <row r="179" spans="2:12" s="12" customFormat="1" ht="15.75">
      <c r="B179" s="156"/>
      <c r="G179" s="24"/>
      <c r="J179" s="154"/>
      <c r="K179" s="154"/>
      <c r="L179" s="154"/>
    </row>
    <row r="180" spans="2:12" s="12" customFormat="1" ht="15.75">
      <c r="B180" s="158" t="s">
        <v>284</v>
      </c>
      <c r="C180" s="159"/>
      <c r="D180" s="159" t="s">
        <v>530</v>
      </c>
      <c r="E180" s="159"/>
      <c r="F180" s="159"/>
      <c r="G180" s="341" t="s">
        <v>530</v>
      </c>
      <c r="H180" s="341"/>
      <c r="I180" s="341"/>
      <c r="J180" s="154"/>
      <c r="K180" s="154"/>
      <c r="L180" s="154"/>
    </row>
    <row r="181" spans="2:12">
      <c r="B181" s="160" t="s">
        <v>285</v>
      </c>
      <c r="C181" s="161"/>
      <c r="D181" s="162"/>
      <c r="E181" s="159"/>
      <c r="F181" s="159"/>
      <c r="G181" s="342" t="s">
        <v>533</v>
      </c>
      <c r="H181" s="341"/>
      <c r="I181" s="341"/>
      <c r="J181" s="154"/>
      <c r="K181" s="154"/>
      <c r="L181" s="154"/>
    </row>
    <row r="182" spans="2:12">
      <c r="B182" s="163" t="s">
        <v>268</v>
      </c>
      <c r="C182" s="161"/>
      <c r="D182" s="164">
        <f>D141</f>
        <v>2.6663999999999999</v>
      </c>
      <c r="E182" s="164">
        <f>E141</f>
        <v>2.3331</v>
      </c>
      <c r="F182" s="164">
        <f>F141</f>
        <v>1.9998</v>
      </c>
      <c r="G182" s="343" t="s">
        <v>531</v>
      </c>
      <c r="H182" s="341"/>
      <c r="I182" s="341"/>
    </row>
    <row r="183" spans="2:12">
      <c r="B183" s="163" t="s">
        <v>286</v>
      </c>
      <c r="C183" s="161"/>
      <c r="D183" s="165">
        <f>IF($D$170="yes",D155/2,D155/3)</f>
        <v>1.5</v>
      </c>
      <c r="E183" s="165">
        <f t="shared" ref="E183:F183" si="4">IF($D$170="yes",E155/2,E155/3)</f>
        <v>2</v>
      </c>
      <c r="F183" s="165">
        <f t="shared" si="4"/>
        <v>1.75</v>
      </c>
      <c r="G183" s="344">
        <f>D183</f>
        <v>1.5</v>
      </c>
      <c r="H183" s="344">
        <f t="shared" ref="H183:I184" si="5">E183</f>
        <v>2</v>
      </c>
      <c r="I183" s="344">
        <f t="shared" si="5"/>
        <v>1.75</v>
      </c>
    </row>
    <row r="184" spans="2:12">
      <c r="B184" s="163" t="s">
        <v>114</v>
      </c>
      <c r="C184" s="161"/>
      <c r="D184" s="166">
        <f>D157/2</f>
        <v>0.75</v>
      </c>
      <c r="E184" s="166">
        <f t="shared" ref="E184:F184" si="6">E157/2</f>
        <v>1.25</v>
      </c>
      <c r="F184" s="166">
        <f t="shared" si="6"/>
        <v>2</v>
      </c>
      <c r="G184" s="345">
        <f>D184</f>
        <v>0.75</v>
      </c>
      <c r="H184" s="345">
        <f t="shared" si="5"/>
        <v>1.25</v>
      </c>
      <c r="I184" s="345">
        <f t="shared" si="5"/>
        <v>2</v>
      </c>
    </row>
    <row r="185" spans="2:12">
      <c r="B185" s="163" t="s">
        <v>287</v>
      </c>
      <c r="C185" s="161"/>
      <c r="D185" s="166">
        <f>IF($D$173="yes",D156/3,0)</f>
        <v>1.5</v>
      </c>
      <c r="E185" s="166">
        <f t="shared" ref="E185:F185" si="7">IF($D$173="yes",E156/3,0)</f>
        <v>1</v>
      </c>
      <c r="F185" s="166">
        <f t="shared" si="7"/>
        <v>1.3333333333333333</v>
      </c>
      <c r="G185" s="343" t="s">
        <v>532</v>
      </c>
      <c r="H185" s="341"/>
      <c r="I185" s="341"/>
    </row>
    <row r="186" spans="2:12" ht="30">
      <c r="B186" s="163" t="s">
        <v>288</v>
      </c>
      <c r="C186" s="161"/>
      <c r="D186" s="162" t="str">
        <f>D152&amp; "  "&amp;"per week"</f>
        <v>10  per week</v>
      </c>
      <c r="E186" s="162" t="str">
        <f>E152&amp; "  "&amp;"per week"</f>
        <v>10  per week</v>
      </c>
      <c r="F186" s="162" t="str">
        <f>F152&amp; "  "&amp;"per week" &amp; " or egg whites only"</f>
        <v>9  per week or egg whites only</v>
      </c>
      <c r="G186" s="343" t="s">
        <v>532</v>
      </c>
      <c r="H186" s="341"/>
      <c r="I186" s="341"/>
    </row>
    <row r="187" spans="2:12">
      <c r="B187" s="160" t="s">
        <v>289</v>
      </c>
      <c r="C187" s="161"/>
      <c r="D187" s="162"/>
      <c r="E187" s="162"/>
      <c r="F187" s="162"/>
      <c r="G187" s="343"/>
      <c r="H187" s="341"/>
      <c r="I187" s="341"/>
    </row>
    <row r="188" spans="2:12">
      <c r="B188" s="163" t="s">
        <v>255</v>
      </c>
      <c r="C188" s="161"/>
      <c r="D188" s="166">
        <f>IF($D$166="yes",D139/2,D139)</f>
        <v>1.3331999999999999</v>
      </c>
      <c r="E188" s="166">
        <f>IF($D$166="yes",E139/2,E139)</f>
        <v>1.16655</v>
      </c>
      <c r="F188" s="166">
        <f>IF($D$166="yes",F139/2,F139)</f>
        <v>0.99990000000000001</v>
      </c>
      <c r="G188" s="345">
        <f>D188</f>
        <v>1.3331999999999999</v>
      </c>
      <c r="H188" s="345">
        <f t="shared" ref="H188:I190" si="8">E188</f>
        <v>1.16655</v>
      </c>
      <c r="I188" s="345">
        <f t="shared" si="8"/>
        <v>0.99990000000000001</v>
      </c>
    </row>
    <row r="189" spans="2:12">
      <c r="B189" s="163" t="s">
        <v>256</v>
      </c>
      <c r="C189" s="161"/>
      <c r="D189" s="166">
        <f>IF($D$166="yes",D140/2,0)</f>
        <v>1.3331999999999999</v>
      </c>
      <c r="E189" s="166">
        <f>IF($D$166="yes",E140/2,0)</f>
        <v>1.16655</v>
      </c>
      <c r="F189" s="166">
        <f>IF($D$166="yes",F140/2,0)</f>
        <v>0.99990000000000001</v>
      </c>
      <c r="G189" s="345">
        <f>D189</f>
        <v>1.3331999999999999</v>
      </c>
      <c r="H189" s="345">
        <f t="shared" si="8"/>
        <v>1.16655</v>
      </c>
      <c r="I189" s="345">
        <f t="shared" si="8"/>
        <v>0.99990000000000001</v>
      </c>
    </row>
    <row r="190" spans="2:12">
      <c r="B190" s="163" t="s">
        <v>290</v>
      </c>
      <c r="C190" s="161"/>
      <c r="D190" s="164">
        <f>D143/2</f>
        <v>2</v>
      </c>
      <c r="E190" s="164">
        <f>E143/2</f>
        <v>1.5</v>
      </c>
      <c r="F190" s="164">
        <f>F143/2</f>
        <v>1.5</v>
      </c>
      <c r="G190" s="346">
        <f>D190</f>
        <v>2</v>
      </c>
      <c r="H190" s="346">
        <f t="shared" si="8"/>
        <v>1.5</v>
      </c>
      <c r="I190" s="346">
        <f t="shared" si="8"/>
        <v>1.5</v>
      </c>
    </row>
    <row r="191" spans="2:12">
      <c r="B191" s="163" t="s">
        <v>287</v>
      </c>
      <c r="C191" s="161"/>
      <c r="D191" s="166">
        <f>IF($D$173="yes",D156/2,D156/3)</f>
        <v>2.25</v>
      </c>
      <c r="E191" s="166">
        <f t="shared" ref="E191:F191" si="9">IF($D$173="yes",E156/2,E156/3)</f>
        <v>1.5</v>
      </c>
      <c r="F191" s="166">
        <f t="shared" si="9"/>
        <v>2</v>
      </c>
      <c r="G191" s="347">
        <f>D156/2</f>
        <v>2.25</v>
      </c>
      <c r="H191" s="347">
        <f t="shared" ref="H191:I191" si="10">E156/2</f>
        <v>1.5</v>
      </c>
      <c r="I191" s="347">
        <f t="shared" si="10"/>
        <v>2</v>
      </c>
    </row>
    <row r="192" spans="2:12">
      <c r="B192" s="163" t="s">
        <v>263</v>
      </c>
      <c r="C192" s="161"/>
      <c r="D192" s="167">
        <f>IF($D$170="yes",0,D155/3)</f>
        <v>0</v>
      </c>
      <c r="E192" s="167">
        <f t="shared" ref="E192:F192" si="11">IF($D$170="yes",0,E155/3)</f>
        <v>0</v>
      </c>
      <c r="F192" s="167">
        <f t="shared" si="11"/>
        <v>0</v>
      </c>
      <c r="G192" s="348">
        <f>D192</f>
        <v>0</v>
      </c>
      <c r="H192" s="348">
        <f t="shared" ref="H192:I192" si="12">E192</f>
        <v>0</v>
      </c>
      <c r="I192" s="348">
        <f t="shared" si="12"/>
        <v>0</v>
      </c>
    </row>
    <row r="193" spans="2:9">
      <c r="B193" s="160" t="s">
        <v>281</v>
      </c>
      <c r="C193" s="161"/>
      <c r="D193" s="162"/>
      <c r="E193" s="162"/>
      <c r="F193" s="162"/>
      <c r="G193" s="343"/>
      <c r="H193" s="343"/>
      <c r="I193" s="343"/>
    </row>
    <row r="194" spans="2:9">
      <c r="B194" s="163" t="s">
        <v>262</v>
      </c>
      <c r="C194" s="161"/>
      <c r="D194" s="164">
        <f>D154</f>
        <v>1</v>
      </c>
      <c r="E194" s="164">
        <f t="shared" ref="E194:F194" si="13">E154</f>
        <v>1</v>
      </c>
      <c r="F194" s="164">
        <f t="shared" si="13"/>
        <v>1.8</v>
      </c>
      <c r="G194" s="346">
        <f>D194</f>
        <v>1</v>
      </c>
      <c r="H194" s="346">
        <f t="shared" ref="H194:I194" si="14">E194</f>
        <v>1</v>
      </c>
      <c r="I194" s="346">
        <f t="shared" si="14"/>
        <v>1.8</v>
      </c>
    </row>
    <row r="195" spans="2:9">
      <c r="B195" s="163" t="s">
        <v>114</v>
      </c>
      <c r="C195" s="161"/>
      <c r="D195" s="166">
        <f>D184</f>
        <v>0.75</v>
      </c>
      <c r="E195" s="166">
        <f t="shared" ref="E195:F195" si="15">E184</f>
        <v>1.25</v>
      </c>
      <c r="F195" s="166">
        <f t="shared" si="15"/>
        <v>2</v>
      </c>
      <c r="G195" s="345">
        <f>G184</f>
        <v>0.75</v>
      </c>
      <c r="H195" s="345">
        <f t="shared" ref="H195:I195" si="16">H184</f>
        <v>1.25</v>
      </c>
      <c r="I195" s="345">
        <f t="shared" si="16"/>
        <v>2</v>
      </c>
    </row>
    <row r="196" spans="2:9">
      <c r="B196" s="163" t="s">
        <v>292</v>
      </c>
      <c r="C196" s="161"/>
      <c r="D196" s="165">
        <f>IF($D$170="yes",D155/2,0)</f>
        <v>1.5</v>
      </c>
      <c r="E196" s="165">
        <f t="shared" ref="E196:F196" si="17">IF($D$170="yes",E155/2,0)</f>
        <v>2</v>
      </c>
      <c r="F196" s="165">
        <f t="shared" si="17"/>
        <v>1.75</v>
      </c>
      <c r="G196" s="344">
        <f>D196</f>
        <v>1.5</v>
      </c>
      <c r="H196" s="344">
        <f t="shared" ref="H196:I196" si="18">E196</f>
        <v>2</v>
      </c>
      <c r="I196" s="344">
        <f t="shared" si="18"/>
        <v>1.75</v>
      </c>
    </row>
    <row r="197" spans="2:9">
      <c r="B197" s="160" t="s">
        <v>293</v>
      </c>
      <c r="C197" s="161"/>
      <c r="D197" s="162"/>
      <c r="E197" s="162"/>
      <c r="F197" s="162"/>
      <c r="G197" s="343"/>
      <c r="H197" s="343"/>
      <c r="I197" s="343"/>
    </row>
    <row r="198" spans="2:9">
      <c r="B198" s="163" t="s">
        <v>255</v>
      </c>
      <c r="C198" s="161"/>
      <c r="D198" s="166">
        <f>IF($D$166="yes",D139/2,0)</f>
        <v>1.3331999999999999</v>
      </c>
      <c r="E198" s="166">
        <f>IF($D$166="yes",E139/2,0)</f>
        <v>1.16655</v>
      </c>
      <c r="F198" s="166">
        <f>IF($D$166="yes",F139/2,0)</f>
        <v>0.99990000000000001</v>
      </c>
      <c r="G198" s="345">
        <f>D198</f>
        <v>1.3331999999999999</v>
      </c>
      <c r="H198" s="345">
        <f t="shared" ref="H198:I200" si="19">E198</f>
        <v>1.16655</v>
      </c>
      <c r="I198" s="345">
        <f t="shared" si="19"/>
        <v>0.99990000000000001</v>
      </c>
    </row>
    <row r="199" spans="2:9">
      <c r="B199" s="163" t="s">
        <v>256</v>
      </c>
      <c r="C199" s="161"/>
      <c r="D199" s="166">
        <f>IF($D$166="yes",D140/2,D140)</f>
        <v>1.3331999999999999</v>
      </c>
      <c r="E199" s="166">
        <f>IF($D$166="yes",E140/2,E140)</f>
        <v>1.16655</v>
      </c>
      <c r="F199" s="166">
        <f>IF($D$166="yes",F140/2,F140)</f>
        <v>0.99990000000000001</v>
      </c>
      <c r="G199" s="345">
        <f>D199</f>
        <v>1.3331999999999999</v>
      </c>
      <c r="H199" s="345">
        <f t="shared" si="19"/>
        <v>1.16655</v>
      </c>
      <c r="I199" s="345">
        <f t="shared" si="19"/>
        <v>0.99990000000000001</v>
      </c>
    </row>
    <row r="200" spans="2:9">
      <c r="B200" s="163" t="s">
        <v>290</v>
      </c>
      <c r="C200" s="161"/>
      <c r="D200" s="164">
        <f t="shared" ref="D200:F200" si="20">D190</f>
        <v>2</v>
      </c>
      <c r="E200" s="164">
        <f t="shared" si="20"/>
        <v>1.5</v>
      </c>
      <c r="F200" s="164">
        <f t="shared" si="20"/>
        <v>1.5</v>
      </c>
      <c r="G200" s="346">
        <f>D200</f>
        <v>2</v>
      </c>
      <c r="H200" s="346">
        <f t="shared" si="19"/>
        <v>1.5</v>
      </c>
      <c r="I200" s="346">
        <f t="shared" si="19"/>
        <v>1.5</v>
      </c>
    </row>
    <row r="201" spans="2:9">
      <c r="B201" s="163" t="s">
        <v>287</v>
      </c>
      <c r="C201" s="161"/>
      <c r="D201" s="166">
        <f>IF($D$173="yes",D156/2,D156/3)</f>
        <v>2.25</v>
      </c>
      <c r="E201" s="166">
        <f t="shared" ref="E201:F201" si="21">IF($D$173="yes",E156/2,E156/3)</f>
        <v>1.5</v>
      </c>
      <c r="F201" s="166">
        <f t="shared" si="21"/>
        <v>2</v>
      </c>
      <c r="G201" s="347">
        <f>G191</f>
        <v>2.25</v>
      </c>
      <c r="H201" s="347">
        <f t="shared" ref="H201:I201" si="22">H191</f>
        <v>1.5</v>
      </c>
      <c r="I201" s="347">
        <f t="shared" si="22"/>
        <v>2</v>
      </c>
    </row>
    <row r="202" spans="2:9">
      <c r="B202" s="163" t="s">
        <v>286</v>
      </c>
      <c r="C202" s="161"/>
      <c r="D202" s="167">
        <f>IF($D$170="yes",0,D155/3)</f>
        <v>0</v>
      </c>
      <c r="E202" s="167">
        <f t="shared" ref="E202:F202" si="23">IF($D$170="yes",0,E155/3)</f>
        <v>0</v>
      </c>
      <c r="F202" s="167">
        <f t="shared" si="23"/>
        <v>0</v>
      </c>
      <c r="G202" s="348">
        <f>D202</f>
        <v>0</v>
      </c>
      <c r="H202" s="348">
        <f t="shared" ref="H202:I202" si="24">E202</f>
        <v>0</v>
      </c>
      <c r="I202" s="348">
        <f t="shared" si="24"/>
        <v>0</v>
      </c>
    </row>
    <row r="203" spans="2:9">
      <c r="B203" s="160"/>
      <c r="C203" s="159"/>
      <c r="D203" s="168"/>
      <c r="E203" s="168"/>
      <c r="F203" s="168"/>
      <c r="G203" s="343"/>
      <c r="H203" s="341"/>
      <c r="I203" s="341"/>
    </row>
    <row r="204" spans="2:9" s="12" customFormat="1">
      <c r="B204" s="160"/>
      <c r="C204" s="159"/>
      <c r="D204" s="169"/>
      <c r="E204" s="169"/>
      <c r="F204" s="169"/>
      <c r="G204" s="343"/>
      <c r="H204" s="341"/>
      <c r="I204" s="341"/>
    </row>
    <row r="205" spans="2:9" s="12" customFormat="1">
      <c r="B205" s="54"/>
      <c r="D205" s="170"/>
      <c r="E205" s="170"/>
      <c r="F205" s="170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AS83"/>
  <sheetViews>
    <sheetView topLeftCell="O36" workbookViewId="0">
      <selection activeCell="V54" sqref="V54"/>
    </sheetView>
  </sheetViews>
  <sheetFormatPr defaultRowHeight="15"/>
  <cols>
    <col min="1" max="1" width="24.140625" customWidth="1"/>
    <col min="18" max="19" width="9.140625" style="12"/>
  </cols>
  <sheetData>
    <row r="2" spans="1:33">
      <c r="T2" t="s">
        <v>486</v>
      </c>
    </row>
    <row r="3" spans="1:33">
      <c r="N3" s="328" t="s">
        <v>526</v>
      </c>
      <c r="O3" s="328">
        <f>'I&amp;O'!C49</f>
        <v>3</v>
      </c>
    </row>
    <row r="4" spans="1:33">
      <c r="N4" s="329"/>
      <c r="O4" s="329" t="str">
        <f>'I&amp;O'!C17</f>
        <v>yes</v>
      </c>
    </row>
    <row r="5" spans="1:33">
      <c r="A5" s="40" t="s">
        <v>40</v>
      </c>
      <c r="B5" s="40">
        <v>1000</v>
      </c>
      <c r="C5" s="40">
        <v>1200</v>
      </c>
      <c r="D5" s="40">
        <v>1400</v>
      </c>
      <c r="E5" s="40">
        <v>1600</v>
      </c>
      <c r="F5" s="40">
        <v>1800</v>
      </c>
      <c r="G5" s="40">
        <v>2000</v>
      </c>
      <c r="H5" s="40">
        <v>2200</v>
      </c>
      <c r="I5" s="40">
        <v>2400</v>
      </c>
      <c r="J5" s="40">
        <v>2600</v>
      </c>
      <c r="K5" s="40">
        <v>2800</v>
      </c>
      <c r="L5" s="40">
        <v>3000</v>
      </c>
      <c r="M5" s="40">
        <v>3200</v>
      </c>
      <c r="N5" s="330"/>
      <c r="O5" s="330" t="s">
        <v>485</v>
      </c>
      <c r="P5" s="40"/>
      <c r="Q5" s="40"/>
      <c r="T5" t="s">
        <v>487</v>
      </c>
      <c r="U5" t="s">
        <v>73</v>
      </c>
      <c r="V5" s="40">
        <v>1000</v>
      </c>
      <c r="W5" s="40">
        <v>1200</v>
      </c>
      <c r="X5" s="40">
        <v>1400</v>
      </c>
      <c r="Y5" s="40">
        <v>1600</v>
      </c>
      <c r="Z5" s="40">
        <v>1800</v>
      </c>
      <c r="AA5" s="40">
        <v>2000</v>
      </c>
      <c r="AB5" s="40">
        <v>2200</v>
      </c>
      <c r="AC5" s="40">
        <v>2400</v>
      </c>
      <c r="AD5" s="40">
        <v>2600</v>
      </c>
      <c r="AE5" s="40">
        <v>2800</v>
      </c>
      <c r="AF5" s="40">
        <v>3000</v>
      </c>
      <c r="AG5" s="40">
        <v>3200</v>
      </c>
    </row>
    <row r="6" spans="1:3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329"/>
      <c r="O6" s="330"/>
      <c r="P6" s="40"/>
      <c r="Q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>
      <c r="A7" s="41" t="s">
        <v>41</v>
      </c>
      <c r="N7" s="329"/>
      <c r="O7" s="329" t="str">
        <f>'I&amp;O'!C18</f>
        <v>6 months or younger</v>
      </c>
    </row>
    <row r="8" spans="1:33">
      <c r="A8" s="42" t="s">
        <v>42</v>
      </c>
      <c r="B8" s="43">
        <f>V8</f>
        <v>4</v>
      </c>
      <c r="C8" s="43">
        <f t="shared" ref="C8:M10" si="0">W8</f>
        <v>5</v>
      </c>
      <c r="D8" s="43">
        <f t="shared" si="0"/>
        <v>6</v>
      </c>
      <c r="E8" s="43">
        <f t="shared" si="0"/>
        <v>7</v>
      </c>
      <c r="F8" s="43">
        <f t="shared" si="0"/>
        <v>8</v>
      </c>
      <c r="G8" s="43">
        <f t="shared" si="0"/>
        <v>9</v>
      </c>
      <c r="H8" s="43">
        <f t="shared" si="0"/>
        <v>10</v>
      </c>
      <c r="I8" s="43">
        <f t="shared" si="0"/>
        <v>10</v>
      </c>
      <c r="J8" s="43">
        <f t="shared" si="0"/>
        <v>12</v>
      </c>
      <c r="K8" s="43">
        <f t="shared" si="0"/>
        <v>14</v>
      </c>
      <c r="L8" s="43">
        <f t="shared" si="0"/>
        <v>15</v>
      </c>
      <c r="M8" s="43">
        <f t="shared" si="0"/>
        <v>16</v>
      </c>
      <c r="N8" s="43"/>
      <c r="O8" s="43"/>
      <c r="P8" s="43"/>
      <c r="Q8" s="43"/>
      <c r="V8" s="367">
        <v>4</v>
      </c>
      <c r="W8" s="367">
        <v>5</v>
      </c>
      <c r="X8" s="367">
        <v>6</v>
      </c>
      <c r="Y8" s="367">
        <v>7</v>
      </c>
      <c r="Z8" s="367">
        <v>8</v>
      </c>
      <c r="AA8" s="367">
        <v>9</v>
      </c>
      <c r="AB8" s="367">
        <v>10</v>
      </c>
      <c r="AC8" s="367">
        <v>10</v>
      </c>
      <c r="AD8" s="367">
        <v>12</v>
      </c>
      <c r="AE8" s="367">
        <v>14</v>
      </c>
      <c r="AF8" s="367">
        <v>15</v>
      </c>
      <c r="AG8" s="367">
        <v>16</v>
      </c>
    </row>
    <row r="9" spans="1:33">
      <c r="A9" s="42" t="s">
        <v>43</v>
      </c>
      <c r="B9" s="43">
        <f t="shared" ref="B9:B10" si="1">V9</f>
        <v>1.5</v>
      </c>
      <c r="C9" s="43">
        <f t="shared" si="0"/>
        <v>2.5</v>
      </c>
      <c r="D9" s="43">
        <f t="shared" si="0"/>
        <v>2.5</v>
      </c>
      <c r="E9" s="43">
        <f t="shared" si="0"/>
        <v>4</v>
      </c>
      <c r="F9" s="43">
        <f t="shared" si="0"/>
        <v>4.5</v>
      </c>
      <c r="G9" s="43">
        <f t="shared" si="0"/>
        <v>4.5</v>
      </c>
      <c r="H9" s="43">
        <f t="shared" si="0"/>
        <v>5</v>
      </c>
      <c r="I9" s="43">
        <f t="shared" si="0"/>
        <v>5</v>
      </c>
      <c r="J9" s="43">
        <f t="shared" si="0"/>
        <v>5</v>
      </c>
      <c r="K9" s="43">
        <f t="shared" si="0"/>
        <v>5</v>
      </c>
      <c r="L9" s="43">
        <f t="shared" si="0"/>
        <v>5</v>
      </c>
      <c r="M9" s="43">
        <f t="shared" si="0"/>
        <v>5</v>
      </c>
      <c r="N9" s="43"/>
      <c r="O9" s="43"/>
      <c r="P9" s="43"/>
      <c r="Q9" s="43"/>
      <c r="V9" s="367">
        <v>1.5</v>
      </c>
      <c r="W9" s="367">
        <v>2.5</v>
      </c>
      <c r="X9" s="367">
        <v>2.5</v>
      </c>
      <c r="Y9" s="367">
        <v>4</v>
      </c>
      <c r="Z9" s="367">
        <v>4.5</v>
      </c>
      <c r="AA9" s="367">
        <v>4.5</v>
      </c>
      <c r="AB9" s="367">
        <v>5</v>
      </c>
      <c r="AC9" s="367">
        <v>5</v>
      </c>
      <c r="AD9" s="367">
        <v>5</v>
      </c>
      <c r="AE9" s="367">
        <v>5</v>
      </c>
      <c r="AF9" s="367">
        <v>5</v>
      </c>
      <c r="AG9" s="367">
        <v>5</v>
      </c>
    </row>
    <row r="10" spans="1:33">
      <c r="A10" s="42" t="s">
        <v>44</v>
      </c>
      <c r="B10" s="43">
        <f t="shared" si="1"/>
        <v>1</v>
      </c>
      <c r="C10" s="43">
        <f t="shared" si="0"/>
        <v>1</v>
      </c>
      <c r="D10" s="43">
        <f t="shared" si="0"/>
        <v>1.5</v>
      </c>
      <c r="E10" s="43">
        <f t="shared" si="0"/>
        <v>1.5</v>
      </c>
      <c r="F10" s="43">
        <f t="shared" si="0"/>
        <v>1.5</v>
      </c>
      <c r="G10" s="43">
        <f t="shared" si="0"/>
        <v>1.5</v>
      </c>
      <c r="H10" s="43">
        <f t="shared" si="0"/>
        <v>2</v>
      </c>
      <c r="I10" s="43">
        <f t="shared" si="0"/>
        <v>2</v>
      </c>
      <c r="J10" s="43">
        <f t="shared" si="0"/>
        <v>2</v>
      </c>
      <c r="K10" s="43">
        <f t="shared" si="0"/>
        <v>2</v>
      </c>
      <c r="L10" s="43">
        <f t="shared" si="0"/>
        <v>1.5</v>
      </c>
      <c r="M10" s="43">
        <f t="shared" si="0"/>
        <v>1.5</v>
      </c>
      <c r="N10" s="43"/>
      <c r="O10" s="43"/>
      <c r="P10" s="43"/>
      <c r="Q10" s="43"/>
      <c r="V10" s="368">
        <v>1</v>
      </c>
      <c r="W10" s="368">
        <v>1</v>
      </c>
      <c r="X10" s="368">
        <v>1.5</v>
      </c>
      <c r="Y10" s="368">
        <v>1.5</v>
      </c>
      <c r="Z10" s="368">
        <v>1.5</v>
      </c>
      <c r="AA10" s="367">
        <v>1.5</v>
      </c>
      <c r="AB10" s="367">
        <v>2</v>
      </c>
      <c r="AC10" s="367">
        <v>2</v>
      </c>
      <c r="AD10" s="367">
        <v>2</v>
      </c>
      <c r="AE10" s="367">
        <v>2</v>
      </c>
      <c r="AF10" s="367">
        <v>1.5</v>
      </c>
      <c r="AG10" s="367">
        <v>1.5</v>
      </c>
    </row>
    <row r="11" spans="1:33">
      <c r="A11" s="42" t="s">
        <v>45</v>
      </c>
      <c r="B11" s="43">
        <f>V11+IF($O$4="yes",$O11,0)</f>
        <v>1</v>
      </c>
      <c r="C11" s="43">
        <f t="shared" ref="C11:M13" si="2">W11+IF($O$4="yes",$O11,0)</f>
        <v>1</v>
      </c>
      <c r="D11" s="43">
        <f t="shared" si="2"/>
        <v>1</v>
      </c>
      <c r="E11" s="43">
        <f t="shared" si="2"/>
        <v>1</v>
      </c>
      <c r="F11" s="43">
        <f t="shared" si="2"/>
        <v>1</v>
      </c>
      <c r="G11" s="43">
        <f t="shared" si="2"/>
        <v>1</v>
      </c>
      <c r="H11" s="43">
        <f t="shared" si="2"/>
        <v>1</v>
      </c>
      <c r="I11" s="43">
        <f t="shared" si="2"/>
        <v>1</v>
      </c>
      <c r="J11" s="43">
        <f t="shared" si="2"/>
        <v>1</v>
      </c>
      <c r="K11" s="43">
        <f t="shared" si="2"/>
        <v>1</v>
      </c>
      <c r="L11" s="43">
        <f t="shared" si="2"/>
        <v>1</v>
      </c>
      <c r="M11" s="43">
        <f t="shared" si="2"/>
        <v>1</v>
      </c>
      <c r="N11" s="43"/>
      <c r="O11" s="43">
        <v>1</v>
      </c>
      <c r="P11" s="43"/>
      <c r="Q11" s="43"/>
      <c r="R11" s="46"/>
      <c r="S11" s="46"/>
      <c r="T11" s="43">
        <v>1</v>
      </c>
      <c r="U11" s="43">
        <v>1</v>
      </c>
      <c r="V11" s="367">
        <v>0</v>
      </c>
      <c r="W11" s="367">
        <v>0</v>
      </c>
      <c r="X11" s="367">
        <v>0</v>
      </c>
      <c r="Y11" s="367">
        <v>0</v>
      </c>
      <c r="Z11" s="367">
        <v>0</v>
      </c>
      <c r="AA11" s="367">
        <v>0</v>
      </c>
      <c r="AB11" s="367">
        <v>0</v>
      </c>
      <c r="AC11" s="367">
        <v>0</v>
      </c>
      <c r="AD11" s="367">
        <v>0</v>
      </c>
      <c r="AE11" s="367">
        <v>0</v>
      </c>
      <c r="AF11" s="367">
        <v>0</v>
      </c>
      <c r="AG11" s="367">
        <v>0</v>
      </c>
    </row>
    <row r="12" spans="1:33">
      <c r="A12" s="42" t="s">
        <v>46</v>
      </c>
      <c r="B12" s="43">
        <f>V12+IF($O$4="yes",$O12,0)</f>
        <v>1</v>
      </c>
      <c r="C12" s="43">
        <f t="shared" si="2"/>
        <v>1</v>
      </c>
      <c r="D12" s="43">
        <f t="shared" si="2"/>
        <v>1</v>
      </c>
      <c r="E12" s="43">
        <f t="shared" si="2"/>
        <v>1</v>
      </c>
      <c r="F12" s="43">
        <f t="shared" si="2"/>
        <v>1</v>
      </c>
      <c r="G12" s="43">
        <f t="shared" si="2"/>
        <v>1</v>
      </c>
      <c r="H12" s="43">
        <f t="shared" si="2"/>
        <v>1</v>
      </c>
      <c r="I12" s="43">
        <f t="shared" si="2"/>
        <v>1</v>
      </c>
      <c r="J12" s="43">
        <f t="shared" si="2"/>
        <v>1</v>
      </c>
      <c r="K12" s="43">
        <f t="shared" si="2"/>
        <v>1</v>
      </c>
      <c r="L12" s="43">
        <f t="shared" si="2"/>
        <v>1</v>
      </c>
      <c r="M12" s="43">
        <f t="shared" si="2"/>
        <v>1</v>
      </c>
      <c r="N12" s="43"/>
      <c r="O12" s="43">
        <v>1</v>
      </c>
      <c r="P12" s="43"/>
      <c r="Q12" s="43"/>
      <c r="R12" s="46"/>
      <c r="S12" s="46"/>
      <c r="T12" s="43">
        <v>1</v>
      </c>
      <c r="U12" s="43">
        <v>1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42" t="s">
        <v>47</v>
      </c>
      <c r="B13" s="43">
        <f>V13+IF($O$4="yes",$O13,0)</f>
        <v>3</v>
      </c>
      <c r="C13" s="43">
        <f t="shared" si="2"/>
        <v>3</v>
      </c>
      <c r="D13" s="43">
        <f t="shared" si="2"/>
        <v>3</v>
      </c>
      <c r="E13" s="43">
        <f t="shared" si="2"/>
        <v>3</v>
      </c>
      <c r="F13" s="43">
        <f t="shared" si="2"/>
        <v>3</v>
      </c>
      <c r="G13" s="43">
        <f t="shared" si="2"/>
        <v>3</v>
      </c>
      <c r="H13" s="43">
        <f t="shared" si="2"/>
        <v>3</v>
      </c>
      <c r="I13" s="43">
        <f t="shared" si="2"/>
        <v>3</v>
      </c>
      <c r="J13" s="43">
        <f t="shared" si="2"/>
        <v>3</v>
      </c>
      <c r="K13" s="43">
        <f t="shared" si="2"/>
        <v>3</v>
      </c>
      <c r="L13" s="43">
        <f t="shared" si="2"/>
        <v>3</v>
      </c>
      <c r="M13" s="43">
        <f t="shared" si="2"/>
        <v>3</v>
      </c>
      <c r="N13" s="43"/>
      <c r="O13" s="43">
        <v>1</v>
      </c>
      <c r="P13" s="43"/>
      <c r="Q13" s="43"/>
      <c r="R13" s="46"/>
      <c r="S13" s="46"/>
      <c r="T13" s="43">
        <v>1</v>
      </c>
      <c r="U13" s="43">
        <v>1</v>
      </c>
      <c r="V13" s="367">
        <v>2</v>
      </c>
      <c r="W13" s="367">
        <v>2</v>
      </c>
      <c r="X13" s="367">
        <v>2</v>
      </c>
      <c r="Y13" s="367">
        <v>2</v>
      </c>
      <c r="Z13" s="367">
        <v>2</v>
      </c>
      <c r="AA13" s="367">
        <v>2</v>
      </c>
      <c r="AB13" s="367">
        <v>2</v>
      </c>
      <c r="AC13" s="367">
        <v>2</v>
      </c>
      <c r="AD13" s="367">
        <v>2</v>
      </c>
      <c r="AE13" s="367">
        <v>2</v>
      </c>
      <c r="AF13" s="367">
        <v>2</v>
      </c>
      <c r="AG13" s="367">
        <v>2</v>
      </c>
    </row>
    <row r="14" spans="1:33" ht="21">
      <c r="A14" s="44" t="s">
        <v>48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5"/>
      <c r="O14" s="45"/>
      <c r="P14" s="45"/>
      <c r="Q14" s="45"/>
      <c r="V14" s="369"/>
      <c r="W14" s="369"/>
      <c r="X14" s="369"/>
      <c r="Y14" s="369"/>
      <c r="Z14" s="369"/>
      <c r="AA14" s="370"/>
      <c r="AB14" s="369"/>
      <c r="AC14" s="369"/>
      <c r="AD14" s="369"/>
      <c r="AE14" s="369"/>
      <c r="AF14" s="369"/>
      <c r="AG14" s="369"/>
    </row>
    <row r="15" spans="1:33">
      <c r="A15" s="47" t="s">
        <v>49</v>
      </c>
      <c r="B15" s="43">
        <f>V15+IF($O$4="yes",IF($O$3=1,$O15,0))</f>
        <v>2</v>
      </c>
      <c r="C15" s="43">
        <f t="shared" ref="C15:M15" si="3">W15+IF($O$4="yes",IF($O$3=1,$O15,0))</f>
        <v>2</v>
      </c>
      <c r="D15" s="43">
        <f t="shared" si="3"/>
        <v>3</v>
      </c>
      <c r="E15" s="43">
        <f t="shared" si="3"/>
        <v>3</v>
      </c>
      <c r="F15" s="43">
        <f t="shared" si="3"/>
        <v>3</v>
      </c>
      <c r="G15" s="43">
        <f t="shared" si="3"/>
        <v>3</v>
      </c>
      <c r="H15" s="43">
        <f t="shared" si="3"/>
        <v>3</v>
      </c>
      <c r="I15" s="43">
        <f t="shared" si="3"/>
        <v>3</v>
      </c>
      <c r="J15" s="43">
        <f t="shared" si="3"/>
        <v>3</v>
      </c>
      <c r="K15" s="43">
        <f t="shared" si="3"/>
        <v>3</v>
      </c>
      <c r="L15" s="43">
        <f t="shared" si="3"/>
        <v>3</v>
      </c>
      <c r="M15" s="43">
        <f t="shared" si="3"/>
        <v>3</v>
      </c>
      <c r="N15" s="43"/>
      <c r="O15" s="43">
        <v>7</v>
      </c>
      <c r="P15" s="43"/>
      <c r="Q15" s="43"/>
      <c r="S15" s="46"/>
      <c r="T15" s="43">
        <v>7</v>
      </c>
      <c r="U15" s="43">
        <v>7</v>
      </c>
      <c r="V15" s="367">
        <v>2</v>
      </c>
      <c r="W15" s="367">
        <v>2</v>
      </c>
      <c r="X15" s="367">
        <v>3</v>
      </c>
      <c r="Y15" s="367">
        <v>3</v>
      </c>
      <c r="Z15" s="367">
        <v>3</v>
      </c>
      <c r="AA15" s="367">
        <v>3</v>
      </c>
      <c r="AB15" s="367">
        <v>3</v>
      </c>
      <c r="AC15" s="367">
        <v>3</v>
      </c>
      <c r="AD15" s="367">
        <v>3</v>
      </c>
      <c r="AE15" s="367">
        <v>3</v>
      </c>
      <c r="AF15" s="367">
        <v>3</v>
      </c>
      <c r="AG15" s="367">
        <v>3</v>
      </c>
    </row>
    <row r="16" spans="1:33" ht="22.5">
      <c r="A16" s="47" t="s">
        <v>50</v>
      </c>
      <c r="B16" s="372">
        <f>V16+IF($O$4="yes",$O16,0)</f>
        <v>2.5</v>
      </c>
      <c r="C16" s="372">
        <f t="shared" ref="C16:M17" si="4">W16+IF($O$4="yes",$O16,0)</f>
        <v>2.5</v>
      </c>
      <c r="D16" s="372">
        <f t="shared" si="4"/>
        <v>3</v>
      </c>
      <c r="E16" s="372">
        <f t="shared" si="4"/>
        <v>3</v>
      </c>
      <c r="F16" s="372">
        <f t="shared" si="4"/>
        <v>3.5</v>
      </c>
      <c r="G16" s="372">
        <f t="shared" si="4"/>
        <v>4</v>
      </c>
      <c r="H16" s="372">
        <f t="shared" si="4"/>
        <v>4</v>
      </c>
      <c r="I16" s="372">
        <f t="shared" si="4"/>
        <v>5</v>
      </c>
      <c r="J16" s="372">
        <f t="shared" si="4"/>
        <v>4.5</v>
      </c>
      <c r="K16" s="372">
        <f t="shared" si="4"/>
        <v>4.5</v>
      </c>
      <c r="L16" s="372">
        <f t="shared" si="4"/>
        <v>4.5</v>
      </c>
      <c r="M16" s="372">
        <f t="shared" si="4"/>
        <v>5</v>
      </c>
      <c r="N16" s="43"/>
      <c r="O16" s="43">
        <v>1</v>
      </c>
      <c r="P16" s="43"/>
      <c r="Q16" s="43"/>
      <c r="S16" s="46"/>
      <c r="T16" s="43">
        <v>1</v>
      </c>
      <c r="U16" s="43">
        <v>1</v>
      </c>
      <c r="V16" s="367">
        <v>1.5</v>
      </c>
      <c r="W16" s="367">
        <v>1.5</v>
      </c>
      <c r="X16" s="367">
        <v>2</v>
      </c>
      <c r="Y16" s="367">
        <v>2</v>
      </c>
      <c r="Z16" s="367">
        <v>2.5</v>
      </c>
      <c r="AA16" s="367">
        <v>3</v>
      </c>
      <c r="AB16" s="367">
        <v>3</v>
      </c>
      <c r="AC16" s="367">
        <v>4</v>
      </c>
      <c r="AD16" s="367">
        <v>3.5</v>
      </c>
      <c r="AE16" s="367">
        <v>3.5</v>
      </c>
      <c r="AF16" s="367">
        <v>3.5</v>
      </c>
      <c r="AG16" s="367">
        <v>4</v>
      </c>
    </row>
    <row r="17" spans="1:45" ht="22.5">
      <c r="A17" s="47" t="s">
        <v>51</v>
      </c>
      <c r="B17" s="43">
        <f>V17+IF($O$4="yes",$O17,0)</f>
        <v>2.5</v>
      </c>
      <c r="C17" s="43">
        <f t="shared" si="4"/>
        <v>2.5</v>
      </c>
      <c r="D17" s="43">
        <f t="shared" si="4"/>
        <v>3</v>
      </c>
      <c r="E17" s="43">
        <f t="shared" si="4"/>
        <v>3</v>
      </c>
      <c r="F17" s="43">
        <f t="shared" si="4"/>
        <v>3.5</v>
      </c>
      <c r="G17" s="43">
        <f t="shared" si="4"/>
        <v>4</v>
      </c>
      <c r="H17" s="43">
        <f t="shared" si="4"/>
        <v>4</v>
      </c>
      <c r="I17" s="43">
        <f t="shared" si="4"/>
        <v>5</v>
      </c>
      <c r="J17" s="43">
        <f t="shared" si="4"/>
        <v>4.5</v>
      </c>
      <c r="K17" s="43">
        <f t="shared" si="4"/>
        <v>4.5</v>
      </c>
      <c r="L17" s="43">
        <f t="shared" si="4"/>
        <v>5</v>
      </c>
      <c r="M17" s="43">
        <f t="shared" si="4"/>
        <v>5.5</v>
      </c>
      <c r="N17" s="43"/>
      <c r="O17" s="43">
        <v>1</v>
      </c>
      <c r="P17" s="43"/>
      <c r="Q17" s="43"/>
      <c r="S17" s="46"/>
      <c r="T17" s="43">
        <v>1</v>
      </c>
      <c r="U17" s="43">
        <v>1</v>
      </c>
      <c r="V17" s="367">
        <v>1.5</v>
      </c>
      <c r="W17" s="367">
        <v>1.5</v>
      </c>
      <c r="X17" s="367">
        <v>2</v>
      </c>
      <c r="Y17" s="367">
        <v>2</v>
      </c>
      <c r="Z17" s="367">
        <v>2.5</v>
      </c>
      <c r="AA17" s="367">
        <v>3</v>
      </c>
      <c r="AB17" s="367">
        <v>3</v>
      </c>
      <c r="AC17" s="367">
        <v>4</v>
      </c>
      <c r="AD17" s="367">
        <v>3.5</v>
      </c>
      <c r="AE17" s="367">
        <v>3.5</v>
      </c>
      <c r="AF17" s="367">
        <v>4</v>
      </c>
      <c r="AG17" s="367">
        <v>4.5</v>
      </c>
    </row>
    <row r="18" spans="1:45">
      <c r="A18" s="47" t="s">
        <v>52</v>
      </c>
      <c r="B18" s="43">
        <f>V18+IF($O$4="yes",IF($O$3=2,$O18,0))</f>
        <v>0</v>
      </c>
      <c r="C18" s="43">
        <f t="shared" ref="C18:M18" si="5">W18+IF($O$4="yes",IF($O$3=2,$O18,0))</f>
        <v>0</v>
      </c>
      <c r="D18" s="43">
        <f t="shared" si="5"/>
        <v>0</v>
      </c>
      <c r="E18" s="43">
        <f t="shared" si="5"/>
        <v>0</v>
      </c>
      <c r="F18" s="43">
        <f t="shared" si="5"/>
        <v>0</v>
      </c>
      <c r="G18" s="43">
        <f t="shared" si="5"/>
        <v>0</v>
      </c>
      <c r="H18" s="43">
        <f t="shared" si="5"/>
        <v>0</v>
      </c>
      <c r="I18" s="43">
        <f t="shared" si="5"/>
        <v>0</v>
      </c>
      <c r="J18" s="43">
        <f t="shared" si="5"/>
        <v>0</v>
      </c>
      <c r="K18" s="43">
        <f t="shared" si="5"/>
        <v>0</v>
      </c>
      <c r="L18" s="43">
        <f t="shared" si="5"/>
        <v>0</v>
      </c>
      <c r="M18" s="43">
        <f t="shared" si="5"/>
        <v>0</v>
      </c>
      <c r="N18" s="43"/>
      <c r="O18" s="43">
        <v>7</v>
      </c>
      <c r="P18" s="43"/>
      <c r="Q18" s="43"/>
      <c r="S18" s="46"/>
      <c r="T18" s="43">
        <v>7</v>
      </c>
      <c r="U18" s="43">
        <v>7</v>
      </c>
      <c r="V18" s="367">
        <v>0</v>
      </c>
      <c r="W18" s="367">
        <v>0</v>
      </c>
      <c r="X18" s="367">
        <v>0</v>
      </c>
      <c r="Y18" s="367">
        <v>0</v>
      </c>
      <c r="Z18" s="367">
        <v>0</v>
      </c>
      <c r="AA18" s="367">
        <v>0</v>
      </c>
      <c r="AB18" s="367">
        <v>0</v>
      </c>
      <c r="AC18" s="367">
        <v>0</v>
      </c>
      <c r="AD18" s="367">
        <v>0</v>
      </c>
      <c r="AE18" s="367">
        <v>0</v>
      </c>
      <c r="AF18" s="367">
        <v>0</v>
      </c>
      <c r="AG18" s="367">
        <v>0</v>
      </c>
    </row>
    <row r="19" spans="1:45" ht="21">
      <c r="A19" s="44" t="s">
        <v>53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V19" s="369"/>
      <c r="W19" s="369"/>
      <c r="X19" s="369"/>
      <c r="Y19" s="369"/>
      <c r="Z19" s="369"/>
      <c r="AA19" s="370"/>
      <c r="AB19" s="369"/>
      <c r="AC19" s="369"/>
      <c r="AD19" s="369"/>
      <c r="AE19" s="369"/>
      <c r="AF19" s="371"/>
      <c r="AG19" s="369"/>
    </row>
    <row r="20" spans="1:45">
      <c r="A20" s="47" t="s">
        <v>54</v>
      </c>
      <c r="B20" s="43">
        <f>V20</f>
        <v>1.5</v>
      </c>
      <c r="C20" s="43">
        <f t="shared" ref="C20:M20" si="6">W20</f>
        <v>1.5</v>
      </c>
      <c r="D20" s="43">
        <f t="shared" si="6"/>
        <v>1.5</v>
      </c>
      <c r="E20" s="43">
        <f t="shared" si="6"/>
        <v>4</v>
      </c>
      <c r="F20" s="43">
        <f t="shared" si="6"/>
        <v>4</v>
      </c>
      <c r="G20" s="43">
        <f t="shared" si="6"/>
        <v>4</v>
      </c>
      <c r="H20" s="43">
        <f t="shared" si="6"/>
        <v>4</v>
      </c>
      <c r="I20" s="43">
        <f t="shared" si="6"/>
        <v>4</v>
      </c>
      <c r="J20" s="43">
        <f t="shared" si="6"/>
        <v>4</v>
      </c>
      <c r="K20" s="43">
        <f t="shared" si="6"/>
        <v>4</v>
      </c>
      <c r="L20" s="43">
        <f t="shared" si="6"/>
        <v>4</v>
      </c>
      <c r="M20" s="43">
        <f t="shared" si="6"/>
        <v>4</v>
      </c>
      <c r="N20" s="43"/>
      <c r="O20" s="43"/>
      <c r="P20" s="43"/>
      <c r="Q20" s="43"/>
      <c r="V20" s="367">
        <v>1.5</v>
      </c>
      <c r="W20" s="367">
        <v>1.5</v>
      </c>
      <c r="X20" s="367">
        <v>1.5</v>
      </c>
      <c r="Y20" s="367">
        <v>4</v>
      </c>
      <c r="Z20" s="367">
        <v>4</v>
      </c>
      <c r="AA20" s="367">
        <v>4</v>
      </c>
      <c r="AB20" s="367">
        <v>4</v>
      </c>
      <c r="AC20" s="367">
        <v>4</v>
      </c>
      <c r="AD20" s="367">
        <v>4</v>
      </c>
      <c r="AE20" s="367">
        <v>4</v>
      </c>
      <c r="AF20" s="367">
        <v>4</v>
      </c>
      <c r="AG20" s="367">
        <v>4</v>
      </c>
    </row>
    <row r="21" spans="1:45">
      <c r="A21" s="47" t="s">
        <v>49</v>
      </c>
      <c r="B21" s="43">
        <f>V21+IF($O$4="yes",IF($O$3=3,$O21,0))</f>
        <v>9</v>
      </c>
      <c r="C21" s="43">
        <f t="shared" ref="C21:M21" si="7">W21+IF($O$4="yes",IF($O$3=3,$O21,0))</f>
        <v>9</v>
      </c>
      <c r="D21" s="43">
        <f t="shared" si="7"/>
        <v>9</v>
      </c>
      <c r="E21" s="43">
        <f t="shared" si="7"/>
        <v>10</v>
      </c>
      <c r="F21" s="43">
        <f t="shared" si="7"/>
        <v>10</v>
      </c>
      <c r="G21" s="43">
        <f t="shared" si="7"/>
        <v>10</v>
      </c>
      <c r="H21" s="43">
        <f t="shared" si="7"/>
        <v>10</v>
      </c>
      <c r="I21" s="43">
        <f t="shared" si="7"/>
        <v>10</v>
      </c>
      <c r="J21" s="43">
        <f t="shared" si="7"/>
        <v>10</v>
      </c>
      <c r="K21" s="43">
        <f t="shared" si="7"/>
        <v>10</v>
      </c>
      <c r="L21" s="43">
        <f t="shared" si="7"/>
        <v>10</v>
      </c>
      <c r="M21" s="43">
        <f t="shared" si="7"/>
        <v>10</v>
      </c>
      <c r="N21" s="43"/>
      <c r="O21" s="43">
        <v>7</v>
      </c>
      <c r="P21" s="43"/>
      <c r="Q21" s="43"/>
      <c r="S21" s="46"/>
      <c r="T21" s="43">
        <v>7</v>
      </c>
      <c r="U21" s="43">
        <v>7</v>
      </c>
      <c r="V21" s="367">
        <v>2</v>
      </c>
      <c r="W21" s="367">
        <v>2</v>
      </c>
      <c r="X21" s="367">
        <v>2</v>
      </c>
      <c r="Y21" s="367">
        <v>3</v>
      </c>
      <c r="Z21" s="367">
        <v>3</v>
      </c>
      <c r="AA21" s="367">
        <v>3</v>
      </c>
      <c r="AB21" s="367">
        <v>3</v>
      </c>
      <c r="AC21" s="367">
        <v>3</v>
      </c>
      <c r="AD21" s="367">
        <v>3</v>
      </c>
      <c r="AE21" s="367">
        <v>3</v>
      </c>
      <c r="AF21" s="367">
        <v>3</v>
      </c>
      <c r="AG21" s="367">
        <v>3</v>
      </c>
    </row>
    <row r="22" spans="1:45">
      <c r="A22" s="47" t="s">
        <v>55</v>
      </c>
      <c r="B22" s="372">
        <f>V22+IF($O$4="yes",$O22,0)</f>
        <v>2.5</v>
      </c>
      <c r="C22" s="372">
        <f t="shared" ref="C22:M22" si="8">W22+IF($O$4="yes",$O22,0)</f>
        <v>2.5</v>
      </c>
      <c r="D22" s="372">
        <f t="shared" si="8"/>
        <v>3.5</v>
      </c>
      <c r="E22" s="372">
        <f t="shared" si="8"/>
        <v>3.5</v>
      </c>
      <c r="F22" s="372">
        <f t="shared" si="8"/>
        <v>4</v>
      </c>
      <c r="G22" s="372">
        <f t="shared" si="8"/>
        <v>4.5</v>
      </c>
      <c r="H22" s="372">
        <f t="shared" si="8"/>
        <v>4</v>
      </c>
      <c r="I22" s="372">
        <f t="shared" si="8"/>
        <v>6</v>
      </c>
      <c r="J22" s="372">
        <f t="shared" si="8"/>
        <v>5</v>
      </c>
      <c r="K22" s="372">
        <f t="shared" si="8"/>
        <v>5.5</v>
      </c>
      <c r="L22" s="372">
        <f t="shared" si="8"/>
        <v>6</v>
      </c>
      <c r="M22" s="372">
        <f t="shared" si="8"/>
        <v>6</v>
      </c>
      <c r="N22" s="43"/>
      <c r="O22" s="43">
        <v>1</v>
      </c>
      <c r="P22" s="43"/>
      <c r="Q22" s="43"/>
      <c r="T22">
        <v>1</v>
      </c>
      <c r="U22">
        <v>1</v>
      </c>
      <c r="V22" s="367">
        <v>1.5</v>
      </c>
      <c r="W22" s="367">
        <v>1.5</v>
      </c>
      <c r="X22" s="367">
        <v>2.5</v>
      </c>
      <c r="Y22" s="367">
        <v>2.5</v>
      </c>
      <c r="Z22" s="367">
        <v>3</v>
      </c>
      <c r="AA22" s="367">
        <v>3.5</v>
      </c>
      <c r="AB22" s="367">
        <v>3</v>
      </c>
      <c r="AC22" s="367">
        <v>5</v>
      </c>
      <c r="AD22" s="367">
        <v>4</v>
      </c>
      <c r="AE22" s="367">
        <v>4.5</v>
      </c>
      <c r="AF22" s="367">
        <v>5</v>
      </c>
      <c r="AG22" s="367">
        <v>5</v>
      </c>
    </row>
    <row r="23" spans="1:45">
      <c r="A23" s="47" t="s">
        <v>52</v>
      </c>
      <c r="B23" s="43">
        <f>V23</f>
        <v>0</v>
      </c>
      <c r="C23" s="43">
        <f t="shared" ref="C23:M23" si="9">W23</f>
        <v>0</v>
      </c>
      <c r="D23" s="43">
        <f t="shared" si="9"/>
        <v>0</v>
      </c>
      <c r="E23" s="43">
        <f t="shared" si="9"/>
        <v>0</v>
      </c>
      <c r="F23" s="43">
        <f t="shared" si="9"/>
        <v>0</v>
      </c>
      <c r="G23" s="43">
        <f t="shared" si="9"/>
        <v>0</v>
      </c>
      <c r="H23" s="43">
        <f t="shared" si="9"/>
        <v>0</v>
      </c>
      <c r="I23" s="43">
        <f t="shared" si="9"/>
        <v>0</v>
      </c>
      <c r="J23" s="43">
        <f t="shared" si="9"/>
        <v>0</v>
      </c>
      <c r="K23" s="43">
        <f t="shared" si="9"/>
        <v>0</v>
      </c>
      <c r="L23" s="43">
        <f t="shared" si="9"/>
        <v>0</v>
      </c>
      <c r="M23" s="43">
        <f t="shared" si="9"/>
        <v>0</v>
      </c>
      <c r="N23" s="43"/>
      <c r="O23" s="43"/>
      <c r="P23" s="43"/>
      <c r="Q23" s="43"/>
      <c r="V23" s="367">
        <v>0</v>
      </c>
      <c r="W23" s="367">
        <v>0</v>
      </c>
      <c r="X23" s="367"/>
      <c r="Y23" s="367"/>
      <c r="Z23" s="367"/>
      <c r="AA23" s="367"/>
      <c r="AB23" s="367"/>
      <c r="AC23" s="367"/>
      <c r="AD23" s="367"/>
      <c r="AE23" s="367"/>
      <c r="AF23" s="367"/>
      <c r="AG23" s="367"/>
    </row>
    <row r="24" spans="1:45">
      <c r="A24" s="42" t="s">
        <v>56</v>
      </c>
      <c r="B24" s="43">
        <f>V24+IF($O$4="yes",$O24,0)</f>
        <v>5</v>
      </c>
      <c r="C24" s="43">
        <f t="shared" ref="C24:M25" si="10">W24+IF($O$4="yes",$O24,0)</f>
        <v>6</v>
      </c>
      <c r="D24" s="43">
        <f t="shared" si="10"/>
        <v>6</v>
      </c>
      <c r="E24" s="43">
        <f t="shared" si="10"/>
        <v>7</v>
      </c>
      <c r="F24" s="43">
        <f t="shared" si="10"/>
        <v>8</v>
      </c>
      <c r="G24" s="43">
        <f t="shared" si="10"/>
        <v>9</v>
      </c>
      <c r="H24" s="43">
        <f t="shared" si="10"/>
        <v>10</v>
      </c>
      <c r="I24" s="43">
        <f t="shared" si="10"/>
        <v>11</v>
      </c>
      <c r="J24" s="43">
        <f t="shared" si="10"/>
        <v>12</v>
      </c>
      <c r="K24" s="43">
        <f t="shared" si="10"/>
        <v>13</v>
      </c>
      <c r="L24" s="43">
        <f t="shared" si="10"/>
        <v>14</v>
      </c>
      <c r="M24" s="43">
        <f t="shared" si="10"/>
        <v>15</v>
      </c>
      <c r="N24" s="43"/>
      <c r="O24" s="43">
        <f>IF(O7="6 months or younger",3,1.5)</f>
        <v>3</v>
      </c>
      <c r="P24" s="43"/>
      <c r="Q24" s="43"/>
      <c r="T24" s="43">
        <v>3</v>
      </c>
      <c r="U24" s="43">
        <v>1.5</v>
      </c>
      <c r="V24" s="367">
        <f>IF(AND('I&amp;O'!$C$49=3,'I&amp;O'!$D$122=100%),AH24-1,AH24)</f>
        <v>2</v>
      </c>
      <c r="W24" s="367">
        <f>IF(AND('I&amp;O'!$C$49=3,'I&amp;O'!$D$122=100%),AI24-1,AI24)</f>
        <v>3</v>
      </c>
      <c r="X24" s="367">
        <f>IF(AND('I&amp;O'!$C$49=3,'I&amp;O'!$D$122=100%),AJ24-1,AJ24)</f>
        <v>3</v>
      </c>
      <c r="Y24" s="367">
        <f>IF(AND('I&amp;O'!$C$49=3,'I&amp;O'!$D$122=100%),AK24-1,AK24)</f>
        <v>4</v>
      </c>
      <c r="Z24" s="367">
        <f>IF(AND('I&amp;O'!$C$49=3,'I&amp;O'!$D$122=100%),AL24-1,AL24)</f>
        <v>5</v>
      </c>
      <c r="AA24" s="367">
        <f>IF(AND('I&amp;O'!$C$49=3,'I&amp;O'!$D$122=100%),AM24-1,AM24)</f>
        <v>6</v>
      </c>
      <c r="AB24" s="367">
        <f>IF(AND('I&amp;O'!$C$49=3,'I&amp;O'!$D$122=100%),AN24-1,AN24)</f>
        <v>7</v>
      </c>
      <c r="AC24" s="367">
        <f>IF(AND('I&amp;O'!$C$49=3,'I&amp;O'!$D$122=100%),AO24-1,AO24)</f>
        <v>8</v>
      </c>
      <c r="AD24" s="367">
        <f>IF(AND('I&amp;O'!$C$49=3,'I&amp;O'!$D$122=100%),AP24-1,AP24)</f>
        <v>9</v>
      </c>
      <c r="AE24" s="367">
        <f>IF(AND('I&amp;O'!$C$49=3,'I&amp;O'!$D$122=100%),AQ24-1,AQ24)</f>
        <v>10</v>
      </c>
      <c r="AF24" s="367">
        <f>IF(AND('I&amp;O'!$C$49=3,'I&amp;O'!$D$122=100%),AR24-1,AR24)</f>
        <v>11</v>
      </c>
      <c r="AG24" s="367">
        <f>IF(AND('I&amp;O'!$C$49=3,'I&amp;O'!$D$122=100%),AS24-1,AS24)</f>
        <v>12</v>
      </c>
      <c r="AH24" s="374">
        <v>3</v>
      </c>
      <c r="AI24" s="374">
        <v>4</v>
      </c>
      <c r="AJ24" s="374">
        <v>4</v>
      </c>
      <c r="AK24" s="374">
        <v>5</v>
      </c>
      <c r="AL24" s="374">
        <v>6</v>
      </c>
      <c r="AM24" s="374">
        <v>7</v>
      </c>
      <c r="AN24" s="374">
        <v>8</v>
      </c>
      <c r="AO24" s="374">
        <v>9</v>
      </c>
      <c r="AP24" s="374">
        <v>10</v>
      </c>
      <c r="AQ24" s="374">
        <v>11</v>
      </c>
      <c r="AR24" s="374">
        <v>12</v>
      </c>
      <c r="AS24" s="374">
        <v>13</v>
      </c>
    </row>
    <row r="25" spans="1:45">
      <c r="A25" s="42" t="s">
        <v>57</v>
      </c>
      <c r="B25" s="43">
        <f>V25+IF($O$4="yes",$O25,0)</f>
        <v>6</v>
      </c>
      <c r="C25" s="43">
        <f t="shared" si="10"/>
        <v>7</v>
      </c>
      <c r="D25" s="43">
        <f t="shared" si="10"/>
        <v>7</v>
      </c>
      <c r="E25" s="43">
        <f t="shared" si="10"/>
        <v>8</v>
      </c>
      <c r="F25" s="43">
        <f t="shared" si="10"/>
        <v>9</v>
      </c>
      <c r="G25" s="43">
        <f t="shared" si="10"/>
        <v>10</v>
      </c>
      <c r="H25" s="43">
        <f t="shared" si="10"/>
        <v>11</v>
      </c>
      <c r="I25" s="43">
        <f t="shared" si="10"/>
        <v>12</v>
      </c>
      <c r="J25" s="43">
        <f t="shared" si="10"/>
        <v>13</v>
      </c>
      <c r="K25" s="43">
        <f t="shared" si="10"/>
        <v>14</v>
      </c>
      <c r="L25" s="43">
        <f t="shared" si="10"/>
        <v>15</v>
      </c>
      <c r="M25" s="43">
        <f t="shared" si="10"/>
        <v>16</v>
      </c>
      <c r="N25" s="43"/>
      <c r="O25" s="43">
        <f>IF(O7="6 months or younger",3,1.5)</f>
        <v>3</v>
      </c>
      <c r="P25" s="43"/>
      <c r="Q25" s="43"/>
      <c r="T25" s="43">
        <v>3</v>
      </c>
      <c r="U25" s="43">
        <v>1.5</v>
      </c>
      <c r="V25" s="367">
        <f>IF(AND('I&amp;O'!$C$71&lt;3,'I&amp;O'!$D$122=100%),AH25-1,AH25)</f>
        <v>3</v>
      </c>
      <c r="W25" s="367">
        <f>IF(AND('I&amp;O'!$C$71&lt;3,'I&amp;O'!$D$122=100%),AI25-1,AI25)</f>
        <v>4</v>
      </c>
      <c r="X25" s="367">
        <f>IF(AND('I&amp;O'!$C$71&lt;3,'I&amp;O'!$D$122=100%),AJ25-1,AJ25)</f>
        <v>4</v>
      </c>
      <c r="Y25" s="367">
        <f>IF(AND('I&amp;O'!$C$71&lt;3,'I&amp;O'!$D$122=100%),AK25-1,AK25)</f>
        <v>5</v>
      </c>
      <c r="Z25" s="367">
        <f>IF(AND('I&amp;O'!$C$71&lt;3,'I&amp;O'!$D$122=100%),AL25-1,AL25)</f>
        <v>6</v>
      </c>
      <c r="AA25" s="367">
        <f>IF(AND('I&amp;O'!$C$71&lt;3,'I&amp;O'!$D$122=100%),AM25-1,AM25)</f>
        <v>7</v>
      </c>
      <c r="AB25" s="367">
        <f>IF(AND('I&amp;O'!$C$71&lt;3,'I&amp;O'!$D$122=100%),AN25-1,AN25)</f>
        <v>8</v>
      </c>
      <c r="AC25" s="367">
        <f>IF(AND('I&amp;O'!$C$71&lt;3,'I&amp;O'!$D$122=100%),AO25-1,AO25)</f>
        <v>9</v>
      </c>
      <c r="AD25" s="367">
        <f>IF(AND('I&amp;O'!$C$71&lt;3,'I&amp;O'!$D$122=100%),AP25-1,AP25)</f>
        <v>10</v>
      </c>
      <c r="AE25" s="367">
        <f>IF(AND('I&amp;O'!$C$71&lt;3,'I&amp;O'!$D$122=100%),AQ25-1,AQ25)</f>
        <v>11</v>
      </c>
      <c r="AF25" s="367">
        <f>IF(AND('I&amp;O'!$C$71&lt;3,'I&amp;O'!$D$122=100%),AR25-1,AR25)</f>
        <v>12</v>
      </c>
      <c r="AG25" s="367">
        <f>IF(AND('I&amp;O'!$C$71&lt;3,'I&amp;O'!$D$122=100%),AS25-1,AS25)</f>
        <v>13</v>
      </c>
      <c r="AH25" s="374">
        <v>3</v>
      </c>
      <c r="AI25" s="374">
        <v>4</v>
      </c>
      <c r="AJ25" s="374">
        <v>4</v>
      </c>
      <c r="AK25" s="374">
        <v>5</v>
      </c>
      <c r="AL25" s="374">
        <v>6</v>
      </c>
      <c r="AM25" s="374">
        <v>7</v>
      </c>
      <c r="AN25" s="374">
        <v>8</v>
      </c>
      <c r="AO25" s="374">
        <v>9</v>
      </c>
      <c r="AP25" s="374">
        <v>10</v>
      </c>
      <c r="AQ25" s="374">
        <v>11</v>
      </c>
      <c r="AR25" s="374">
        <v>12</v>
      </c>
      <c r="AS25" s="374">
        <v>13</v>
      </c>
    </row>
    <row r="26" spans="1:45">
      <c r="A26" s="42" t="s">
        <v>58</v>
      </c>
      <c r="B26" s="43">
        <f>V26</f>
        <v>0</v>
      </c>
      <c r="C26" s="43">
        <f t="shared" ref="C26:M26" si="11">W26</f>
        <v>0</v>
      </c>
      <c r="D26" s="43">
        <f t="shared" si="11"/>
        <v>0</v>
      </c>
      <c r="E26" s="43">
        <f t="shared" si="11"/>
        <v>0</v>
      </c>
      <c r="F26" s="43">
        <f t="shared" si="11"/>
        <v>0</v>
      </c>
      <c r="G26" s="43">
        <f t="shared" si="11"/>
        <v>0</v>
      </c>
      <c r="H26" s="43">
        <f t="shared" si="11"/>
        <v>0</v>
      </c>
      <c r="I26" s="43">
        <f t="shared" si="11"/>
        <v>0</v>
      </c>
      <c r="J26" s="43">
        <f t="shared" si="11"/>
        <v>0</v>
      </c>
      <c r="K26" s="43">
        <f t="shared" si="11"/>
        <v>0</v>
      </c>
      <c r="L26" s="43">
        <f t="shared" si="11"/>
        <v>0</v>
      </c>
      <c r="M26" s="43">
        <f t="shared" si="11"/>
        <v>0</v>
      </c>
      <c r="N26" s="43"/>
      <c r="O26" s="43"/>
      <c r="P26" s="43"/>
      <c r="Q26" s="43"/>
      <c r="V26" s="367">
        <v>0</v>
      </c>
      <c r="W26" s="367">
        <v>0</v>
      </c>
      <c r="X26" s="367">
        <v>0</v>
      </c>
      <c r="Y26" s="367">
        <v>0</v>
      </c>
      <c r="Z26" s="367">
        <v>0</v>
      </c>
      <c r="AA26" s="367">
        <v>0</v>
      </c>
      <c r="AB26" s="367">
        <v>0</v>
      </c>
      <c r="AC26" s="367">
        <v>0</v>
      </c>
      <c r="AD26" s="367">
        <v>0</v>
      </c>
      <c r="AE26" s="367">
        <v>0</v>
      </c>
      <c r="AF26" s="367">
        <v>0</v>
      </c>
      <c r="AG26" s="367">
        <v>0</v>
      </c>
    </row>
    <row r="28" spans="1:45">
      <c r="A28" s="49" t="s">
        <v>59</v>
      </c>
      <c r="B28" s="49">
        <v>1000</v>
      </c>
      <c r="C28" s="49">
        <v>1200</v>
      </c>
      <c r="D28" s="49">
        <v>1400</v>
      </c>
      <c r="E28" s="49">
        <v>1600</v>
      </c>
      <c r="F28" s="49">
        <v>1800</v>
      </c>
      <c r="G28" s="49">
        <v>2000</v>
      </c>
      <c r="H28" s="49">
        <v>2200</v>
      </c>
      <c r="I28" s="49">
        <v>2400</v>
      </c>
      <c r="J28" s="49">
        <v>2600</v>
      </c>
      <c r="K28" s="49">
        <v>2800</v>
      </c>
      <c r="L28" s="49">
        <v>3000</v>
      </c>
      <c r="M28" s="49">
        <v>3200</v>
      </c>
      <c r="N28" s="49"/>
      <c r="O28" s="49"/>
      <c r="P28" s="49"/>
      <c r="Q28" s="49"/>
      <c r="V28" s="49">
        <v>1000</v>
      </c>
      <c r="W28" s="49">
        <v>1200</v>
      </c>
      <c r="X28" s="49">
        <v>1400</v>
      </c>
      <c r="Y28" s="49">
        <v>1600</v>
      </c>
      <c r="Z28" s="49">
        <v>1800</v>
      </c>
      <c r="AA28" s="49">
        <v>2000</v>
      </c>
      <c r="AB28" s="49">
        <v>2200</v>
      </c>
      <c r="AC28" s="49">
        <v>2400</v>
      </c>
      <c r="AD28" s="49">
        <v>2600</v>
      </c>
      <c r="AE28" s="49">
        <v>2800</v>
      </c>
      <c r="AF28" s="49">
        <v>3000</v>
      </c>
      <c r="AG28" s="49">
        <v>3200</v>
      </c>
    </row>
    <row r="29" spans="1:4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45">
      <c r="A30" s="41" t="s">
        <v>41</v>
      </c>
    </row>
    <row r="31" spans="1:45">
      <c r="A31" s="42" t="s">
        <v>42</v>
      </c>
      <c r="B31" s="43">
        <f>V31</f>
        <v>3</v>
      </c>
      <c r="C31" s="43">
        <f t="shared" ref="C31:M33" si="12">W31</f>
        <v>4</v>
      </c>
      <c r="D31" s="43">
        <f t="shared" si="12"/>
        <v>5</v>
      </c>
      <c r="E31" s="43">
        <f t="shared" si="12"/>
        <v>6</v>
      </c>
      <c r="F31" s="43">
        <f t="shared" si="12"/>
        <v>7</v>
      </c>
      <c r="G31" s="43">
        <f t="shared" si="12"/>
        <v>7</v>
      </c>
      <c r="H31" s="43">
        <f t="shared" si="12"/>
        <v>8</v>
      </c>
      <c r="I31" s="43">
        <f t="shared" si="12"/>
        <v>8</v>
      </c>
      <c r="J31" s="43">
        <f t="shared" si="12"/>
        <v>9</v>
      </c>
      <c r="K31" s="43">
        <f t="shared" si="12"/>
        <v>10</v>
      </c>
      <c r="L31" s="43">
        <f t="shared" si="12"/>
        <v>10</v>
      </c>
      <c r="M31" s="43">
        <f t="shared" si="12"/>
        <v>11</v>
      </c>
      <c r="N31" s="43"/>
      <c r="O31" s="43"/>
      <c r="P31" s="43"/>
      <c r="Q31" s="43"/>
      <c r="V31" s="43">
        <v>3</v>
      </c>
      <c r="W31" s="43">
        <v>4</v>
      </c>
      <c r="X31" s="43">
        <v>5</v>
      </c>
      <c r="Y31" s="43">
        <v>6</v>
      </c>
      <c r="Z31" s="43">
        <v>7</v>
      </c>
      <c r="AA31" s="43">
        <v>7</v>
      </c>
      <c r="AB31" s="43">
        <v>8</v>
      </c>
      <c r="AC31" s="43">
        <v>8</v>
      </c>
      <c r="AD31" s="43">
        <v>9</v>
      </c>
      <c r="AE31" s="43">
        <v>10</v>
      </c>
      <c r="AF31" s="43">
        <v>10</v>
      </c>
      <c r="AG31" s="43">
        <v>11</v>
      </c>
    </row>
    <row r="32" spans="1:45">
      <c r="A32" s="42" t="s">
        <v>43</v>
      </c>
      <c r="B32" s="43">
        <f t="shared" ref="B32:B33" si="13">V32</f>
        <v>2</v>
      </c>
      <c r="C32" s="43">
        <f t="shared" si="12"/>
        <v>2.5</v>
      </c>
      <c r="D32" s="43">
        <f t="shared" si="12"/>
        <v>2.5</v>
      </c>
      <c r="E32" s="43">
        <f t="shared" si="12"/>
        <v>3</v>
      </c>
      <c r="F32" s="43">
        <f t="shared" si="12"/>
        <v>3</v>
      </c>
      <c r="G32" s="43">
        <f t="shared" si="12"/>
        <v>4</v>
      </c>
      <c r="H32" s="43">
        <f t="shared" si="12"/>
        <v>4</v>
      </c>
      <c r="I32" s="43">
        <f t="shared" si="12"/>
        <v>6</v>
      </c>
      <c r="J32" s="43">
        <f t="shared" si="12"/>
        <v>6</v>
      </c>
      <c r="K32" s="43">
        <f t="shared" si="12"/>
        <v>6</v>
      </c>
      <c r="L32" s="43">
        <f t="shared" si="12"/>
        <v>8</v>
      </c>
      <c r="M32" s="43">
        <f t="shared" si="12"/>
        <v>8</v>
      </c>
      <c r="N32" s="43"/>
      <c r="O32" s="43"/>
      <c r="P32" s="43"/>
      <c r="Q32" s="43"/>
      <c r="V32" s="43">
        <v>2</v>
      </c>
      <c r="W32" s="43">
        <v>2.5</v>
      </c>
      <c r="X32" s="43">
        <v>2.5</v>
      </c>
      <c r="Y32" s="43">
        <v>3</v>
      </c>
      <c r="Z32" s="43">
        <v>3</v>
      </c>
      <c r="AA32" s="43">
        <v>4</v>
      </c>
      <c r="AB32" s="43">
        <v>4</v>
      </c>
      <c r="AC32" s="43">
        <v>6</v>
      </c>
      <c r="AD32" s="43">
        <v>6</v>
      </c>
      <c r="AE32" s="43">
        <v>6</v>
      </c>
      <c r="AF32" s="43">
        <v>8</v>
      </c>
      <c r="AG32" s="43">
        <v>8</v>
      </c>
    </row>
    <row r="33" spans="1:45">
      <c r="A33" s="42" t="s">
        <v>44</v>
      </c>
      <c r="B33" s="43">
        <f t="shared" si="13"/>
        <v>2</v>
      </c>
      <c r="C33" s="43">
        <f t="shared" si="12"/>
        <v>2</v>
      </c>
      <c r="D33" s="43">
        <f t="shared" si="12"/>
        <v>2</v>
      </c>
      <c r="E33" s="43">
        <f t="shared" si="12"/>
        <v>2</v>
      </c>
      <c r="F33" s="43">
        <f t="shared" si="12"/>
        <v>2.5</v>
      </c>
      <c r="G33" s="43">
        <f t="shared" si="12"/>
        <v>3</v>
      </c>
      <c r="H33" s="43">
        <f t="shared" si="12"/>
        <v>3</v>
      </c>
      <c r="I33" s="43">
        <f t="shared" si="12"/>
        <v>4</v>
      </c>
      <c r="J33" s="43">
        <f t="shared" si="12"/>
        <v>4</v>
      </c>
      <c r="K33" s="43">
        <f t="shared" si="12"/>
        <v>5</v>
      </c>
      <c r="L33" s="43">
        <f t="shared" si="12"/>
        <v>5</v>
      </c>
      <c r="M33" s="43">
        <f t="shared" si="12"/>
        <v>5</v>
      </c>
      <c r="N33" s="43"/>
      <c r="O33" s="43"/>
      <c r="P33" s="43"/>
      <c r="Q33" s="43"/>
      <c r="V33" s="43">
        <v>2</v>
      </c>
      <c r="W33" s="43">
        <v>2</v>
      </c>
      <c r="X33" s="43">
        <v>2</v>
      </c>
      <c r="Y33" s="43">
        <v>2</v>
      </c>
      <c r="Z33" s="43">
        <v>2.5</v>
      </c>
      <c r="AA33" s="43">
        <v>3</v>
      </c>
      <c r="AB33" s="43">
        <v>3</v>
      </c>
      <c r="AC33" s="43">
        <v>4</v>
      </c>
      <c r="AD33" s="43">
        <v>4</v>
      </c>
      <c r="AE33" s="43">
        <v>5</v>
      </c>
      <c r="AF33" s="43">
        <v>5</v>
      </c>
      <c r="AG33" s="43">
        <v>5</v>
      </c>
    </row>
    <row r="34" spans="1:45">
      <c r="A34" s="42" t="s">
        <v>45</v>
      </c>
      <c r="B34" s="43">
        <f>V34+IF($O$4="yes",$O34,0)</f>
        <v>1</v>
      </c>
      <c r="C34" s="43">
        <f t="shared" ref="C34:M36" si="14">W34+IF($O$4="yes",$O34,0)</f>
        <v>1</v>
      </c>
      <c r="D34" s="43">
        <f t="shared" si="14"/>
        <v>1</v>
      </c>
      <c r="E34" s="43">
        <f t="shared" si="14"/>
        <v>1</v>
      </c>
      <c r="F34" s="43">
        <f t="shared" si="14"/>
        <v>1</v>
      </c>
      <c r="G34" s="43">
        <f t="shared" si="14"/>
        <v>1</v>
      </c>
      <c r="H34" s="43">
        <f t="shared" si="14"/>
        <v>1</v>
      </c>
      <c r="I34" s="43">
        <f t="shared" si="14"/>
        <v>1</v>
      </c>
      <c r="J34" s="43">
        <f t="shared" si="14"/>
        <v>1</v>
      </c>
      <c r="K34" s="43">
        <f t="shared" si="14"/>
        <v>1</v>
      </c>
      <c r="L34" s="43">
        <f t="shared" si="14"/>
        <v>1</v>
      </c>
      <c r="M34" s="43">
        <f t="shared" si="14"/>
        <v>1</v>
      </c>
      <c r="N34" s="43"/>
      <c r="O34" s="43">
        <v>1</v>
      </c>
      <c r="P34" s="43"/>
      <c r="Q34" s="43"/>
      <c r="R34" s="46"/>
      <c r="S34" s="46"/>
      <c r="T34" s="43">
        <v>1</v>
      </c>
      <c r="U34" s="43">
        <v>1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/>
      <c r="AE34" s="43"/>
      <c r="AF34" s="43"/>
      <c r="AG34" s="43"/>
    </row>
    <row r="35" spans="1:45">
      <c r="A35" s="42" t="s">
        <v>46</v>
      </c>
      <c r="B35" s="43">
        <f>V35+IF($O$4="yes",$O35,0)</f>
        <v>1</v>
      </c>
      <c r="C35" s="43">
        <f t="shared" si="14"/>
        <v>1</v>
      </c>
      <c r="D35" s="43">
        <f t="shared" si="14"/>
        <v>1</v>
      </c>
      <c r="E35" s="43">
        <f t="shared" si="14"/>
        <v>1</v>
      </c>
      <c r="F35" s="43">
        <f t="shared" si="14"/>
        <v>1</v>
      </c>
      <c r="G35" s="43">
        <f t="shared" si="14"/>
        <v>1</v>
      </c>
      <c r="H35" s="43">
        <f t="shared" si="14"/>
        <v>1</v>
      </c>
      <c r="I35" s="43">
        <f t="shared" si="14"/>
        <v>1</v>
      </c>
      <c r="J35" s="43">
        <f t="shared" si="14"/>
        <v>1</v>
      </c>
      <c r="K35" s="43">
        <f t="shared" si="14"/>
        <v>1</v>
      </c>
      <c r="L35" s="43">
        <f t="shared" si="14"/>
        <v>1</v>
      </c>
      <c r="M35" s="43">
        <f t="shared" si="14"/>
        <v>1</v>
      </c>
      <c r="N35" s="43"/>
      <c r="O35" s="43">
        <v>1</v>
      </c>
      <c r="P35" s="43"/>
      <c r="Q35" s="43"/>
      <c r="R35" s="46"/>
      <c r="S35" s="46"/>
      <c r="T35" s="43">
        <v>1</v>
      </c>
      <c r="U35" s="43">
        <v>1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/>
      <c r="AE35" s="43"/>
      <c r="AF35" s="43"/>
      <c r="AG35" s="43"/>
    </row>
    <row r="36" spans="1:45">
      <c r="A36" s="42" t="s">
        <v>47</v>
      </c>
      <c r="B36" s="43">
        <f>V36+IF($O$4="yes",$O36,0)</f>
        <v>3.5</v>
      </c>
      <c r="C36" s="43">
        <f t="shared" si="14"/>
        <v>3.5</v>
      </c>
      <c r="D36" s="43">
        <f t="shared" si="14"/>
        <v>3.5</v>
      </c>
      <c r="E36" s="43">
        <f t="shared" si="14"/>
        <v>3.5</v>
      </c>
      <c r="F36" s="43">
        <f t="shared" si="14"/>
        <v>4</v>
      </c>
      <c r="G36" s="43">
        <f t="shared" si="14"/>
        <v>4</v>
      </c>
      <c r="H36" s="43">
        <f t="shared" si="14"/>
        <v>4</v>
      </c>
      <c r="I36" s="43">
        <f t="shared" si="14"/>
        <v>4</v>
      </c>
      <c r="J36" s="43">
        <f t="shared" si="14"/>
        <v>4</v>
      </c>
      <c r="K36" s="43">
        <f t="shared" si="14"/>
        <v>4</v>
      </c>
      <c r="L36" s="43">
        <f t="shared" si="14"/>
        <v>4</v>
      </c>
      <c r="M36" s="43">
        <f t="shared" si="14"/>
        <v>4</v>
      </c>
      <c r="N36" s="43"/>
      <c r="O36" s="43">
        <v>1</v>
      </c>
      <c r="P36" s="43"/>
      <c r="Q36" s="43"/>
      <c r="R36" s="46"/>
      <c r="S36" s="46"/>
      <c r="T36" s="43">
        <v>1</v>
      </c>
      <c r="U36" s="43">
        <v>1</v>
      </c>
      <c r="V36" s="43">
        <v>2.5</v>
      </c>
      <c r="W36" s="43">
        <v>2.5</v>
      </c>
      <c r="X36" s="43">
        <v>2.5</v>
      </c>
      <c r="Y36" s="43">
        <v>2.5</v>
      </c>
      <c r="Z36" s="43">
        <v>3</v>
      </c>
      <c r="AA36" s="43">
        <v>3</v>
      </c>
      <c r="AB36" s="43">
        <v>3</v>
      </c>
      <c r="AC36" s="43">
        <v>3</v>
      </c>
      <c r="AD36" s="43">
        <v>3</v>
      </c>
      <c r="AE36" s="43">
        <v>3</v>
      </c>
      <c r="AF36" s="43">
        <v>3</v>
      </c>
      <c r="AG36" s="43">
        <v>3</v>
      </c>
    </row>
    <row r="37" spans="1:45" ht="21">
      <c r="A37" s="44" t="s">
        <v>48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45">
      <c r="A38" s="47" t="s">
        <v>49</v>
      </c>
      <c r="B38" s="43">
        <f>V38+IF($O$4="yes",IF($O$3=1,$O38,0))</f>
        <v>2</v>
      </c>
      <c r="C38" s="43">
        <f t="shared" ref="C38:M38" si="15">W38+IF($O$4="yes",IF($O$3=1,$O38,0))</f>
        <v>2</v>
      </c>
      <c r="D38" s="43">
        <f t="shared" si="15"/>
        <v>2</v>
      </c>
      <c r="E38" s="43">
        <f t="shared" si="15"/>
        <v>4</v>
      </c>
      <c r="F38" s="43">
        <f t="shared" si="15"/>
        <v>4</v>
      </c>
      <c r="G38" s="43">
        <f t="shared" si="15"/>
        <v>4</v>
      </c>
      <c r="H38" s="43">
        <f t="shared" si="15"/>
        <v>4</v>
      </c>
      <c r="I38" s="43">
        <f t="shared" si="15"/>
        <v>5</v>
      </c>
      <c r="J38" s="43">
        <f t="shared" si="15"/>
        <v>5</v>
      </c>
      <c r="K38" s="43">
        <f t="shared" si="15"/>
        <v>5</v>
      </c>
      <c r="L38" s="43">
        <f t="shared" si="15"/>
        <v>5</v>
      </c>
      <c r="M38" s="43">
        <f t="shared" si="15"/>
        <v>5</v>
      </c>
      <c r="N38" s="43"/>
      <c r="O38" s="43">
        <v>7</v>
      </c>
      <c r="P38" s="43"/>
      <c r="Q38" s="43"/>
      <c r="S38" s="46"/>
      <c r="T38" s="43">
        <v>7</v>
      </c>
      <c r="U38" s="43">
        <v>7</v>
      </c>
      <c r="V38" s="43">
        <v>2</v>
      </c>
      <c r="W38" s="43">
        <v>2</v>
      </c>
      <c r="X38" s="43">
        <v>2</v>
      </c>
      <c r="Y38" s="43">
        <v>4</v>
      </c>
      <c r="Z38" s="43">
        <v>4</v>
      </c>
      <c r="AA38" s="43">
        <v>4</v>
      </c>
      <c r="AB38" s="43">
        <v>4</v>
      </c>
      <c r="AC38" s="43">
        <v>5</v>
      </c>
      <c r="AD38" s="43">
        <v>5</v>
      </c>
      <c r="AE38" s="43">
        <v>5</v>
      </c>
      <c r="AF38" s="43">
        <v>5</v>
      </c>
      <c r="AG38" s="43">
        <v>5</v>
      </c>
    </row>
    <row r="39" spans="1:45" ht="22.5">
      <c r="A39" s="47" t="s">
        <v>50</v>
      </c>
      <c r="B39" s="43">
        <f>V39+IF($O$4="yes",$O39,0)</f>
        <v>2</v>
      </c>
      <c r="C39" s="43">
        <f t="shared" ref="C39:M40" si="16">W39+IF($O$4="yes",$O39,0)</f>
        <v>2</v>
      </c>
      <c r="D39" s="43">
        <f t="shared" si="16"/>
        <v>2</v>
      </c>
      <c r="E39" s="43">
        <f t="shared" si="16"/>
        <v>2.5</v>
      </c>
      <c r="F39" s="43">
        <f t="shared" si="16"/>
        <v>2.5</v>
      </c>
      <c r="G39" s="43">
        <f t="shared" si="16"/>
        <v>2.5</v>
      </c>
      <c r="H39" s="43">
        <f t="shared" si="16"/>
        <v>3</v>
      </c>
      <c r="I39" s="43">
        <f t="shared" si="16"/>
        <v>3</v>
      </c>
      <c r="J39" s="43">
        <f t="shared" si="16"/>
        <v>2.5</v>
      </c>
      <c r="K39" s="43">
        <f t="shared" si="16"/>
        <v>2.5</v>
      </c>
      <c r="L39" s="43">
        <f t="shared" si="16"/>
        <v>3</v>
      </c>
      <c r="M39" s="43">
        <f t="shared" si="16"/>
        <v>3</v>
      </c>
      <c r="N39" s="43"/>
      <c r="O39" s="43">
        <v>1</v>
      </c>
      <c r="P39" s="43"/>
      <c r="Q39" s="43"/>
      <c r="S39" s="46"/>
      <c r="T39" s="43">
        <v>1</v>
      </c>
      <c r="U39" s="43">
        <v>1</v>
      </c>
      <c r="V39" s="43">
        <v>1</v>
      </c>
      <c r="W39" s="43">
        <v>1</v>
      </c>
      <c r="X39" s="43">
        <v>1</v>
      </c>
      <c r="Y39" s="43">
        <v>1.5</v>
      </c>
      <c r="Z39" s="43">
        <v>1.5</v>
      </c>
      <c r="AA39" s="43">
        <v>1.5</v>
      </c>
      <c r="AB39" s="43">
        <v>2</v>
      </c>
      <c r="AC39" s="43">
        <v>2</v>
      </c>
      <c r="AD39" s="43">
        <v>1.5</v>
      </c>
      <c r="AE39" s="43">
        <v>1.5</v>
      </c>
      <c r="AF39" s="43">
        <v>2</v>
      </c>
      <c r="AG39" s="43">
        <v>2</v>
      </c>
    </row>
    <row r="40" spans="1:45" ht="22.5">
      <c r="A40" s="47" t="s">
        <v>51</v>
      </c>
      <c r="B40" s="43">
        <f>V40+IF($O$4="yes",$O40,0)</f>
        <v>2</v>
      </c>
      <c r="C40" s="43">
        <f t="shared" si="16"/>
        <v>2</v>
      </c>
      <c r="D40" s="43">
        <f t="shared" si="16"/>
        <v>2</v>
      </c>
      <c r="E40" s="43">
        <f t="shared" si="16"/>
        <v>2.5</v>
      </c>
      <c r="F40" s="43">
        <f t="shared" si="16"/>
        <v>2.5</v>
      </c>
      <c r="G40" s="43">
        <f t="shared" si="16"/>
        <v>2.5</v>
      </c>
      <c r="H40" s="43">
        <f t="shared" si="16"/>
        <v>3</v>
      </c>
      <c r="I40" s="43">
        <f t="shared" si="16"/>
        <v>3</v>
      </c>
      <c r="J40" s="43">
        <f t="shared" si="16"/>
        <v>2.5</v>
      </c>
      <c r="K40" s="43">
        <f t="shared" si="16"/>
        <v>3</v>
      </c>
      <c r="L40" s="43">
        <f t="shared" si="16"/>
        <v>3</v>
      </c>
      <c r="M40" s="43">
        <f t="shared" si="16"/>
        <v>3</v>
      </c>
      <c r="N40" s="43"/>
      <c r="O40" s="43">
        <v>1</v>
      </c>
      <c r="P40" s="43"/>
      <c r="Q40" s="43"/>
      <c r="S40" s="46"/>
      <c r="T40" s="43">
        <v>1</v>
      </c>
      <c r="U40" s="43">
        <v>1</v>
      </c>
      <c r="V40" s="43">
        <v>1</v>
      </c>
      <c r="W40" s="43">
        <v>1</v>
      </c>
      <c r="X40" s="43">
        <v>1</v>
      </c>
      <c r="Y40" s="43">
        <v>1.5</v>
      </c>
      <c r="Z40" s="43">
        <v>1.5</v>
      </c>
      <c r="AA40" s="43">
        <v>1.5</v>
      </c>
      <c r="AB40" s="43">
        <v>2</v>
      </c>
      <c r="AC40" s="43">
        <v>2</v>
      </c>
      <c r="AD40" s="43">
        <v>1.5</v>
      </c>
      <c r="AE40" s="43">
        <v>2</v>
      </c>
      <c r="AF40" s="43">
        <v>2</v>
      </c>
      <c r="AG40" s="43">
        <v>2</v>
      </c>
    </row>
    <row r="41" spans="1:45">
      <c r="A41" s="47" t="s">
        <v>52</v>
      </c>
      <c r="B41" s="43">
        <f>V41+IF($O$4="yes",IF($O$3=2,$O41,0))</f>
        <v>2</v>
      </c>
      <c r="C41" s="43">
        <f t="shared" ref="C41:M41" si="17">W41+IF($O$4="yes",IF($O$3=2,$O41,0))</f>
        <v>4</v>
      </c>
      <c r="D41" s="43">
        <f t="shared" si="17"/>
        <v>7</v>
      </c>
      <c r="E41" s="43">
        <f t="shared" si="17"/>
        <v>10.5</v>
      </c>
      <c r="F41" s="43">
        <f t="shared" si="17"/>
        <v>10.5</v>
      </c>
      <c r="G41" s="43">
        <f t="shared" si="17"/>
        <v>10.5</v>
      </c>
      <c r="H41" s="43">
        <f t="shared" si="17"/>
        <v>14</v>
      </c>
      <c r="I41" s="43">
        <f t="shared" si="17"/>
        <v>14</v>
      </c>
      <c r="J41" s="43">
        <f t="shared" si="17"/>
        <v>14</v>
      </c>
      <c r="K41" s="43">
        <f t="shared" si="17"/>
        <v>14</v>
      </c>
      <c r="L41" s="43">
        <f t="shared" si="17"/>
        <v>14</v>
      </c>
      <c r="M41" s="43">
        <f t="shared" si="17"/>
        <v>14</v>
      </c>
      <c r="N41" s="43"/>
      <c r="O41" s="43">
        <v>7</v>
      </c>
      <c r="P41" s="43"/>
      <c r="Q41" s="43"/>
      <c r="S41" s="46"/>
      <c r="T41" s="43">
        <v>7</v>
      </c>
      <c r="U41" s="43">
        <v>7</v>
      </c>
      <c r="V41" s="43">
        <v>2</v>
      </c>
      <c r="W41" s="43">
        <v>4</v>
      </c>
      <c r="X41" s="43">
        <v>7</v>
      </c>
      <c r="Y41" s="43">
        <v>10.5</v>
      </c>
      <c r="Z41" s="43">
        <v>10.5</v>
      </c>
      <c r="AA41" s="43">
        <v>10.5</v>
      </c>
      <c r="AB41" s="43">
        <v>14</v>
      </c>
      <c r="AC41" s="43">
        <v>14</v>
      </c>
      <c r="AD41" s="43">
        <v>14</v>
      </c>
      <c r="AE41" s="43">
        <v>14</v>
      </c>
      <c r="AF41" s="43">
        <v>14</v>
      </c>
      <c r="AG41" s="43">
        <v>14</v>
      </c>
    </row>
    <row r="42" spans="1:45" ht="21">
      <c r="A42" s="44" t="s">
        <v>53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8"/>
      <c r="AG42" s="45"/>
    </row>
    <row r="43" spans="1:45">
      <c r="A43" s="47" t="s">
        <v>54</v>
      </c>
      <c r="B43" s="43">
        <f>V43</f>
        <v>1.5</v>
      </c>
      <c r="C43" s="43">
        <f t="shared" ref="C43:M43" si="18">W43</f>
        <v>2.5</v>
      </c>
      <c r="D43" s="43">
        <f t="shared" si="18"/>
        <v>3</v>
      </c>
      <c r="E43" s="43">
        <f t="shared" si="18"/>
        <v>4</v>
      </c>
      <c r="F43" s="43">
        <f t="shared" si="18"/>
        <v>4</v>
      </c>
      <c r="G43" s="43">
        <f t="shared" si="18"/>
        <v>4</v>
      </c>
      <c r="H43" s="43">
        <f t="shared" si="18"/>
        <v>4.5</v>
      </c>
      <c r="I43" s="43">
        <f t="shared" si="18"/>
        <v>5</v>
      </c>
      <c r="J43" s="43">
        <f t="shared" si="18"/>
        <v>5</v>
      </c>
      <c r="K43" s="43">
        <f t="shared" si="18"/>
        <v>5.5</v>
      </c>
      <c r="L43" s="43">
        <f t="shared" si="18"/>
        <v>5.5</v>
      </c>
      <c r="M43" s="43">
        <f t="shared" si="18"/>
        <v>5.5</v>
      </c>
      <c r="N43" s="43"/>
      <c r="O43" s="43"/>
      <c r="P43" s="43"/>
      <c r="Q43" s="43"/>
      <c r="V43" s="43">
        <v>1.5</v>
      </c>
      <c r="W43" s="43">
        <v>2.5</v>
      </c>
      <c r="X43" s="43">
        <v>3</v>
      </c>
      <c r="Y43" s="43">
        <v>4</v>
      </c>
      <c r="Z43" s="43">
        <v>4</v>
      </c>
      <c r="AA43" s="43">
        <v>4</v>
      </c>
      <c r="AB43" s="43">
        <v>4.5</v>
      </c>
      <c r="AC43" s="43">
        <v>5</v>
      </c>
      <c r="AD43" s="43">
        <v>5</v>
      </c>
      <c r="AE43" s="43">
        <v>5.5</v>
      </c>
      <c r="AF43" s="43">
        <v>5.5</v>
      </c>
      <c r="AG43" s="43">
        <v>5.5</v>
      </c>
    </row>
    <row r="44" spans="1:45">
      <c r="A44" s="47" t="s">
        <v>49</v>
      </c>
      <c r="B44" s="43">
        <f>V44+IF($O$4="yes",IF($O$3=3,$O44,0))</f>
        <v>9</v>
      </c>
      <c r="C44" s="43">
        <f t="shared" ref="C44:M44" si="19">W44+IF($O$4="yes",IF($O$3=3,$O44,0))</f>
        <v>9</v>
      </c>
      <c r="D44" s="43">
        <f t="shared" si="19"/>
        <v>10</v>
      </c>
      <c r="E44" s="43">
        <f t="shared" si="19"/>
        <v>10</v>
      </c>
      <c r="F44" s="43">
        <f t="shared" si="19"/>
        <v>10</v>
      </c>
      <c r="G44" s="43">
        <f t="shared" si="19"/>
        <v>10</v>
      </c>
      <c r="H44" s="43">
        <f t="shared" si="19"/>
        <v>10</v>
      </c>
      <c r="I44" s="43">
        <f t="shared" si="19"/>
        <v>10</v>
      </c>
      <c r="J44" s="43">
        <f t="shared" si="19"/>
        <v>10</v>
      </c>
      <c r="K44" s="43">
        <f t="shared" si="19"/>
        <v>10</v>
      </c>
      <c r="L44" s="43">
        <f t="shared" si="19"/>
        <v>10</v>
      </c>
      <c r="M44" s="43">
        <f t="shared" si="19"/>
        <v>12</v>
      </c>
      <c r="N44" s="43"/>
      <c r="O44" s="43">
        <v>7</v>
      </c>
      <c r="P44" s="43"/>
      <c r="Q44" s="43"/>
      <c r="S44" s="46"/>
      <c r="T44" s="43">
        <v>7</v>
      </c>
      <c r="U44" s="43">
        <v>7</v>
      </c>
      <c r="V44" s="43">
        <v>2</v>
      </c>
      <c r="W44" s="43">
        <v>2</v>
      </c>
      <c r="X44" s="43">
        <v>3</v>
      </c>
      <c r="Y44" s="43">
        <v>3</v>
      </c>
      <c r="Z44" s="43">
        <v>3</v>
      </c>
      <c r="AA44" s="43">
        <v>3</v>
      </c>
      <c r="AB44" s="43">
        <v>3</v>
      </c>
      <c r="AC44" s="43">
        <v>3</v>
      </c>
      <c r="AD44" s="43">
        <v>3</v>
      </c>
      <c r="AE44" s="43">
        <v>3</v>
      </c>
      <c r="AF44" s="43">
        <v>3</v>
      </c>
      <c r="AG44" s="43">
        <v>5</v>
      </c>
    </row>
    <row r="45" spans="1:45">
      <c r="A45" s="47" t="s">
        <v>55</v>
      </c>
      <c r="B45" s="43">
        <f>V45+IF($O$4="yes",$O45,0)</f>
        <v>2</v>
      </c>
      <c r="C45" s="43">
        <f t="shared" ref="C45:M45" si="20">W45+IF($O$4="yes",$O45,0)</f>
        <v>2</v>
      </c>
      <c r="D45" s="43">
        <f t="shared" si="20"/>
        <v>2.5</v>
      </c>
      <c r="E45" s="43">
        <f t="shared" si="20"/>
        <v>3</v>
      </c>
      <c r="F45" s="43">
        <f t="shared" si="20"/>
        <v>3</v>
      </c>
      <c r="G45" s="43">
        <f t="shared" si="20"/>
        <v>3</v>
      </c>
      <c r="H45" s="43">
        <f t="shared" si="20"/>
        <v>3</v>
      </c>
      <c r="I45" s="43">
        <f t="shared" si="20"/>
        <v>3</v>
      </c>
      <c r="J45" s="43">
        <f t="shared" si="20"/>
        <v>4</v>
      </c>
      <c r="K45" s="43">
        <f t="shared" si="20"/>
        <v>4</v>
      </c>
      <c r="L45" s="43">
        <f t="shared" si="20"/>
        <v>4</v>
      </c>
      <c r="M45" s="43">
        <f t="shared" si="20"/>
        <v>4</v>
      </c>
      <c r="N45" s="43"/>
      <c r="O45" s="43">
        <v>1</v>
      </c>
      <c r="P45" s="43"/>
      <c r="Q45" s="43"/>
      <c r="T45">
        <v>1</v>
      </c>
      <c r="U45">
        <v>1</v>
      </c>
      <c r="V45" s="43">
        <v>1</v>
      </c>
      <c r="W45" s="43">
        <v>1</v>
      </c>
      <c r="X45" s="43">
        <v>1.5</v>
      </c>
      <c r="Y45" s="43">
        <v>2</v>
      </c>
      <c r="Z45" s="43">
        <v>2</v>
      </c>
      <c r="AA45" s="43">
        <v>2</v>
      </c>
      <c r="AB45" s="43">
        <v>2</v>
      </c>
      <c r="AC45" s="43">
        <v>2</v>
      </c>
      <c r="AD45" s="43">
        <v>3</v>
      </c>
      <c r="AE45" s="43">
        <v>3</v>
      </c>
      <c r="AF45" s="43">
        <v>3</v>
      </c>
      <c r="AG45" s="43">
        <v>3</v>
      </c>
    </row>
    <row r="46" spans="1:45">
      <c r="A46" s="47" t="s">
        <v>52</v>
      </c>
      <c r="B46" s="43">
        <f>V46</f>
        <v>1</v>
      </c>
      <c r="C46" s="43">
        <f t="shared" ref="C46:M46" si="21">W46</f>
        <v>4</v>
      </c>
      <c r="D46" s="43">
        <f t="shared" si="21"/>
        <v>3</v>
      </c>
      <c r="E46" s="43">
        <f t="shared" si="21"/>
        <v>7</v>
      </c>
      <c r="F46" s="43">
        <f t="shared" si="21"/>
        <v>7</v>
      </c>
      <c r="G46" s="43">
        <f t="shared" si="21"/>
        <v>7</v>
      </c>
      <c r="H46" s="43">
        <f t="shared" si="21"/>
        <v>7</v>
      </c>
      <c r="I46" s="43">
        <f t="shared" si="21"/>
        <v>7</v>
      </c>
      <c r="J46" s="43">
        <f t="shared" si="21"/>
        <v>7</v>
      </c>
      <c r="K46" s="43">
        <f t="shared" si="21"/>
        <v>7</v>
      </c>
      <c r="L46" s="43">
        <f t="shared" si="21"/>
        <v>7</v>
      </c>
      <c r="M46" s="43">
        <f t="shared" si="21"/>
        <v>10</v>
      </c>
      <c r="N46" s="43"/>
      <c r="O46" s="43"/>
      <c r="P46" s="43"/>
      <c r="Q46" s="43"/>
      <c r="V46" s="43">
        <v>1</v>
      </c>
      <c r="W46" s="43">
        <v>4</v>
      </c>
      <c r="X46" s="43">
        <v>3</v>
      </c>
      <c r="Y46" s="43">
        <v>7</v>
      </c>
      <c r="Z46" s="43">
        <v>7</v>
      </c>
      <c r="AA46" s="43">
        <v>7</v>
      </c>
      <c r="AB46" s="43">
        <v>7</v>
      </c>
      <c r="AC46" s="43">
        <v>7</v>
      </c>
      <c r="AD46" s="43">
        <v>7</v>
      </c>
      <c r="AE46" s="43">
        <v>7</v>
      </c>
      <c r="AF46" s="43">
        <v>7</v>
      </c>
      <c r="AG46" s="43">
        <v>10</v>
      </c>
    </row>
    <row r="47" spans="1:45">
      <c r="A47" s="42" t="s">
        <v>56</v>
      </c>
      <c r="B47" s="43">
        <f>V47+IF($O$4="yes",$O47,0)</f>
        <v>4</v>
      </c>
      <c r="C47" s="43">
        <f t="shared" ref="C47:M48" si="22">W47+IF($O$4="yes",$O47,0)</f>
        <v>5</v>
      </c>
      <c r="D47" s="43">
        <f t="shared" si="22"/>
        <v>6</v>
      </c>
      <c r="E47" s="43">
        <f t="shared" si="22"/>
        <v>6</v>
      </c>
      <c r="F47" s="43">
        <f t="shared" si="22"/>
        <v>7</v>
      </c>
      <c r="G47" s="43">
        <f t="shared" si="22"/>
        <v>8</v>
      </c>
      <c r="H47" s="43">
        <f t="shared" si="22"/>
        <v>8</v>
      </c>
      <c r="I47" s="43">
        <f t="shared" si="22"/>
        <v>9.5</v>
      </c>
      <c r="J47" s="43">
        <f t="shared" si="22"/>
        <v>10</v>
      </c>
      <c r="K47" s="43">
        <f t="shared" si="22"/>
        <v>11</v>
      </c>
      <c r="L47" s="43">
        <f t="shared" si="22"/>
        <v>12</v>
      </c>
      <c r="M47" s="43">
        <f t="shared" si="22"/>
        <v>12</v>
      </c>
      <c r="N47" s="43"/>
      <c r="O47" s="43">
        <f>IF(O7="6 months or younger",3,1.5)</f>
        <v>3</v>
      </c>
      <c r="P47" s="43"/>
      <c r="Q47" s="43"/>
      <c r="T47" s="43">
        <v>3</v>
      </c>
      <c r="U47" s="43">
        <v>1.5</v>
      </c>
      <c r="V47" s="367">
        <f>IF(AND('I&amp;O'!$C$49=3,'I&amp;O'!$D$122=100%),AH47-2,AH47)</f>
        <v>1</v>
      </c>
      <c r="W47" s="367">
        <f>IF(AND('I&amp;O'!$C$49=3,'I&amp;O'!$D$122=100%),AI47-2,AI47)</f>
        <v>2</v>
      </c>
      <c r="X47" s="367">
        <f>IF(AND('I&amp;O'!$C$49=3,'I&amp;O'!$D$122=100%),AJ47-2,AJ47)</f>
        <v>3</v>
      </c>
      <c r="Y47" s="367">
        <f>IF(AND('I&amp;O'!$C$49=3,'I&amp;O'!$D$122=100%),AK47-2,AK47)</f>
        <v>3</v>
      </c>
      <c r="Z47" s="367">
        <f>IF(AND('I&amp;O'!$C$49=3,'I&amp;O'!$D$122=100%),AL47-2,AL47)</f>
        <v>4</v>
      </c>
      <c r="AA47" s="367">
        <f>IF(AND('I&amp;O'!$C$49=3,'I&amp;O'!$D$122=100%),AM47-2,AM47)</f>
        <v>5</v>
      </c>
      <c r="AB47" s="367">
        <f>IF(AND('I&amp;O'!$C$49=3,'I&amp;O'!$D$122=100%),AN47-2,AN47)</f>
        <v>5</v>
      </c>
      <c r="AC47" s="367">
        <f>IF(AND('I&amp;O'!$C$49=3,'I&amp;O'!$D$122=100%),AO47-2,AO47)</f>
        <v>6.5</v>
      </c>
      <c r="AD47" s="367">
        <f>IF(AND('I&amp;O'!$C$49=3,'I&amp;O'!$D$122=100%),AP47-2,AP47)</f>
        <v>7</v>
      </c>
      <c r="AE47" s="367">
        <f>IF(AND('I&amp;O'!$C$49=3,'I&amp;O'!$D$122=100%),AQ47-2,AQ47)</f>
        <v>8</v>
      </c>
      <c r="AF47" s="367">
        <f>IF(AND('I&amp;O'!$C$49=3,'I&amp;O'!$D$122=100%),AR47-2,AR47)</f>
        <v>9</v>
      </c>
      <c r="AG47" s="367">
        <f>IF(AND('I&amp;O'!$C$49=3,'I&amp;O'!$D$122=100%),AS47-2,AS47)</f>
        <v>9</v>
      </c>
      <c r="AH47" s="43">
        <v>3</v>
      </c>
      <c r="AI47" s="43">
        <v>4</v>
      </c>
      <c r="AJ47" s="43">
        <v>5</v>
      </c>
      <c r="AK47" s="43">
        <v>5</v>
      </c>
      <c r="AL47" s="43">
        <v>6</v>
      </c>
      <c r="AM47" s="43">
        <v>7</v>
      </c>
      <c r="AN47" s="43">
        <v>7</v>
      </c>
      <c r="AO47" s="43">
        <v>8.5</v>
      </c>
      <c r="AP47" s="43">
        <v>9</v>
      </c>
      <c r="AQ47" s="43">
        <v>10</v>
      </c>
      <c r="AR47" s="43">
        <v>11</v>
      </c>
      <c r="AS47" s="43">
        <v>11</v>
      </c>
    </row>
    <row r="48" spans="1:45">
      <c r="A48" s="42" t="s">
        <v>57</v>
      </c>
      <c r="B48" s="43">
        <f>V48+IF($O$4="yes",$O48,0)</f>
        <v>6</v>
      </c>
      <c r="C48" s="43">
        <f t="shared" si="22"/>
        <v>7</v>
      </c>
      <c r="D48" s="43">
        <f t="shared" si="22"/>
        <v>8</v>
      </c>
      <c r="E48" s="43">
        <f t="shared" si="22"/>
        <v>8</v>
      </c>
      <c r="F48" s="43">
        <f t="shared" si="22"/>
        <v>9</v>
      </c>
      <c r="G48" s="43">
        <f t="shared" si="22"/>
        <v>10</v>
      </c>
      <c r="H48" s="43">
        <f t="shared" si="22"/>
        <v>10</v>
      </c>
      <c r="I48" s="43">
        <f t="shared" si="22"/>
        <v>12</v>
      </c>
      <c r="J48" s="43">
        <f t="shared" si="22"/>
        <v>13</v>
      </c>
      <c r="K48" s="43">
        <f t="shared" si="22"/>
        <v>14</v>
      </c>
      <c r="L48" s="43">
        <f t="shared" si="22"/>
        <v>15</v>
      </c>
      <c r="M48" s="43">
        <f t="shared" si="22"/>
        <v>15</v>
      </c>
      <c r="N48" s="43"/>
      <c r="O48" s="43">
        <f>IF(O7="6 months or younger",3,1.5)</f>
        <v>3</v>
      </c>
      <c r="P48" s="43"/>
      <c r="Q48" s="43"/>
      <c r="T48" s="43">
        <v>3</v>
      </c>
      <c r="U48" s="43">
        <v>1.5</v>
      </c>
      <c r="V48" s="367">
        <f>IF(AND('I&amp;O'!$C$71&lt;3,'I&amp;O'!$D$122=100%),AH48-1,AH48)</f>
        <v>3</v>
      </c>
      <c r="W48" s="367">
        <f>IF(AND('I&amp;O'!$C$71&lt;3,'I&amp;O'!$D$122=100%),AI48-1,AI48)</f>
        <v>4</v>
      </c>
      <c r="X48" s="367">
        <f>IF(AND('I&amp;O'!$C$71&lt;3,'I&amp;O'!$D$122=100%),AJ48-1,AJ48)</f>
        <v>5</v>
      </c>
      <c r="Y48" s="367">
        <f>IF(AND('I&amp;O'!$C$71&lt;3,'I&amp;O'!$D$122=100%),AK48-1,AK48)</f>
        <v>5</v>
      </c>
      <c r="Z48" s="367">
        <f>IF(AND('I&amp;O'!$C$71&lt;3,'I&amp;O'!$D$122=100%),AL48-1,AL48)</f>
        <v>6</v>
      </c>
      <c r="AA48" s="367">
        <f>IF(AND('I&amp;O'!$C$71&lt;3,'I&amp;O'!$D$122=100%),AM48-1,AM48)</f>
        <v>7</v>
      </c>
      <c r="AB48" s="367">
        <f>IF(AND('I&amp;O'!$C$71&lt;3,'I&amp;O'!$D$122=100%),AN48-1,AN48)</f>
        <v>7</v>
      </c>
      <c r="AC48" s="367">
        <f>IF(AND('I&amp;O'!$C$71&lt;3,'I&amp;O'!$D$122=100%),AO48-1,AO48)</f>
        <v>9</v>
      </c>
      <c r="AD48" s="367">
        <f>IF(AND('I&amp;O'!$C$71&lt;3,'I&amp;O'!$D$122=100%),AP48-1,AP48)</f>
        <v>10</v>
      </c>
      <c r="AE48" s="367">
        <f>IF(AND('I&amp;O'!$C$71&lt;3,'I&amp;O'!$D$122=100%),AQ48-1,AQ48)</f>
        <v>11</v>
      </c>
      <c r="AF48" s="367">
        <f>IF(AND('I&amp;O'!$C$71&lt;3,'I&amp;O'!$D$122=100%),AR48-1,AR48)</f>
        <v>12</v>
      </c>
      <c r="AG48" s="367">
        <f>IF(AND('I&amp;O'!$C$71&lt;3,'I&amp;O'!$D$122=100%),AS48-1,AS48)</f>
        <v>12</v>
      </c>
      <c r="AH48" s="43">
        <v>3</v>
      </c>
      <c r="AI48" s="43">
        <v>4</v>
      </c>
      <c r="AJ48" s="43">
        <v>5</v>
      </c>
      <c r="AK48" s="43">
        <v>5</v>
      </c>
      <c r="AL48" s="43">
        <v>6</v>
      </c>
      <c r="AM48" s="43">
        <v>7</v>
      </c>
      <c r="AN48" s="360">
        <v>7</v>
      </c>
      <c r="AO48" s="43">
        <v>9</v>
      </c>
      <c r="AP48" s="43">
        <v>10</v>
      </c>
      <c r="AQ48" s="43">
        <v>11</v>
      </c>
      <c r="AR48" s="43">
        <v>12</v>
      </c>
      <c r="AS48" s="43">
        <v>12</v>
      </c>
    </row>
    <row r="49" spans="1:33">
      <c r="A49" s="42" t="s">
        <v>58</v>
      </c>
      <c r="B49" s="43">
        <f>V49</f>
        <v>0</v>
      </c>
      <c r="C49" s="43">
        <f t="shared" ref="C49:M49" si="23">W49</f>
        <v>0</v>
      </c>
      <c r="D49" s="43">
        <f t="shared" si="23"/>
        <v>0</v>
      </c>
      <c r="E49" s="43">
        <f t="shared" si="23"/>
        <v>0</v>
      </c>
      <c r="F49" s="43">
        <f t="shared" si="23"/>
        <v>0</v>
      </c>
      <c r="G49" s="43">
        <f t="shared" si="23"/>
        <v>0</v>
      </c>
      <c r="H49" s="43">
        <f t="shared" si="23"/>
        <v>0</v>
      </c>
      <c r="I49" s="43">
        <f t="shared" si="23"/>
        <v>0</v>
      </c>
      <c r="J49" s="43">
        <f t="shared" si="23"/>
        <v>0</v>
      </c>
      <c r="K49" s="43">
        <f t="shared" si="23"/>
        <v>0</v>
      </c>
      <c r="L49" s="43">
        <f t="shared" si="23"/>
        <v>0</v>
      </c>
      <c r="M49" s="43">
        <f t="shared" si="23"/>
        <v>0</v>
      </c>
      <c r="N49" s="43"/>
      <c r="O49" s="43"/>
      <c r="P49" s="43"/>
      <c r="Q49" s="43"/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</row>
    <row r="50" spans="1:33">
      <c r="V50" s="372">
        <v>3</v>
      </c>
      <c r="W50" s="372">
        <v>4</v>
      </c>
      <c r="X50" s="372">
        <v>5</v>
      </c>
      <c r="Y50" s="372">
        <v>6</v>
      </c>
      <c r="Z50" s="372">
        <v>7</v>
      </c>
      <c r="AA50" s="372">
        <v>8</v>
      </c>
      <c r="AB50" s="372">
        <v>9</v>
      </c>
      <c r="AC50" s="372">
        <v>10</v>
      </c>
      <c r="AD50" s="372">
        <v>10</v>
      </c>
      <c r="AE50" s="372">
        <v>11</v>
      </c>
      <c r="AF50" s="372">
        <v>12</v>
      </c>
      <c r="AG50" s="372">
        <v>13</v>
      </c>
    </row>
    <row r="51" spans="1:33">
      <c r="A51" s="50" t="s">
        <v>60</v>
      </c>
      <c r="B51" s="50">
        <v>1000</v>
      </c>
      <c r="C51" s="50">
        <v>1200</v>
      </c>
      <c r="D51" s="50">
        <v>1400</v>
      </c>
      <c r="E51" s="50">
        <v>1600</v>
      </c>
      <c r="F51" s="50">
        <v>1800</v>
      </c>
      <c r="G51" s="50">
        <v>2000</v>
      </c>
      <c r="H51" s="50">
        <v>2200</v>
      </c>
      <c r="I51" s="50">
        <v>2400</v>
      </c>
      <c r="J51" s="50">
        <v>2600</v>
      </c>
      <c r="K51" s="50">
        <v>2800</v>
      </c>
      <c r="L51" s="50">
        <v>3000</v>
      </c>
      <c r="M51" s="50">
        <v>3200</v>
      </c>
      <c r="N51" s="50"/>
      <c r="O51" s="50"/>
      <c r="P51" s="50"/>
      <c r="Q51" s="50"/>
    </row>
    <row r="52" spans="1:3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</row>
    <row r="53" spans="1:33">
      <c r="A53" s="41" t="s">
        <v>41</v>
      </c>
      <c r="V53" s="1">
        <v>1000</v>
      </c>
      <c r="W53" s="1">
        <v>1200</v>
      </c>
      <c r="X53" s="1">
        <v>1400</v>
      </c>
      <c r="Y53" s="1">
        <v>1600</v>
      </c>
      <c r="Z53" s="1">
        <v>1800</v>
      </c>
      <c r="AA53" s="1">
        <v>2000</v>
      </c>
      <c r="AB53" s="1">
        <v>2200</v>
      </c>
      <c r="AC53" s="1">
        <v>2400</v>
      </c>
      <c r="AD53" s="1">
        <v>2600</v>
      </c>
      <c r="AE53" s="1">
        <v>2800</v>
      </c>
      <c r="AF53" s="1">
        <v>3000</v>
      </c>
      <c r="AG53" s="1">
        <v>3200</v>
      </c>
    </row>
    <row r="54" spans="1:33">
      <c r="A54" s="42" t="s">
        <v>42</v>
      </c>
      <c r="B54" s="43">
        <f>V54</f>
        <v>4</v>
      </c>
      <c r="C54" s="43">
        <f t="shared" ref="C54:M56" si="24">W54</f>
        <v>4.5</v>
      </c>
      <c r="D54" s="43">
        <f t="shared" si="24"/>
        <v>5</v>
      </c>
      <c r="E54" s="43">
        <f t="shared" si="24"/>
        <v>6</v>
      </c>
      <c r="F54" s="43">
        <f t="shared" si="24"/>
        <v>6</v>
      </c>
      <c r="G54" s="43">
        <f t="shared" si="24"/>
        <v>7</v>
      </c>
      <c r="H54" s="43">
        <f t="shared" si="24"/>
        <v>8</v>
      </c>
      <c r="I54" s="43">
        <f t="shared" si="24"/>
        <v>9</v>
      </c>
      <c r="J54" s="43">
        <f t="shared" si="24"/>
        <v>9</v>
      </c>
      <c r="K54" s="43">
        <f t="shared" si="24"/>
        <v>11</v>
      </c>
      <c r="L54" s="43">
        <f t="shared" si="24"/>
        <v>11</v>
      </c>
      <c r="M54" s="43">
        <f t="shared" si="24"/>
        <v>12</v>
      </c>
      <c r="N54" s="43"/>
      <c r="O54" s="43"/>
      <c r="P54" s="43"/>
      <c r="Q54" s="43"/>
      <c r="V54" s="43">
        <v>4</v>
      </c>
      <c r="W54" s="43">
        <v>4.5</v>
      </c>
      <c r="X54" s="43">
        <v>5</v>
      </c>
      <c r="Y54" s="43">
        <v>6</v>
      </c>
      <c r="Z54" s="43">
        <v>6</v>
      </c>
      <c r="AA54" s="43">
        <v>7</v>
      </c>
      <c r="AB54" s="43">
        <v>8</v>
      </c>
      <c r="AC54" s="43">
        <v>9</v>
      </c>
      <c r="AD54" s="43">
        <v>9</v>
      </c>
      <c r="AE54" s="43">
        <v>11</v>
      </c>
      <c r="AF54" s="43">
        <v>11</v>
      </c>
      <c r="AG54" s="361">
        <v>12</v>
      </c>
    </row>
    <row r="55" spans="1:33">
      <c r="A55" s="42" t="s">
        <v>43</v>
      </c>
      <c r="B55" s="43">
        <f>V55</f>
        <v>2</v>
      </c>
      <c r="C55" s="43">
        <f t="shared" si="24"/>
        <v>3</v>
      </c>
      <c r="D55" s="43">
        <f t="shared" si="24"/>
        <v>3.5</v>
      </c>
      <c r="E55" s="43">
        <f t="shared" si="24"/>
        <v>3.5</v>
      </c>
      <c r="F55" s="43">
        <f t="shared" si="24"/>
        <v>4</v>
      </c>
      <c r="G55" s="43">
        <f t="shared" si="24"/>
        <v>4.5</v>
      </c>
      <c r="H55" s="43">
        <f t="shared" si="24"/>
        <v>4.5</v>
      </c>
      <c r="I55" s="43">
        <f t="shared" si="24"/>
        <v>4.5</v>
      </c>
      <c r="J55" s="43">
        <f t="shared" si="24"/>
        <v>5.5</v>
      </c>
      <c r="K55" s="43">
        <f t="shared" si="24"/>
        <v>6</v>
      </c>
      <c r="L55" s="43">
        <f t="shared" si="24"/>
        <v>6</v>
      </c>
      <c r="M55" s="43">
        <f t="shared" si="24"/>
        <v>6</v>
      </c>
      <c r="N55" s="43"/>
      <c r="O55" s="43"/>
      <c r="P55" s="43"/>
      <c r="Q55" s="43"/>
      <c r="V55" s="43">
        <v>2</v>
      </c>
      <c r="W55" s="43">
        <v>3</v>
      </c>
      <c r="X55" s="43">
        <v>3.5</v>
      </c>
      <c r="Y55" s="43">
        <v>3.5</v>
      </c>
      <c r="Z55" s="43">
        <v>4</v>
      </c>
      <c r="AA55" s="43">
        <v>4.5</v>
      </c>
      <c r="AB55" s="43">
        <v>4.5</v>
      </c>
      <c r="AC55" s="43">
        <v>4.5</v>
      </c>
      <c r="AD55" s="43">
        <v>5.5</v>
      </c>
      <c r="AE55" s="43">
        <v>6</v>
      </c>
      <c r="AF55" s="43">
        <v>6</v>
      </c>
      <c r="AG55" s="361">
        <v>6</v>
      </c>
    </row>
    <row r="56" spans="1:33">
      <c r="A56" s="42" t="s">
        <v>44</v>
      </c>
      <c r="B56" s="43">
        <f>V56</f>
        <v>2</v>
      </c>
      <c r="C56" s="43">
        <f t="shared" si="24"/>
        <v>2</v>
      </c>
      <c r="D56" s="43">
        <f t="shared" si="24"/>
        <v>2.5</v>
      </c>
      <c r="E56" s="43">
        <f t="shared" si="24"/>
        <v>3</v>
      </c>
      <c r="F56" s="43">
        <f t="shared" si="24"/>
        <v>4</v>
      </c>
      <c r="G56" s="43">
        <f t="shared" si="24"/>
        <v>4</v>
      </c>
      <c r="H56" s="43">
        <f t="shared" si="24"/>
        <v>4</v>
      </c>
      <c r="I56" s="43">
        <f t="shared" si="24"/>
        <v>5</v>
      </c>
      <c r="J56" s="43">
        <f t="shared" si="24"/>
        <v>5</v>
      </c>
      <c r="K56" s="43">
        <f t="shared" si="24"/>
        <v>5</v>
      </c>
      <c r="L56" s="43">
        <f t="shared" si="24"/>
        <v>6</v>
      </c>
      <c r="M56" s="43">
        <f t="shared" si="24"/>
        <v>6</v>
      </c>
      <c r="N56" s="43"/>
      <c r="O56" s="43"/>
      <c r="P56" s="43"/>
      <c r="Q56" s="43"/>
      <c r="V56" s="43">
        <v>2</v>
      </c>
      <c r="W56" s="43">
        <v>2</v>
      </c>
      <c r="X56" s="43">
        <v>2.5</v>
      </c>
      <c r="Y56" s="43">
        <v>3</v>
      </c>
      <c r="Z56" s="43">
        <v>4</v>
      </c>
      <c r="AA56" s="43">
        <v>4</v>
      </c>
      <c r="AB56" s="43">
        <v>4</v>
      </c>
      <c r="AC56" s="43">
        <v>5</v>
      </c>
      <c r="AD56" s="43">
        <v>5</v>
      </c>
      <c r="AE56" s="43">
        <v>5</v>
      </c>
      <c r="AF56" s="43">
        <v>6</v>
      </c>
      <c r="AG56" s="361">
        <v>6</v>
      </c>
    </row>
    <row r="57" spans="1:33">
      <c r="A57" s="42" t="s">
        <v>45</v>
      </c>
      <c r="B57" s="43">
        <f>V57+IF($O$4="yes",$O57,0)</f>
        <v>1.5</v>
      </c>
      <c r="C57" s="43">
        <f t="shared" ref="C57:M59" si="25">W57+IF($O$4="yes",$O57,0)</f>
        <v>1.5</v>
      </c>
      <c r="D57" s="43">
        <f t="shared" si="25"/>
        <v>1.5</v>
      </c>
      <c r="E57" s="43">
        <f t="shared" si="25"/>
        <v>1.5</v>
      </c>
      <c r="F57" s="43">
        <f t="shared" si="25"/>
        <v>1.8</v>
      </c>
      <c r="G57" s="43">
        <f t="shared" si="25"/>
        <v>2</v>
      </c>
      <c r="H57" s="43">
        <f t="shared" si="25"/>
        <v>1.8</v>
      </c>
      <c r="I57" s="43">
        <f t="shared" si="25"/>
        <v>1.8</v>
      </c>
      <c r="J57" s="43">
        <f t="shared" si="25"/>
        <v>2</v>
      </c>
      <c r="K57" s="43">
        <f t="shared" si="25"/>
        <v>2</v>
      </c>
      <c r="L57" s="43">
        <f t="shared" si="25"/>
        <v>2.5</v>
      </c>
      <c r="M57" s="43">
        <f t="shared" si="25"/>
        <v>2.5</v>
      </c>
      <c r="N57" s="43"/>
      <c r="O57" s="43">
        <v>1</v>
      </c>
      <c r="P57" s="43"/>
      <c r="Q57" s="43"/>
      <c r="R57" s="46"/>
      <c r="S57" s="46"/>
      <c r="T57" s="43"/>
      <c r="U57" s="43"/>
      <c r="V57" s="43">
        <v>0.5</v>
      </c>
      <c r="W57" s="43">
        <v>0.5</v>
      </c>
      <c r="X57" s="43">
        <v>0.5</v>
      </c>
      <c r="Y57" s="43">
        <v>0.5</v>
      </c>
      <c r="Z57" s="43">
        <v>0.8</v>
      </c>
      <c r="AA57" s="43">
        <v>1</v>
      </c>
      <c r="AB57" s="43">
        <v>0.8</v>
      </c>
      <c r="AC57" s="43">
        <v>0.8</v>
      </c>
      <c r="AD57" s="43">
        <v>1</v>
      </c>
      <c r="AE57" s="43">
        <v>1</v>
      </c>
      <c r="AF57" s="43">
        <v>1.5</v>
      </c>
      <c r="AG57" s="361">
        <v>1.5</v>
      </c>
    </row>
    <row r="58" spans="1:33">
      <c r="A58" s="42" t="s">
        <v>46</v>
      </c>
      <c r="B58" s="43">
        <f>V58+IF($O$4="yes",$O58,0)</f>
        <v>1.5</v>
      </c>
      <c r="C58" s="43">
        <f t="shared" si="25"/>
        <v>1.5</v>
      </c>
      <c r="D58" s="43">
        <f t="shared" si="25"/>
        <v>1.5</v>
      </c>
      <c r="E58" s="43">
        <f t="shared" si="25"/>
        <v>1.5</v>
      </c>
      <c r="F58" s="43">
        <f t="shared" si="25"/>
        <v>1.8</v>
      </c>
      <c r="G58" s="43">
        <f t="shared" si="25"/>
        <v>2</v>
      </c>
      <c r="H58" s="43">
        <f t="shared" si="25"/>
        <v>1.8</v>
      </c>
      <c r="I58" s="43">
        <f t="shared" si="25"/>
        <v>1.8</v>
      </c>
      <c r="J58" s="43">
        <f t="shared" si="25"/>
        <v>2</v>
      </c>
      <c r="K58" s="43">
        <f t="shared" si="25"/>
        <v>2</v>
      </c>
      <c r="L58" s="43">
        <f t="shared" si="25"/>
        <v>2.5</v>
      </c>
      <c r="M58" s="43">
        <f t="shared" si="25"/>
        <v>2.5</v>
      </c>
      <c r="N58" s="43"/>
      <c r="O58" s="43">
        <v>1</v>
      </c>
      <c r="P58" s="43"/>
      <c r="Q58" s="43"/>
      <c r="R58" s="46"/>
      <c r="S58" s="46"/>
      <c r="T58" s="43"/>
      <c r="U58" s="43"/>
      <c r="V58" s="43">
        <v>0.5</v>
      </c>
      <c r="W58" s="43">
        <v>0.5</v>
      </c>
      <c r="X58" s="43">
        <v>0.5</v>
      </c>
      <c r="Y58" s="43">
        <v>0.5</v>
      </c>
      <c r="Z58" s="43">
        <v>0.8</v>
      </c>
      <c r="AA58" s="43">
        <v>1</v>
      </c>
      <c r="AB58" s="43">
        <v>0.8</v>
      </c>
      <c r="AC58" s="43">
        <v>0.8</v>
      </c>
      <c r="AD58" s="43">
        <v>1</v>
      </c>
      <c r="AE58" s="43">
        <v>1</v>
      </c>
      <c r="AF58" s="43">
        <v>1.5</v>
      </c>
      <c r="AG58" s="361">
        <v>1.5</v>
      </c>
    </row>
    <row r="59" spans="1:33">
      <c r="A59" s="42" t="s">
        <v>47</v>
      </c>
      <c r="B59" s="43">
        <f>V59+IF($O$4="yes",$O59,0)</f>
        <v>3</v>
      </c>
      <c r="C59" s="43">
        <f t="shared" si="25"/>
        <v>3</v>
      </c>
      <c r="D59" s="43">
        <f t="shared" si="25"/>
        <v>3</v>
      </c>
      <c r="E59" s="43">
        <f t="shared" si="25"/>
        <v>3.5</v>
      </c>
      <c r="F59" s="43">
        <f t="shared" si="25"/>
        <v>3.5</v>
      </c>
      <c r="G59" s="43">
        <f t="shared" si="25"/>
        <v>3.5</v>
      </c>
      <c r="H59" s="43">
        <f t="shared" si="25"/>
        <v>4</v>
      </c>
      <c r="I59" s="43">
        <f t="shared" si="25"/>
        <v>4</v>
      </c>
      <c r="J59" s="43">
        <f t="shared" si="25"/>
        <v>4</v>
      </c>
      <c r="K59" s="43">
        <f t="shared" si="25"/>
        <v>4</v>
      </c>
      <c r="L59" s="43">
        <f t="shared" si="25"/>
        <v>4</v>
      </c>
      <c r="M59" s="43">
        <f t="shared" si="25"/>
        <v>4</v>
      </c>
      <c r="N59" s="43"/>
      <c r="O59" s="43">
        <v>1</v>
      </c>
      <c r="P59" s="43"/>
      <c r="Q59" s="43"/>
      <c r="R59" s="46"/>
      <c r="S59" s="46"/>
      <c r="T59" s="43"/>
      <c r="U59" s="43"/>
      <c r="V59" s="43">
        <v>2</v>
      </c>
      <c r="W59" s="43">
        <v>2</v>
      </c>
      <c r="X59" s="43">
        <v>2</v>
      </c>
      <c r="Y59" s="43">
        <v>2.5</v>
      </c>
      <c r="Z59" s="43">
        <v>2.5</v>
      </c>
      <c r="AA59" s="43">
        <v>2.5</v>
      </c>
      <c r="AB59" s="43">
        <v>3</v>
      </c>
      <c r="AC59" s="43">
        <v>3</v>
      </c>
      <c r="AD59" s="43">
        <v>3</v>
      </c>
      <c r="AE59" s="43">
        <v>3</v>
      </c>
      <c r="AF59" s="43">
        <v>3</v>
      </c>
      <c r="AG59" s="361">
        <v>3</v>
      </c>
    </row>
    <row r="60" spans="1:33" ht="21">
      <c r="A60" s="44" t="s">
        <v>48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362"/>
    </row>
    <row r="61" spans="1:33">
      <c r="A61" s="47" t="s">
        <v>49</v>
      </c>
      <c r="B61" s="43">
        <f>V61+IF($O$4="yes",IF($O$3=1,$O61,0))</f>
        <v>1</v>
      </c>
      <c r="C61" s="43">
        <f t="shared" ref="C61:M61" si="26">W61+IF($O$4="yes",IF($O$3=1,$O61,0))</f>
        <v>2</v>
      </c>
      <c r="D61" s="43">
        <f t="shared" si="26"/>
        <v>3</v>
      </c>
      <c r="E61" s="43">
        <f t="shared" si="26"/>
        <v>3</v>
      </c>
      <c r="F61" s="43">
        <f t="shared" si="26"/>
        <v>3</v>
      </c>
      <c r="G61" s="43">
        <f t="shared" si="26"/>
        <v>3</v>
      </c>
      <c r="H61" s="43">
        <f t="shared" si="26"/>
        <v>3</v>
      </c>
      <c r="I61" s="43">
        <f t="shared" si="26"/>
        <v>3</v>
      </c>
      <c r="J61" s="43">
        <f t="shared" si="26"/>
        <v>3</v>
      </c>
      <c r="K61" s="43">
        <f t="shared" si="26"/>
        <v>3</v>
      </c>
      <c r="L61" s="43">
        <f t="shared" si="26"/>
        <v>3</v>
      </c>
      <c r="M61" s="43">
        <f t="shared" si="26"/>
        <v>3</v>
      </c>
      <c r="N61" s="43"/>
      <c r="O61" s="43">
        <v>7</v>
      </c>
      <c r="P61" s="43"/>
      <c r="Q61" s="43"/>
      <c r="S61" s="46"/>
      <c r="T61" s="43"/>
      <c r="U61" s="43"/>
      <c r="V61" s="43">
        <v>1</v>
      </c>
      <c r="W61" s="43">
        <v>2</v>
      </c>
      <c r="X61" s="43">
        <v>3</v>
      </c>
      <c r="Y61" s="43">
        <v>3</v>
      </c>
      <c r="Z61" s="43">
        <v>3</v>
      </c>
      <c r="AA61" s="43">
        <v>3</v>
      </c>
      <c r="AB61" s="43">
        <v>3</v>
      </c>
      <c r="AC61" s="43">
        <v>3</v>
      </c>
      <c r="AD61" s="43">
        <v>3</v>
      </c>
      <c r="AE61" s="43">
        <v>3</v>
      </c>
      <c r="AF61" s="43">
        <v>3</v>
      </c>
      <c r="AG61" s="361">
        <v>3</v>
      </c>
    </row>
    <row r="62" spans="1:33" ht="22.5">
      <c r="A62" s="47" t="s">
        <v>50</v>
      </c>
      <c r="B62" s="43">
        <f>V62+IF($O$4="yes",$O62,0)</f>
        <v>2</v>
      </c>
      <c r="C62" s="43">
        <f t="shared" ref="C62:M63" si="27">W62+IF($O$4="yes",$O62,0)</f>
        <v>2.5</v>
      </c>
      <c r="D62" s="43">
        <f t="shared" si="27"/>
        <v>2</v>
      </c>
      <c r="E62" s="43">
        <f t="shared" si="27"/>
        <v>2.5</v>
      </c>
      <c r="F62" s="43">
        <f t="shared" si="27"/>
        <v>3</v>
      </c>
      <c r="G62" s="43">
        <f t="shared" si="27"/>
        <v>3</v>
      </c>
      <c r="H62" s="43">
        <f t="shared" si="27"/>
        <v>3</v>
      </c>
      <c r="I62" s="43">
        <f t="shared" si="27"/>
        <v>3</v>
      </c>
      <c r="J62" s="43">
        <f t="shared" si="27"/>
        <v>3.5</v>
      </c>
      <c r="K62" s="43">
        <f t="shared" si="27"/>
        <v>3.5</v>
      </c>
      <c r="L62" s="43">
        <f t="shared" si="27"/>
        <v>3.5</v>
      </c>
      <c r="M62" s="43">
        <f t="shared" si="27"/>
        <v>3.5</v>
      </c>
      <c r="N62" s="43"/>
      <c r="O62" s="43">
        <v>1</v>
      </c>
      <c r="P62" s="43"/>
      <c r="Q62" s="43"/>
      <c r="S62" s="46"/>
      <c r="T62" s="43"/>
      <c r="U62" s="43"/>
      <c r="V62" s="43">
        <v>1</v>
      </c>
      <c r="W62" s="43">
        <v>1.5</v>
      </c>
      <c r="X62" s="43">
        <v>1</v>
      </c>
      <c r="Y62" s="43">
        <v>1.5</v>
      </c>
      <c r="Z62" s="43">
        <v>2</v>
      </c>
      <c r="AA62" s="43">
        <v>2</v>
      </c>
      <c r="AB62" s="43">
        <v>2</v>
      </c>
      <c r="AC62" s="43">
        <v>2</v>
      </c>
      <c r="AD62" s="43">
        <v>2.5</v>
      </c>
      <c r="AE62" s="43">
        <v>2.5</v>
      </c>
      <c r="AF62" s="43">
        <v>2.5</v>
      </c>
      <c r="AG62" s="361">
        <v>2.5</v>
      </c>
    </row>
    <row r="63" spans="1:33" ht="22.5">
      <c r="A63" s="47" t="s">
        <v>51</v>
      </c>
      <c r="B63" s="43">
        <f>V63+IF($O$4="yes",$O63,0)</f>
        <v>2</v>
      </c>
      <c r="C63" s="43">
        <f t="shared" si="27"/>
        <v>2.5</v>
      </c>
      <c r="D63" s="43">
        <f t="shared" si="27"/>
        <v>2</v>
      </c>
      <c r="E63" s="43">
        <f t="shared" si="27"/>
        <v>2.5</v>
      </c>
      <c r="F63" s="43">
        <f t="shared" si="27"/>
        <v>3</v>
      </c>
      <c r="G63" s="43">
        <f t="shared" si="27"/>
        <v>3</v>
      </c>
      <c r="H63" s="43">
        <f t="shared" si="27"/>
        <v>3</v>
      </c>
      <c r="I63" s="43">
        <f t="shared" si="27"/>
        <v>3</v>
      </c>
      <c r="J63" s="43">
        <f t="shared" si="27"/>
        <v>3.5</v>
      </c>
      <c r="K63" s="43">
        <f t="shared" si="27"/>
        <v>3.5</v>
      </c>
      <c r="L63" s="43">
        <f t="shared" si="27"/>
        <v>3.5</v>
      </c>
      <c r="M63" s="43">
        <f t="shared" si="27"/>
        <v>3.5</v>
      </c>
      <c r="N63" s="43"/>
      <c r="O63" s="43">
        <v>1</v>
      </c>
      <c r="P63" s="43"/>
      <c r="Q63" s="43"/>
      <c r="S63" s="46"/>
      <c r="T63" s="43"/>
      <c r="U63" s="43"/>
      <c r="V63" s="43">
        <v>1</v>
      </c>
      <c r="W63" s="43">
        <v>1.5</v>
      </c>
      <c r="X63" s="43">
        <v>1</v>
      </c>
      <c r="Y63" s="43">
        <v>1.5</v>
      </c>
      <c r="Z63" s="43">
        <v>2</v>
      </c>
      <c r="AA63" s="43">
        <v>2</v>
      </c>
      <c r="AB63" s="43">
        <v>2</v>
      </c>
      <c r="AC63" s="43">
        <v>2</v>
      </c>
      <c r="AD63" s="43">
        <v>2.5</v>
      </c>
      <c r="AE63" s="43">
        <v>2.5</v>
      </c>
      <c r="AF63" s="43">
        <v>2.5</v>
      </c>
      <c r="AG63" s="361">
        <v>2.5</v>
      </c>
    </row>
    <row r="64" spans="1:33">
      <c r="A64" s="47" t="s">
        <v>52</v>
      </c>
      <c r="B64" s="43">
        <f>V64+IF($O$4="yes",IF($O$3=2,$O64,0))</f>
        <v>3</v>
      </c>
      <c r="C64" s="43">
        <f t="shared" ref="C64:M64" si="28">W64+IF($O$4="yes",IF($O$3=2,$O64,0))</f>
        <v>4</v>
      </c>
      <c r="D64" s="43">
        <f t="shared" si="28"/>
        <v>7</v>
      </c>
      <c r="E64" s="43">
        <f t="shared" si="28"/>
        <v>7</v>
      </c>
      <c r="F64" s="43">
        <f t="shared" si="28"/>
        <v>7</v>
      </c>
      <c r="G64" s="43">
        <f t="shared" si="28"/>
        <v>7</v>
      </c>
      <c r="H64" s="43">
        <f t="shared" si="28"/>
        <v>7</v>
      </c>
      <c r="I64" s="43">
        <f t="shared" si="28"/>
        <v>10</v>
      </c>
      <c r="J64" s="43">
        <f t="shared" si="28"/>
        <v>10</v>
      </c>
      <c r="K64" s="43">
        <f t="shared" si="28"/>
        <v>10</v>
      </c>
      <c r="L64" s="43">
        <f t="shared" si="28"/>
        <v>10</v>
      </c>
      <c r="M64" s="43">
        <f t="shared" si="28"/>
        <v>10</v>
      </c>
      <c r="N64" s="43"/>
      <c r="O64" s="43">
        <v>7</v>
      </c>
      <c r="P64" s="43"/>
      <c r="Q64" s="43"/>
      <c r="S64" s="46"/>
      <c r="T64" s="43"/>
      <c r="U64" s="43"/>
      <c r="V64" s="43">
        <v>3</v>
      </c>
      <c r="W64" s="43">
        <v>4</v>
      </c>
      <c r="X64" s="43">
        <v>7</v>
      </c>
      <c r="Y64" s="43">
        <v>7</v>
      </c>
      <c r="Z64" s="43">
        <v>7</v>
      </c>
      <c r="AA64" s="43">
        <v>7</v>
      </c>
      <c r="AB64" s="43">
        <v>7</v>
      </c>
      <c r="AC64" s="43">
        <v>10</v>
      </c>
      <c r="AD64" s="43">
        <v>10</v>
      </c>
      <c r="AE64" s="43">
        <v>10</v>
      </c>
      <c r="AF64" s="43">
        <v>10</v>
      </c>
      <c r="AG64" s="361">
        <v>10</v>
      </c>
    </row>
    <row r="65" spans="1:33" ht="21">
      <c r="A65" s="44" t="s">
        <v>53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7" t="s">
        <v>54</v>
      </c>
      <c r="B66" s="43">
        <f>V66</f>
        <v>2.5</v>
      </c>
      <c r="C66" s="43">
        <f t="shared" ref="C66:M66" si="29">W66</f>
        <v>2.5</v>
      </c>
      <c r="D66" s="43">
        <f t="shared" si="29"/>
        <v>3</v>
      </c>
      <c r="E66" s="43">
        <f t="shared" si="29"/>
        <v>4</v>
      </c>
      <c r="F66" s="43">
        <f t="shared" si="29"/>
        <v>4</v>
      </c>
      <c r="G66" s="43">
        <f t="shared" si="29"/>
        <v>4</v>
      </c>
      <c r="H66" s="43">
        <f t="shared" si="29"/>
        <v>4.5</v>
      </c>
      <c r="I66" s="43">
        <f t="shared" si="29"/>
        <v>4.5</v>
      </c>
      <c r="J66" s="43">
        <f t="shared" si="29"/>
        <v>5</v>
      </c>
      <c r="K66" s="43">
        <f t="shared" si="29"/>
        <v>5</v>
      </c>
      <c r="L66" s="43">
        <f t="shared" si="29"/>
        <v>5</v>
      </c>
      <c r="M66" s="43">
        <f t="shared" si="29"/>
        <v>5.5</v>
      </c>
      <c r="N66" s="43"/>
      <c r="O66" s="43"/>
      <c r="P66" s="43"/>
      <c r="Q66" s="43"/>
      <c r="V66" s="43">
        <v>2.5</v>
      </c>
      <c r="W66" s="43">
        <v>2.5</v>
      </c>
      <c r="X66" s="43">
        <v>3</v>
      </c>
      <c r="Y66" s="43">
        <v>4</v>
      </c>
      <c r="Z66" s="43">
        <v>4</v>
      </c>
      <c r="AA66" s="43">
        <v>4</v>
      </c>
      <c r="AB66" s="43">
        <v>4.5</v>
      </c>
      <c r="AC66" s="43">
        <v>4.5</v>
      </c>
      <c r="AD66" s="43">
        <v>5</v>
      </c>
      <c r="AE66" s="43">
        <v>5</v>
      </c>
      <c r="AF66" s="43">
        <v>5</v>
      </c>
      <c r="AG66" s="361">
        <v>5.5</v>
      </c>
    </row>
    <row r="67" spans="1:33">
      <c r="A67" s="47" t="s">
        <v>49</v>
      </c>
      <c r="B67" s="43">
        <f>V67+IF($O$4="yes",IF($O$3=3,$O67,0))</f>
        <v>8</v>
      </c>
      <c r="C67" s="43">
        <f t="shared" ref="C67:M67" si="30">W67+IF($O$4="yes",IF($O$3=3,$O67,0))</f>
        <v>9</v>
      </c>
      <c r="D67" s="43">
        <f t="shared" si="30"/>
        <v>9</v>
      </c>
      <c r="E67" s="43">
        <f t="shared" si="30"/>
        <v>9</v>
      </c>
      <c r="F67" s="43">
        <f t="shared" si="30"/>
        <v>9</v>
      </c>
      <c r="G67" s="43">
        <f t="shared" si="30"/>
        <v>9</v>
      </c>
      <c r="H67" s="43">
        <f t="shared" si="30"/>
        <v>9</v>
      </c>
      <c r="I67" s="43">
        <f t="shared" si="30"/>
        <v>9</v>
      </c>
      <c r="J67" s="43">
        <f t="shared" si="30"/>
        <v>9</v>
      </c>
      <c r="K67" s="43">
        <f t="shared" si="30"/>
        <v>9</v>
      </c>
      <c r="L67" s="43">
        <f t="shared" si="30"/>
        <v>9</v>
      </c>
      <c r="M67" s="43">
        <f t="shared" si="30"/>
        <v>9</v>
      </c>
      <c r="N67" s="43"/>
      <c r="O67" s="43">
        <v>7</v>
      </c>
      <c r="P67" s="43"/>
      <c r="Q67" s="43"/>
      <c r="S67" s="46"/>
      <c r="T67" s="43"/>
      <c r="U67" s="43"/>
      <c r="V67" s="43">
        <v>1</v>
      </c>
      <c r="W67" s="43">
        <v>2</v>
      </c>
      <c r="X67" s="43">
        <v>2</v>
      </c>
      <c r="Y67" s="43">
        <v>2</v>
      </c>
      <c r="Z67" s="43">
        <v>2</v>
      </c>
      <c r="AA67" s="43">
        <v>2</v>
      </c>
      <c r="AB67" s="43">
        <v>2</v>
      </c>
      <c r="AC67" s="43">
        <v>2</v>
      </c>
      <c r="AD67" s="43">
        <v>2</v>
      </c>
      <c r="AE67" s="43">
        <v>2</v>
      </c>
      <c r="AF67" s="43">
        <v>2</v>
      </c>
      <c r="AG67" s="43">
        <v>2</v>
      </c>
    </row>
    <row r="68" spans="1:33">
      <c r="A68" s="47" t="s">
        <v>55</v>
      </c>
      <c r="B68" s="43">
        <f>V68+IF($O$4="yes",$O68,0)</f>
        <v>2</v>
      </c>
      <c r="C68" s="43">
        <f t="shared" ref="C68:M68" si="31">W68+IF($O$4="yes",$O68,0)</f>
        <v>2.5</v>
      </c>
      <c r="D68" s="43">
        <f t="shared" si="31"/>
        <v>3</v>
      </c>
      <c r="E68" s="43">
        <f t="shared" si="31"/>
        <v>3</v>
      </c>
      <c r="F68" s="43">
        <f t="shared" si="31"/>
        <v>3</v>
      </c>
      <c r="G68" s="43">
        <f t="shared" si="31"/>
        <v>3</v>
      </c>
      <c r="H68" s="43">
        <f t="shared" si="31"/>
        <v>3</v>
      </c>
      <c r="I68" s="43">
        <f t="shared" si="31"/>
        <v>3</v>
      </c>
      <c r="J68" s="43">
        <f t="shared" si="31"/>
        <v>3.5</v>
      </c>
      <c r="K68" s="43">
        <f t="shared" si="31"/>
        <v>3.5</v>
      </c>
      <c r="L68" s="43">
        <f t="shared" si="31"/>
        <v>3.5</v>
      </c>
      <c r="M68" s="43">
        <f t="shared" si="31"/>
        <v>3.5</v>
      </c>
      <c r="N68" s="43"/>
      <c r="O68" s="43">
        <v>1</v>
      </c>
      <c r="P68" s="43"/>
      <c r="Q68" s="43"/>
      <c r="V68" s="43">
        <v>1</v>
      </c>
      <c r="W68" s="43">
        <v>1.5</v>
      </c>
      <c r="X68" s="43">
        <v>2</v>
      </c>
      <c r="Y68" s="43">
        <v>2</v>
      </c>
      <c r="Z68" s="43">
        <v>2</v>
      </c>
      <c r="AA68" s="43">
        <v>2</v>
      </c>
      <c r="AB68" s="43">
        <v>2</v>
      </c>
      <c r="AC68" s="43">
        <v>2</v>
      </c>
      <c r="AD68" s="43">
        <v>2.5</v>
      </c>
      <c r="AE68" s="43">
        <v>2.5</v>
      </c>
      <c r="AF68" s="43">
        <v>2.5</v>
      </c>
      <c r="AG68" s="43">
        <v>2.5</v>
      </c>
    </row>
    <row r="69" spans="1:33">
      <c r="A69" s="47" t="s">
        <v>52</v>
      </c>
      <c r="B69" s="43">
        <f>V69</f>
        <v>3</v>
      </c>
      <c r="C69" s="43">
        <f t="shared" ref="C69:M69" si="32">W69</f>
        <v>4</v>
      </c>
      <c r="D69" s="43">
        <f t="shared" si="32"/>
        <v>3</v>
      </c>
      <c r="E69" s="43">
        <f t="shared" si="32"/>
        <v>3</v>
      </c>
      <c r="F69" s="43">
        <f t="shared" si="32"/>
        <v>7</v>
      </c>
      <c r="G69" s="43">
        <f t="shared" si="32"/>
        <v>7</v>
      </c>
      <c r="H69" s="43">
        <f t="shared" si="32"/>
        <v>7</v>
      </c>
      <c r="I69" s="43">
        <f t="shared" si="32"/>
        <v>7</v>
      </c>
      <c r="J69" s="43">
        <f t="shared" si="32"/>
        <v>7</v>
      </c>
      <c r="K69" s="43">
        <f t="shared" si="32"/>
        <v>10</v>
      </c>
      <c r="L69" s="43">
        <f t="shared" si="32"/>
        <v>10</v>
      </c>
      <c r="M69" s="43">
        <f t="shared" si="32"/>
        <v>10</v>
      </c>
      <c r="N69" s="43"/>
      <c r="O69" s="43"/>
      <c r="P69" s="43"/>
      <c r="Q69" s="43"/>
      <c r="V69" s="43">
        <v>3</v>
      </c>
      <c r="W69" s="43">
        <v>4</v>
      </c>
      <c r="X69" s="43">
        <v>3</v>
      </c>
      <c r="Y69" s="43">
        <v>3</v>
      </c>
      <c r="Z69" s="43">
        <v>7</v>
      </c>
      <c r="AA69" s="43">
        <v>7</v>
      </c>
      <c r="AB69" s="43">
        <v>7</v>
      </c>
      <c r="AC69" s="43">
        <v>7</v>
      </c>
      <c r="AD69" s="43">
        <v>7</v>
      </c>
      <c r="AE69" s="43">
        <v>10</v>
      </c>
      <c r="AF69" s="43">
        <v>10</v>
      </c>
      <c r="AG69" s="361">
        <v>10</v>
      </c>
    </row>
    <row r="70" spans="1:33">
      <c r="A70" s="42" t="s">
        <v>56</v>
      </c>
      <c r="B70" s="43">
        <f>V70+IF($O$4="yes",$O70,0)</f>
        <v>5</v>
      </c>
      <c r="C70" s="43">
        <f t="shared" ref="C70:M71" si="33">W70+IF($O$4="yes",$O70,0)</f>
        <v>6</v>
      </c>
      <c r="D70" s="43">
        <f t="shared" si="33"/>
        <v>7</v>
      </c>
      <c r="E70" s="43">
        <f t="shared" si="33"/>
        <v>7</v>
      </c>
      <c r="F70" s="43">
        <f t="shared" si="33"/>
        <v>7.5</v>
      </c>
      <c r="G70" s="43">
        <f t="shared" si="33"/>
        <v>7.5</v>
      </c>
      <c r="H70" s="43">
        <f t="shared" si="33"/>
        <v>9</v>
      </c>
      <c r="I70" s="43">
        <f t="shared" si="33"/>
        <v>9</v>
      </c>
      <c r="J70" s="43">
        <f t="shared" si="33"/>
        <v>10</v>
      </c>
      <c r="K70" s="43">
        <f t="shared" si="33"/>
        <v>10</v>
      </c>
      <c r="L70" s="43">
        <f t="shared" si="33"/>
        <v>10</v>
      </c>
      <c r="M70" s="43">
        <f t="shared" si="33"/>
        <v>10</v>
      </c>
      <c r="N70" s="43"/>
      <c r="O70" s="43">
        <f>IF(O7="6 months or younger",3,1.5)</f>
        <v>3</v>
      </c>
      <c r="P70" s="43"/>
      <c r="Q70" s="43"/>
      <c r="T70" s="43"/>
      <c r="U70" s="43"/>
      <c r="V70" s="43">
        <v>2</v>
      </c>
      <c r="W70" s="43">
        <v>3</v>
      </c>
      <c r="X70" s="43">
        <v>4</v>
      </c>
      <c r="Y70" s="43">
        <v>4</v>
      </c>
      <c r="Z70" s="43">
        <v>4.5</v>
      </c>
      <c r="AA70" s="43">
        <v>4.5</v>
      </c>
      <c r="AB70" s="43">
        <v>6</v>
      </c>
      <c r="AC70" s="43">
        <v>6</v>
      </c>
      <c r="AD70" s="43">
        <v>7</v>
      </c>
      <c r="AE70" s="43">
        <v>7</v>
      </c>
      <c r="AF70" s="43">
        <v>7</v>
      </c>
      <c r="AG70" s="361">
        <v>7</v>
      </c>
    </row>
    <row r="71" spans="1:33">
      <c r="A71" s="42" t="s">
        <v>57</v>
      </c>
      <c r="B71" s="43">
        <f>V71+IF($O$4="yes",$O71,0)</f>
        <v>5</v>
      </c>
      <c r="C71" s="43">
        <f t="shared" si="33"/>
        <v>6</v>
      </c>
      <c r="D71" s="43">
        <f t="shared" si="33"/>
        <v>7</v>
      </c>
      <c r="E71" s="43">
        <f t="shared" si="33"/>
        <v>7</v>
      </c>
      <c r="F71" s="43">
        <f t="shared" si="33"/>
        <v>7.5</v>
      </c>
      <c r="G71" s="43">
        <f t="shared" si="33"/>
        <v>7.5</v>
      </c>
      <c r="H71" s="43">
        <f t="shared" si="33"/>
        <v>9</v>
      </c>
      <c r="I71" s="43">
        <f t="shared" si="33"/>
        <v>9</v>
      </c>
      <c r="J71" s="43">
        <f t="shared" si="33"/>
        <v>10</v>
      </c>
      <c r="K71" s="43">
        <f t="shared" si="33"/>
        <v>10</v>
      </c>
      <c r="L71" s="43">
        <f t="shared" si="33"/>
        <v>10</v>
      </c>
      <c r="M71" s="43">
        <f t="shared" si="33"/>
        <v>10</v>
      </c>
      <c r="N71" s="43"/>
      <c r="O71" s="43">
        <f>IF(O7="6 months or younger",3,1.5)</f>
        <v>3</v>
      </c>
      <c r="P71" s="43"/>
      <c r="Q71" s="43"/>
      <c r="T71" s="43"/>
      <c r="U71" s="43"/>
      <c r="V71" s="43">
        <v>2</v>
      </c>
      <c r="W71" s="43">
        <v>3</v>
      </c>
      <c r="X71" s="43">
        <v>4</v>
      </c>
      <c r="Y71" s="43">
        <v>4</v>
      </c>
      <c r="Z71" s="43">
        <v>4.5</v>
      </c>
      <c r="AA71" s="43">
        <v>4.5</v>
      </c>
      <c r="AB71" s="43">
        <v>6</v>
      </c>
      <c r="AC71" s="43">
        <v>6</v>
      </c>
      <c r="AD71" s="43">
        <v>7</v>
      </c>
      <c r="AE71" s="43">
        <v>7</v>
      </c>
      <c r="AF71" s="43">
        <v>7</v>
      </c>
      <c r="AG71" s="361">
        <v>7</v>
      </c>
    </row>
    <row r="72" spans="1:33">
      <c r="A72" s="42" t="s">
        <v>58</v>
      </c>
      <c r="B72" s="43">
        <f>V72</f>
        <v>0</v>
      </c>
      <c r="C72" s="43">
        <f t="shared" ref="C72:M72" si="34">W72</f>
        <v>0</v>
      </c>
      <c r="D72" s="43">
        <f t="shared" si="34"/>
        <v>0</v>
      </c>
      <c r="E72" s="43">
        <f t="shared" si="34"/>
        <v>0</v>
      </c>
      <c r="F72" s="43">
        <f t="shared" si="34"/>
        <v>0</v>
      </c>
      <c r="G72" s="43">
        <f t="shared" si="34"/>
        <v>0</v>
      </c>
      <c r="H72" s="43">
        <f t="shared" si="34"/>
        <v>0</v>
      </c>
      <c r="I72" s="43">
        <f t="shared" si="34"/>
        <v>0</v>
      </c>
      <c r="J72" s="43">
        <f t="shared" si="34"/>
        <v>0</v>
      </c>
      <c r="K72" s="43">
        <f t="shared" si="34"/>
        <v>0</v>
      </c>
      <c r="L72" s="43">
        <f t="shared" si="34"/>
        <v>0</v>
      </c>
      <c r="M72" s="43">
        <f t="shared" si="34"/>
        <v>0</v>
      </c>
      <c r="N72" s="43"/>
      <c r="O72" s="43"/>
      <c r="P72" s="43"/>
      <c r="Q72" s="43"/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</row>
    <row r="73" spans="1:33">
      <c r="B73" t="s">
        <v>61</v>
      </c>
      <c r="E73" t="s">
        <v>62</v>
      </c>
      <c r="V73" s="372">
        <v>3</v>
      </c>
      <c r="W73" s="372">
        <v>4</v>
      </c>
      <c r="X73" s="372">
        <v>5</v>
      </c>
      <c r="Y73" s="372">
        <v>6</v>
      </c>
      <c r="Z73" s="372">
        <v>7</v>
      </c>
      <c r="AA73" s="372">
        <v>8</v>
      </c>
      <c r="AB73" s="372">
        <v>9</v>
      </c>
      <c r="AC73" s="372">
        <v>10</v>
      </c>
      <c r="AD73" s="372">
        <v>10</v>
      </c>
      <c r="AE73" s="372">
        <v>11</v>
      </c>
      <c r="AF73" s="372">
        <v>12</v>
      </c>
      <c r="AG73" s="372">
        <v>13</v>
      </c>
    </row>
    <row r="74" spans="1:33">
      <c r="A74" s="42" t="s">
        <v>63</v>
      </c>
      <c r="B74" t="s">
        <v>64</v>
      </c>
      <c r="C74" t="s">
        <v>65</v>
      </c>
      <c r="D74" t="s">
        <v>66</v>
      </c>
    </row>
    <row r="75" spans="1:33">
      <c r="A75" s="42" t="s">
        <v>67</v>
      </c>
      <c r="B75" s="43">
        <v>85</v>
      </c>
      <c r="C75" s="43">
        <v>280</v>
      </c>
      <c r="D75" s="43">
        <v>470</v>
      </c>
      <c r="E75" s="43">
        <v>70</v>
      </c>
      <c r="F75" s="43">
        <v>230</v>
      </c>
      <c r="G75" s="43">
        <v>390</v>
      </c>
    </row>
    <row r="76" spans="1:33">
      <c r="A76" s="42" t="s">
        <v>68</v>
      </c>
      <c r="B76" s="43">
        <v>0.5</v>
      </c>
      <c r="C76" s="43">
        <v>6.9</v>
      </c>
      <c r="D76" s="43">
        <v>22.7</v>
      </c>
    </row>
    <row r="77" spans="1:33">
      <c r="A77" s="42" t="s">
        <v>69</v>
      </c>
    </row>
    <row r="78" spans="1:33">
      <c r="A78" s="42" t="s">
        <v>70</v>
      </c>
    </row>
    <row r="79" spans="1:33">
      <c r="A79" s="42" t="s">
        <v>71</v>
      </c>
      <c r="B79">
        <v>300</v>
      </c>
      <c r="C79">
        <v>300</v>
      </c>
      <c r="D79">
        <v>300</v>
      </c>
    </row>
    <row r="80" spans="1:33">
      <c r="B80" t="s">
        <v>72</v>
      </c>
      <c r="C80" t="s">
        <v>73</v>
      </c>
    </row>
    <row r="81" spans="1:3">
      <c r="A81" s="42" t="s">
        <v>67</v>
      </c>
      <c r="B81">
        <v>600</v>
      </c>
      <c r="C81">
        <v>520</v>
      </c>
    </row>
    <row r="82" spans="1:3">
      <c r="A82" s="42" t="s">
        <v>68</v>
      </c>
      <c r="B82">
        <v>19</v>
      </c>
      <c r="C82">
        <v>13</v>
      </c>
    </row>
    <row r="83" spans="1:3">
      <c r="A83" s="42" t="s">
        <v>71</v>
      </c>
      <c r="B83">
        <v>300</v>
      </c>
      <c r="C83">
        <v>300</v>
      </c>
    </row>
  </sheetData>
  <pageMargins left="0.7" right="0.7" top="0.75" bottom="0.75" header="0.3" footer="0.3"/>
  <ignoredErrors>
    <ignoredError sqref="B23:M23 B46:M46 B69:M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R71"/>
  <sheetViews>
    <sheetView topLeftCell="A55" workbookViewId="0">
      <selection activeCell="B69" sqref="B69"/>
    </sheetView>
  </sheetViews>
  <sheetFormatPr defaultRowHeight="12.75"/>
  <cols>
    <col min="1" max="1" width="41.85546875" style="63" customWidth="1"/>
    <col min="2" max="2" width="31.85546875" style="63" customWidth="1"/>
    <col min="3" max="3" width="14.28515625" style="63" customWidth="1"/>
    <col min="4" max="4" width="25.42578125" style="63" customWidth="1"/>
    <col min="5" max="5" width="24" style="63" customWidth="1"/>
    <col min="6" max="6" width="71.140625" style="63" customWidth="1"/>
    <col min="7" max="7" width="23.28515625" style="63" customWidth="1"/>
    <col min="8" max="9" width="9.140625" style="63"/>
    <col min="10" max="10" width="10.42578125" style="63" customWidth="1"/>
    <col min="11" max="11" width="11.5703125" style="63" bestFit="1" customWidth="1"/>
    <col min="12" max="16384" width="9.140625" style="63"/>
  </cols>
  <sheetData>
    <row r="1" spans="1:7">
      <c r="A1" s="63" t="s">
        <v>117</v>
      </c>
    </row>
    <row r="2" spans="1:7">
      <c r="A2" s="63" t="s">
        <v>118</v>
      </c>
    </row>
    <row r="3" spans="1:7">
      <c r="A3" s="63" t="s">
        <v>119</v>
      </c>
    </row>
    <row r="4" spans="1:7">
      <c r="A4" s="63" t="s">
        <v>120</v>
      </c>
    </row>
    <row r="7" spans="1:7">
      <c r="A7" s="9" t="s">
        <v>121</v>
      </c>
      <c r="B7" s="73">
        <f>'I&amp;O'!$C$7</f>
        <v>30</v>
      </c>
      <c r="C7" s="11"/>
      <c r="G7" s="64"/>
    </row>
    <row r="8" spans="1:7">
      <c r="A8" s="9" t="s">
        <v>122</v>
      </c>
      <c r="B8" s="10"/>
      <c r="C8" s="11"/>
    </row>
    <row r="9" spans="1:7">
      <c r="A9" s="10" t="s">
        <v>6</v>
      </c>
      <c r="B9" s="73">
        <f>'I&amp;O'!$C$9</f>
        <v>5</v>
      </c>
      <c r="C9" s="11"/>
    </row>
    <row r="10" spans="1:7">
      <c r="A10" s="10" t="s">
        <v>7</v>
      </c>
      <c r="B10" s="73">
        <f>'I&amp;O'!$C$10</f>
        <v>7</v>
      </c>
      <c r="C10" s="11"/>
    </row>
    <row r="11" spans="1:7">
      <c r="A11" s="11" t="s">
        <v>123</v>
      </c>
      <c r="B11" s="11">
        <f>((B9*12)+B10)*0.0254</f>
        <v>1.7018</v>
      </c>
      <c r="C11" s="11"/>
    </row>
    <row r="12" spans="1:7">
      <c r="A12" s="9" t="s">
        <v>124</v>
      </c>
      <c r="B12" s="73">
        <f>'I&amp;O'!E11</f>
        <v>62</v>
      </c>
      <c r="C12" s="11"/>
    </row>
    <row r="13" spans="1:7">
      <c r="A13" s="10" t="s">
        <v>125</v>
      </c>
      <c r="B13" s="340" t="s">
        <v>3</v>
      </c>
      <c r="C13" s="11"/>
    </row>
    <row r="14" spans="1:7">
      <c r="A14" s="26" t="s">
        <v>126</v>
      </c>
      <c r="B14" s="26"/>
      <c r="C14" s="26"/>
    </row>
    <row r="15" spans="1:7">
      <c r="A15" s="16" t="s">
        <v>12</v>
      </c>
      <c r="B15" s="65">
        <f>B12/B11^2</f>
        <v>21.40792875927476</v>
      </c>
      <c r="C15" s="11" t="s">
        <v>127</v>
      </c>
    </row>
    <row r="16" spans="1:7" ht="13.5" thickBot="1">
      <c r="A16" s="16" t="s">
        <v>13</v>
      </c>
      <c r="B16" s="66" t="s">
        <v>128</v>
      </c>
      <c r="C16" s="11"/>
    </row>
    <row r="17" spans="1:44" ht="13.5" thickBot="1">
      <c r="A17" s="17" t="s">
        <v>14</v>
      </c>
      <c r="B17" s="17" t="s">
        <v>15</v>
      </c>
      <c r="C17" s="11"/>
    </row>
    <row r="18" spans="1:44" ht="14.25" thickTop="1" thickBot="1">
      <c r="A18" s="18" t="s">
        <v>16</v>
      </c>
      <c r="B18" s="18" t="s">
        <v>17</v>
      </c>
      <c r="C18" s="11"/>
    </row>
    <row r="19" spans="1:44" ht="13.5" thickBot="1">
      <c r="A19" s="19" t="s">
        <v>18</v>
      </c>
      <c r="B19" s="19" t="s">
        <v>19</v>
      </c>
      <c r="C19" s="11"/>
    </row>
    <row r="20" spans="1:44" ht="13.5" thickBot="1">
      <c r="A20" s="19" t="s">
        <v>20</v>
      </c>
      <c r="B20" s="19" t="s">
        <v>21</v>
      </c>
      <c r="C20" s="11"/>
    </row>
    <row r="21" spans="1:44">
      <c r="A21" s="35" t="s">
        <v>129</v>
      </c>
      <c r="B21" s="67" t="str">
        <f>C23&amp;-C24</f>
        <v>53-67</v>
      </c>
      <c r="C21" s="64" t="s">
        <v>130</v>
      </c>
    </row>
    <row r="22" spans="1:44">
      <c r="A22" s="13"/>
      <c r="B22" s="68" t="s">
        <v>131</v>
      </c>
      <c r="C22" s="11" t="s">
        <v>132</v>
      </c>
    </row>
    <row r="23" spans="1:44">
      <c r="A23" s="64" t="s">
        <v>133</v>
      </c>
      <c r="B23" s="69">
        <f>B11^2*18</f>
        <v>52.130218320000004</v>
      </c>
      <c r="C23" s="70">
        <f>ROUNDUP(B23,0)</f>
        <v>53</v>
      </c>
    </row>
    <row r="24" spans="1:44">
      <c r="A24" s="64" t="s">
        <v>134</v>
      </c>
      <c r="B24" s="69">
        <f>B11^2*22.9</f>
        <v>66.321222195999994</v>
      </c>
      <c r="C24" s="70">
        <f>ROUNDUP(B24,0)</f>
        <v>67</v>
      </c>
      <c r="D24" s="64"/>
      <c r="E24" s="64"/>
      <c r="F24" s="64"/>
      <c r="G24" s="64"/>
    </row>
    <row r="25" spans="1:44">
      <c r="A25" s="64"/>
      <c r="B25" s="64"/>
      <c r="C25" s="64"/>
      <c r="D25" s="64"/>
      <c r="E25" s="64"/>
      <c r="F25" s="71"/>
      <c r="G25" s="71"/>
    </row>
    <row r="26" spans="1:44">
      <c r="A26" s="64"/>
      <c r="B26" s="64"/>
      <c r="C26" s="64"/>
      <c r="D26" s="64"/>
      <c r="E26" s="64"/>
      <c r="F26" s="64"/>
      <c r="G26" s="64"/>
    </row>
    <row r="27" spans="1:44">
      <c r="A27" s="72" t="s">
        <v>135</v>
      </c>
      <c r="B27" s="73"/>
      <c r="C27" s="73" t="s">
        <v>136</v>
      </c>
      <c r="D27" s="64" t="s">
        <v>137</v>
      </c>
      <c r="E27" s="64"/>
      <c r="F27" s="64"/>
      <c r="G27" s="64"/>
    </row>
    <row r="28" spans="1:44">
      <c r="A28" s="71" t="s">
        <v>138</v>
      </c>
      <c r="B28" s="74"/>
      <c r="C28" s="74">
        <f>(10*$B$12)+(6.25*$B$11*100)-(5*$B$7)-161</f>
        <v>1372.625</v>
      </c>
      <c r="D28" s="74" t="s">
        <v>139</v>
      </c>
      <c r="E28" s="11"/>
      <c r="F28" s="11"/>
      <c r="G28" s="11"/>
      <c r="O28" s="75"/>
      <c r="P28" s="76"/>
      <c r="Q28" s="77"/>
    </row>
    <row r="29" spans="1:44" s="26" customFormat="1">
      <c r="A29" s="11"/>
      <c r="B29" s="74"/>
      <c r="C29" s="74"/>
      <c r="D29" s="11" t="s">
        <v>140</v>
      </c>
      <c r="E29" s="11"/>
      <c r="F29" s="11"/>
      <c r="G29" s="11"/>
      <c r="H29" s="11"/>
      <c r="I29" s="11"/>
    </row>
    <row r="30" spans="1:44" ht="12.75" customHeight="1">
      <c r="A30" s="78" t="s">
        <v>141</v>
      </c>
      <c r="B30" s="78"/>
      <c r="C30" s="78"/>
      <c r="D30" s="79"/>
      <c r="E30" s="79"/>
      <c r="F30" s="79"/>
      <c r="G30" s="28"/>
      <c r="H30" s="28"/>
      <c r="I30" s="64"/>
      <c r="AB30" s="80" t="s">
        <v>142</v>
      </c>
      <c r="AC30" s="80" t="s">
        <v>143</v>
      </c>
      <c r="AD30" s="81" t="s">
        <v>144</v>
      </c>
      <c r="AE30" s="81"/>
      <c r="AF30" s="81"/>
      <c r="AI30" s="80" t="s">
        <v>145</v>
      </c>
      <c r="AJ30" s="81" t="s">
        <v>146</v>
      </c>
      <c r="AK30" s="81"/>
    </row>
    <row r="31" spans="1:44">
      <c r="A31" s="82" t="s">
        <v>23</v>
      </c>
      <c r="B31" s="83" t="s">
        <v>147</v>
      </c>
      <c r="C31" s="83"/>
      <c r="D31" s="83"/>
      <c r="E31" s="83"/>
      <c r="F31" s="84"/>
      <c r="G31" s="83"/>
      <c r="H31" s="83"/>
      <c r="I31" s="83"/>
      <c r="J31" s="85"/>
      <c r="K31" s="85"/>
      <c r="L31" s="85"/>
      <c r="M31" s="85"/>
      <c r="N31" s="85"/>
      <c r="O31" s="85"/>
      <c r="P31" s="29"/>
      <c r="AB31" s="80"/>
      <c r="AC31" s="86"/>
      <c r="AD31" s="80"/>
      <c r="AE31" s="80"/>
      <c r="AF31" s="87"/>
      <c r="AI31" s="86"/>
      <c r="AJ31" s="88"/>
      <c r="AK31" s="88"/>
    </row>
    <row r="32" spans="1:44" s="26" customFormat="1" ht="25.5">
      <c r="A32" s="14" t="s">
        <v>148</v>
      </c>
      <c r="B32" s="20">
        <v>2</v>
      </c>
      <c r="C32" s="20">
        <v>3</v>
      </c>
      <c r="D32" s="20">
        <v>4</v>
      </c>
      <c r="E32" s="20" t="s">
        <v>149</v>
      </c>
      <c r="F32" s="20" t="s">
        <v>150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9"/>
      <c r="AN32" s="71"/>
      <c r="AO32" s="71"/>
      <c r="AP32" s="71"/>
      <c r="AQ32" s="71"/>
      <c r="AR32" s="71"/>
    </row>
    <row r="33" spans="1:44" ht="12.75" customHeight="1">
      <c r="A33" s="27" t="s">
        <v>151</v>
      </c>
      <c r="B33" s="28" t="s">
        <v>152</v>
      </c>
      <c r="C33" s="28" t="s">
        <v>153</v>
      </c>
      <c r="D33" s="28" t="s">
        <v>154</v>
      </c>
      <c r="E33" s="28" t="s">
        <v>155</v>
      </c>
      <c r="F33" s="28" t="s">
        <v>156</v>
      </c>
      <c r="G33" s="28"/>
      <c r="H33" s="28"/>
      <c r="I33" s="64"/>
      <c r="AB33" s="80" t="s">
        <v>142</v>
      </c>
      <c r="AC33" s="80" t="s">
        <v>143</v>
      </c>
      <c r="AD33" s="80" t="s">
        <v>152</v>
      </c>
      <c r="AE33" s="80" t="s">
        <v>157</v>
      </c>
      <c r="AF33" s="87" t="s">
        <v>158</v>
      </c>
      <c r="AI33" s="80" t="s">
        <v>145</v>
      </c>
      <c r="AJ33" s="80" t="s">
        <v>159</v>
      </c>
      <c r="AK33" s="80" t="s">
        <v>160</v>
      </c>
      <c r="AM33" s="86"/>
      <c r="AN33" s="90" t="s">
        <v>161</v>
      </c>
      <c r="AO33" s="91" t="s">
        <v>162</v>
      </c>
      <c r="AP33" s="91"/>
      <c r="AQ33" s="80" t="s">
        <v>163</v>
      </c>
      <c r="AR33" s="80" t="s">
        <v>164</v>
      </c>
    </row>
    <row r="34" spans="1:44">
      <c r="A34" s="20" t="s">
        <v>165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4"/>
      <c r="H34" s="64"/>
      <c r="I34" s="64"/>
      <c r="AB34" s="86" t="s">
        <v>166</v>
      </c>
      <c r="AC34" s="88">
        <v>8</v>
      </c>
      <c r="AD34" s="88">
        <v>1.5</v>
      </c>
      <c r="AE34" s="88">
        <v>2.2999999999999998</v>
      </c>
      <c r="AF34" s="88">
        <v>3.8</v>
      </c>
      <c r="AI34" s="86" t="s">
        <v>167</v>
      </c>
      <c r="AJ34" s="88">
        <v>1.4</v>
      </c>
      <c r="AK34" s="88">
        <v>1.33</v>
      </c>
      <c r="AM34" s="92" t="s">
        <v>3</v>
      </c>
      <c r="AN34" s="86" t="s">
        <v>168</v>
      </c>
      <c r="AO34" s="86" t="s">
        <v>169</v>
      </c>
      <c r="AP34" s="86" t="s">
        <v>170</v>
      </c>
      <c r="AQ34" s="86">
        <v>0.74</v>
      </c>
      <c r="AR34" s="86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3" t="s">
        <v>149</v>
      </c>
      <c r="F35" s="11" t="s">
        <v>171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9"/>
      <c r="AN35" s="71"/>
      <c r="AO35" s="71"/>
      <c r="AP35" s="71"/>
      <c r="AQ35" s="71"/>
      <c r="AR35" s="71"/>
    </row>
    <row r="36" spans="1:44" s="26" customFormat="1" hidden="1">
      <c r="A36" s="11" t="s">
        <v>172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9"/>
      <c r="AN36" s="71"/>
      <c r="AO36" s="71"/>
      <c r="AP36" s="71"/>
      <c r="AQ36" s="71"/>
      <c r="AR36" s="71"/>
    </row>
    <row r="37" spans="1:44" s="26" customFormat="1" hidden="1">
      <c r="A37" s="11" t="s">
        <v>173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9"/>
      <c r="AN37" s="71"/>
      <c r="AO37" s="71"/>
      <c r="AP37" s="71"/>
      <c r="AQ37" s="71"/>
      <c r="AR37" s="71"/>
    </row>
    <row r="38" spans="1:44" s="26" customFormat="1" hidden="1">
      <c r="A38" s="11" t="s">
        <v>174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9"/>
      <c r="AN38" s="71"/>
      <c r="AO38" s="71"/>
      <c r="AP38" s="71"/>
      <c r="AQ38" s="71"/>
      <c r="AR38" s="71"/>
    </row>
    <row r="39" spans="1:44" s="26" customFormat="1" hidden="1">
      <c r="A39" s="11" t="s">
        <v>175</v>
      </c>
      <c r="B39" s="11" t="s">
        <v>176</v>
      </c>
      <c r="C39" s="11" t="s">
        <v>177</v>
      </c>
      <c r="D39" s="11" t="s">
        <v>178</v>
      </c>
      <c r="E39" s="11" t="s">
        <v>179</v>
      </c>
      <c r="F39" s="11" t="s">
        <v>179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9"/>
      <c r="AN39" s="71"/>
      <c r="AO39" s="71"/>
      <c r="AP39" s="71"/>
      <c r="AQ39" s="71"/>
      <c r="AR39" s="71"/>
    </row>
    <row r="40" spans="1:44" s="26" customFormat="1" hidden="1">
      <c r="A40" s="11" t="s">
        <v>180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9"/>
      <c r="AN40" s="71"/>
      <c r="AO40" s="71"/>
      <c r="AP40" s="71"/>
      <c r="AQ40" s="71"/>
      <c r="AR40" s="71"/>
    </row>
    <row r="41" spans="1:44" s="26" customFormat="1" hidden="1">
      <c r="A41" s="11" t="s">
        <v>181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9"/>
      <c r="AN41" s="71"/>
      <c r="AO41" s="71"/>
      <c r="AP41" s="71"/>
      <c r="AQ41" s="71"/>
      <c r="AR41" s="71"/>
    </row>
    <row r="42" spans="1:44" s="26" customFormat="1" hidden="1">
      <c r="A42" s="11" t="s">
        <v>174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9"/>
      <c r="AN42" s="71"/>
      <c r="AO42" s="71"/>
      <c r="AP42" s="71"/>
      <c r="AQ42" s="71"/>
      <c r="AR42" s="71"/>
    </row>
    <row r="43" spans="1:44" s="26" customFormat="1" hidden="1">
      <c r="A43" s="11" t="s">
        <v>182</v>
      </c>
      <c r="B43" s="11" t="s">
        <v>183</v>
      </c>
      <c r="C43" s="11" t="s">
        <v>184</v>
      </c>
      <c r="D43" s="11" t="s">
        <v>178</v>
      </c>
      <c r="E43" s="11" t="s">
        <v>179</v>
      </c>
      <c r="F43" s="11" t="s">
        <v>179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9"/>
      <c r="AN43" s="71"/>
      <c r="AO43" s="71"/>
      <c r="AP43" s="71"/>
      <c r="AQ43" s="71"/>
      <c r="AR43" s="71"/>
    </row>
    <row r="44" spans="1:44" s="26" customFormat="1" hidden="1">
      <c r="A44" s="11" t="s">
        <v>180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9"/>
      <c r="AN44" s="71"/>
      <c r="AO44" s="71"/>
      <c r="AP44" s="71"/>
      <c r="AQ44" s="71"/>
      <c r="AR44" s="71"/>
    </row>
    <row r="45" spans="1:44" s="26" customFormat="1" hidden="1">
      <c r="A45" s="11" t="s">
        <v>181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9"/>
      <c r="AN45" s="71"/>
      <c r="AO45" s="71"/>
      <c r="AP45" s="71"/>
      <c r="AQ45" s="71"/>
      <c r="AR45" s="71"/>
    </row>
    <row r="46" spans="1:44" s="26" customFormat="1" hidden="1">
      <c r="A46" s="11" t="s">
        <v>174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9"/>
      <c r="AN46" s="71"/>
      <c r="AO46" s="71"/>
      <c r="AP46" s="71"/>
      <c r="AQ46" s="71"/>
      <c r="AR46" s="71"/>
    </row>
    <row r="47" spans="1:44" s="26" customFormat="1" hidden="1">
      <c r="A47" s="11" t="s">
        <v>185</v>
      </c>
      <c r="B47" s="11" t="s">
        <v>184</v>
      </c>
      <c r="C47" s="11" t="s">
        <v>184</v>
      </c>
      <c r="D47" s="11" t="s">
        <v>179</v>
      </c>
      <c r="E47" s="11" t="s">
        <v>179</v>
      </c>
      <c r="F47" s="11" t="s">
        <v>179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9"/>
      <c r="AN47" s="71"/>
      <c r="AO47" s="71"/>
      <c r="AP47" s="71"/>
      <c r="AQ47" s="71"/>
      <c r="AR47" s="71"/>
    </row>
    <row r="48" spans="1:44" s="26" customFormat="1" hidden="1">
      <c r="A48" s="11" t="s">
        <v>180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9"/>
      <c r="AN48" s="71"/>
      <c r="AO48" s="71"/>
      <c r="AP48" s="71"/>
      <c r="AQ48" s="71"/>
      <c r="AR48" s="71"/>
    </row>
    <row r="49" spans="1:44" s="26" customFormat="1" hidden="1">
      <c r="A49" s="11" t="s">
        <v>181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9"/>
      <c r="AN49" s="71"/>
      <c r="AO49" s="71"/>
      <c r="AP49" s="71"/>
      <c r="AQ49" s="71"/>
      <c r="AR49" s="71"/>
    </row>
    <row r="50" spans="1:44" s="26" customFormat="1" hidden="1">
      <c r="A50" s="11" t="s">
        <v>174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9"/>
      <c r="AN50" s="71"/>
      <c r="AO50" s="71"/>
      <c r="AP50" s="71"/>
      <c r="AQ50" s="71"/>
      <c r="AR50" s="71"/>
    </row>
    <row r="51" spans="1:44" s="26" customFormat="1" hidden="1">
      <c r="A51" s="11" t="s">
        <v>186</v>
      </c>
      <c r="B51" s="11" t="s">
        <v>187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9"/>
      <c r="AN51" s="71"/>
      <c r="AO51" s="71"/>
      <c r="AP51" s="71"/>
      <c r="AQ51" s="71"/>
      <c r="AR51" s="71"/>
    </row>
    <row r="52" spans="1:44" s="26" customFormat="1" hidden="1">
      <c r="A52" s="11" t="s">
        <v>188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9"/>
      <c r="AN52" s="71"/>
      <c r="AO52" s="71"/>
      <c r="AP52" s="71"/>
      <c r="AQ52" s="71"/>
      <c r="AR52" s="71"/>
    </row>
    <row r="53" spans="1:44" ht="178.5">
      <c r="A53" s="9" t="s">
        <v>174</v>
      </c>
      <c r="B53" s="94" t="s">
        <v>25</v>
      </c>
      <c r="C53" s="94" t="s">
        <v>26</v>
      </c>
      <c r="D53" s="94" t="s">
        <v>27</v>
      </c>
      <c r="E53" s="94" t="s">
        <v>28</v>
      </c>
      <c r="F53" s="94" t="s">
        <v>29</v>
      </c>
      <c r="G53" s="64"/>
      <c r="H53" s="64"/>
      <c r="I53" s="64"/>
      <c r="AB53" s="86" t="s">
        <v>189</v>
      </c>
      <c r="AC53" s="88">
        <v>8</v>
      </c>
      <c r="AD53" s="88">
        <v>2.1</v>
      </c>
      <c r="AE53" s="88">
        <v>2.1</v>
      </c>
      <c r="AF53" s="88">
        <v>2.1</v>
      </c>
      <c r="AI53" s="86" t="s">
        <v>190</v>
      </c>
      <c r="AJ53" s="88">
        <v>1.3</v>
      </c>
      <c r="AK53" s="88">
        <v>1.36</v>
      </c>
    </row>
    <row r="54" spans="1:44" s="26" customFormat="1">
      <c r="A54" s="95" t="s">
        <v>191</v>
      </c>
      <c r="B54" s="96">
        <v>1</v>
      </c>
      <c r="C54" s="96">
        <v>2</v>
      </c>
      <c r="D54" s="96">
        <v>3</v>
      </c>
      <c r="E54" s="96">
        <v>4</v>
      </c>
      <c r="F54" s="96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192</v>
      </c>
      <c r="B55" s="97" t="s">
        <v>31</v>
      </c>
      <c r="C55" s="97" t="s">
        <v>32</v>
      </c>
      <c r="D55" s="97" t="s">
        <v>33</v>
      </c>
      <c r="E55" s="97" t="s">
        <v>34</v>
      </c>
      <c r="F55" s="94" t="s">
        <v>35</v>
      </c>
      <c r="G55" s="64"/>
      <c r="H55" s="64"/>
      <c r="I55" s="64"/>
      <c r="AB55" s="80" t="s">
        <v>193</v>
      </c>
      <c r="AC55" s="86" t="s">
        <v>194</v>
      </c>
      <c r="AD55" s="80">
        <v>1.53</v>
      </c>
      <c r="AE55" s="80">
        <v>1.8</v>
      </c>
      <c r="AF55" s="87">
        <v>2.2999999999999998</v>
      </c>
      <c r="AI55" s="86" t="s">
        <v>195</v>
      </c>
      <c r="AJ55" s="88">
        <v>2</v>
      </c>
      <c r="AK55" s="88">
        <v>1.95</v>
      </c>
    </row>
    <row r="56" spans="1:44">
      <c r="A56" s="11" t="s">
        <v>196</v>
      </c>
      <c r="B56" s="13">
        <v>1</v>
      </c>
      <c r="C56" s="13">
        <v>2</v>
      </c>
      <c r="D56" s="13">
        <v>3</v>
      </c>
      <c r="E56" s="13">
        <v>4</v>
      </c>
      <c r="F56" s="98">
        <v>5</v>
      </c>
      <c r="G56" s="64"/>
      <c r="H56" s="64"/>
      <c r="I56" s="64"/>
      <c r="AB56" s="80"/>
      <c r="AC56" s="86"/>
      <c r="AD56" s="80"/>
      <c r="AE56" s="80"/>
      <c r="AF56" s="87"/>
      <c r="AI56" s="86"/>
      <c r="AJ56" s="88"/>
      <c r="AK56" s="88"/>
    </row>
    <row r="57" spans="1:44">
      <c r="A57" s="16" t="s">
        <v>197</v>
      </c>
      <c r="B57" s="314" t="str">
        <f>'I&amp;O'!C25</f>
        <v>Sedentary</v>
      </c>
      <c r="C57" s="99"/>
      <c r="D57" s="100"/>
      <c r="E57" s="100"/>
      <c r="F57" s="64"/>
      <c r="G57" s="64"/>
      <c r="H57" s="64"/>
      <c r="I57" s="64"/>
      <c r="AB57" s="80" t="s">
        <v>198</v>
      </c>
      <c r="AC57" s="92" t="s">
        <v>194</v>
      </c>
      <c r="AD57" s="92" t="s">
        <v>194</v>
      </c>
      <c r="AE57" s="92" t="s">
        <v>194</v>
      </c>
      <c r="AF57" s="92" t="s">
        <v>194</v>
      </c>
      <c r="AI57" s="86" t="s">
        <v>199</v>
      </c>
      <c r="AJ57" s="88">
        <v>3.6</v>
      </c>
      <c r="AK57" s="88">
        <v>3.5</v>
      </c>
    </row>
    <row r="58" spans="1:44">
      <c r="A58" s="20" t="s">
        <v>200</v>
      </c>
      <c r="B58" s="104">
        <f>IF($B$57=B33,B34,IF($B$57=C33,C34,IF($B$57=D33,D34,IF($B$57=E33,E34,F34))))</f>
        <v>1.3</v>
      </c>
      <c r="D58" s="102"/>
      <c r="E58" s="103"/>
      <c r="F58" s="103"/>
      <c r="AB58" s="86" t="s">
        <v>201</v>
      </c>
      <c r="AC58" s="88">
        <v>1</v>
      </c>
      <c r="AD58" s="88">
        <v>2.2999999999999998</v>
      </c>
      <c r="AE58" s="88">
        <v>2.2999999999999998</v>
      </c>
      <c r="AF58" s="88">
        <v>2.2999999999999998</v>
      </c>
      <c r="AI58" s="86" t="s">
        <v>202</v>
      </c>
      <c r="AJ58" s="88">
        <v>7.4</v>
      </c>
      <c r="AK58" s="88">
        <v>7.5</v>
      </c>
    </row>
    <row r="59" spans="1:44">
      <c r="A59" s="72" t="s">
        <v>203</v>
      </c>
      <c r="B59" s="104"/>
      <c r="C59" s="104"/>
      <c r="D59" s="101" t="s">
        <v>204</v>
      </c>
      <c r="AB59" s="86"/>
      <c r="AC59" s="88"/>
      <c r="AD59" s="88"/>
      <c r="AE59" s="88"/>
      <c r="AF59" s="88"/>
      <c r="AI59" s="86"/>
      <c r="AJ59" s="88"/>
      <c r="AK59" s="88"/>
    </row>
    <row r="60" spans="1:44" ht="31.5">
      <c r="A60" s="11"/>
      <c r="B60" s="105"/>
      <c r="C60" s="106" t="s">
        <v>205</v>
      </c>
      <c r="AB60" s="86"/>
      <c r="AC60" s="88"/>
      <c r="AD60" s="88"/>
      <c r="AE60" s="88"/>
      <c r="AF60" s="88"/>
      <c r="AI60" s="86"/>
      <c r="AJ60" s="88"/>
      <c r="AK60" s="88"/>
    </row>
    <row r="61" spans="1:44" ht="64.5">
      <c r="A61" s="107" t="s">
        <v>501</v>
      </c>
      <c r="B61" s="108">
        <f>ROUND((IF(B13=B14,B63,C63)),0)</f>
        <v>1784</v>
      </c>
      <c r="C61" s="109"/>
      <c r="D61" s="102" t="s">
        <v>206</v>
      </c>
      <c r="AB61" s="86"/>
      <c r="AC61" s="88"/>
      <c r="AD61" s="88"/>
      <c r="AE61" s="88"/>
      <c r="AF61" s="88"/>
      <c r="AI61" s="86"/>
      <c r="AJ61" s="88"/>
      <c r="AK61" s="88"/>
    </row>
    <row r="62" spans="1:44" ht="12.75" customHeight="1">
      <c r="A62" s="11" t="s">
        <v>207</v>
      </c>
      <c r="B62" s="26" t="s">
        <v>4</v>
      </c>
      <c r="C62" s="105" t="s">
        <v>3</v>
      </c>
      <c r="D62" s="102"/>
      <c r="AB62" s="86"/>
      <c r="AC62" s="88"/>
      <c r="AD62" s="88"/>
      <c r="AE62" s="88"/>
      <c r="AF62" s="88"/>
      <c r="AI62" s="86"/>
      <c r="AJ62" s="88"/>
      <c r="AK62" s="88"/>
    </row>
    <row r="63" spans="1:44">
      <c r="A63" s="26"/>
      <c r="B63" s="110">
        <f>B28*$B$58</f>
        <v>0</v>
      </c>
      <c r="C63" s="363">
        <f>C28*$B$58</f>
        <v>1784.4125000000001</v>
      </c>
      <c r="D63" s="102"/>
      <c r="AB63" s="86" t="s">
        <v>208</v>
      </c>
      <c r="AC63" s="88">
        <v>1</v>
      </c>
      <c r="AD63" s="88">
        <v>1.5</v>
      </c>
      <c r="AE63" s="88">
        <v>1.5</v>
      </c>
      <c r="AF63" s="88">
        <v>1.5</v>
      </c>
      <c r="AI63" s="86" t="s">
        <v>209</v>
      </c>
      <c r="AJ63" s="88">
        <v>1.58</v>
      </c>
      <c r="AK63" s="88">
        <v>1.69</v>
      </c>
    </row>
    <row r="64" spans="1:44" hidden="1">
      <c r="A64" s="307" t="s">
        <v>502</v>
      </c>
      <c r="B64" s="308"/>
      <c r="D64" s="63" t="s">
        <v>491</v>
      </c>
    </row>
    <row r="65" spans="1:6" hidden="1">
      <c r="A65" s="307"/>
      <c r="B65" s="308" t="e">
        <f>B61+LOOKUP('I&amp;O'!C16,Adults!D65:F65,Adults!D66:F66)</f>
        <v>#N/A</v>
      </c>
      <c r="D65" s="63" t="s">
        <v>488</v>
      </c>
      <c r="E65" s="63" t="s">
        <v>489</v>
      </c>
      <c r="F65" s="63" t="s">
        <v>490</v>
      </c>
    </row>
    <row r="66" spans="1:6">
      <c r="D66" s="26">
        <v>75</v>
      </c>
      <c r="E66" s="26">
        <v>265</v>
      </c>
      <c r="F66" s="26">
        <v>430</v>
      </c>
    </row>
    <row r="67" spans="1:6">
      <c r="A67" s="307" t="s">
        <v>503</v>
      </c>
      <c r="B67" s="307"/>
    </row>
    <row r="68" spans="1:6">
      <c r="A68" s="307"/>
      <c r="B68" s="307"/>
      <c r="D68" s="63" t="s">
        <v>491</v>
      </c>
    </row>
    <row r="69" spans="1:6">
      <c r="A69" s="307"/>
      <c r="B69" s="308">
        <f>C63+B71</f>
        <v>2384.4125000000004</v>
      </c>
      <c r="D69" s="13" t="s">
        <v>494</v>
      </c>
      <c r="E69" s="13" t="s">
        <v>495</v>
      </c>
    </row>
    <row r="70" spans="1:6">
      <c r="A70" s="63" t="s">
        <v>545</v>
      </c>
      <c r="B70" s="63" t="str">
        <f>'I&amp;O'!C18</f>
        <v>6 months or younger</v>
      </c>
      <c r="D70" s="63">
        <v>600</v>
      </c>
      <c r="E70" s="63">
        <v>520</v>
      </c>
    </row>
    <row r="71" spans="1:6">
      <c r="A71" s="63" t="s">
        <v>486</v>
      </c>
      <c r="B71" s="63">
        <f>IF(B70=D69,D70,E70)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Z260"/>
  <sheetViews>
    <sheetView topLeftCell="C197" workbookViewId="0">
      <selection activeCell="H214" sqref="H214"/>
    </sheetView>
  </sheetViews>
  <sheetFormatPr defaultRowHeight="15"/>
  <cols>
    <col min="1" max="1" width="8.140625" style="171" customWidth="1"/>
    <col min="2" max="2" width="5.85546875" style="171" customWidth="1"/>
    <col min="3" max="3" width="8.7109375" style="171" customWidth="1"/>
    <col min="4" max="4" width="26.28515625" style="171" customWidth="1"/>
    <col min="5" max="5" width="10.28515625" style="132" customWidth="1"/>
    <col min="6" max="6" width="6.85546875" style="132" customWidth="1"/>
    <col min="7" max="7" width="10.140625" style="132" customWidth="1"/>
    <col min="8" max="8" width="12.42578125" style="132" customWidth="1"/>
    <col min="9" max="9" width="10.140625" style="132" customWidth="1"/>
    <col min="10" max="10" width="8.42578125" style="132" customWidth="1"/>
    <col min="11" max="16" width="11" style="132" customWidth="1"/>
    <col min="17" max="33" width="11" style="180" customWidth="1"/>
    <col min="34" max="34" width="9" style="180" customWidth="1"/>
    <col min="35" max="35" width="9.140625" style="180" customWidth="1"/>
    <col min="36" max="45" width="9.140625" style="180"/>
    <col min="46" max="16384" width="9.140625" style="132"/>
  </cols>
  <sheetData>
    <row r="1" spans="1:87" ht="45">
      <c r="D1" s="172" t="s">
        <v>294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174"/>
      <c r="S1" s="175"/>
      <c r="T1" s="175"/>
      <c r="U1" s="175"/>
      <c r="V1" s="176"/>
      <c r="W1" s="176"/>
      <c r="X1" s="176"/>
      <c r="Y1" s="177"/>
      <c r="Z1" s="178"/>
      <c r="AA1" s="176"/>
      <c r="AB1" s="176"/>
      <c r="AC1" s="176"/>
      <c r="AD1" s="176"/>
      <c r="AE1" s="176"/>
      <c r="AF1" s="176"/>
      <c r="AG1" s="177"/>
      <c r="AH1" s="179"/>
      <c r="AI1" s="179"/>
      <c r="AJ1" s="179"/>
      <c r="BB1" s="180"/>
      <c r="BC1" s="180"/>
      <c r="BD1" s="180"/>
      <c r="BE1" s="180"/>
      <c r="BF1" s="180"/>
      <c r="BG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</row>
    <row r="2" spans="1:87" ht="30">
      <c r="A2" s="120" t="s">
        <v>295</v>
      </c>
      <c r="B2" s="132"/>
      <c r="C2" s="120" t="s">
        <v>67</v>
      </c>
      <c r="D2" s="181"/>
      <c r="E2" s="182" t="s">
        <v>296</v>
      </c>
      <c r="F2" s="182" t="s">
        <v>297</v>
      </c>
      <c r="G2" s="182" t="s">
        <v>298</v>
      </c>
      <c r="H2" s="182" t="s">
        <v>299</v>
      </c>
      <c r="I2" s="182" t="s">
        <v>75</v>
      </c>
      <c r="J2" s="182" t="s">
        <v>78</v>
      </c>
      <c r="K2" s="182" t="s">
        <v>79</v>
      </c>
      <c r="L2" s="182" t="s">
        <v>83</v>
      </c>
      <c r="M2" s="182" t="s">
        <v>84</v>
      </c>
      <c r="N2" s="182" t="s">
        <v>76</v>
      </c>
      <c r="O2" s="182" t="s">
        <v>77</v>
      </c>
      <c r="P2" s="182" t="s">
        <v>82</v>
      </c>
      <c r="Q2" s="182" t="s">
        <v>300</v>
      </c>
      <c r="R2" s="182" t="s">
        <v>80</v>
      </c>
      <c r="S2" s="182" t="s">
        <v>252</v>
      </c>
      <c r="T2" s="182" t="s">
        <v>301</v>
      </c>
      <c r="U2" s="182" t="s">
        <v>302</v>
      </c>
      <c r="V2" s="182" t="s">
        <v>303</v>
      </c>
      <c r="W2" s="182" t="s">
        <v>304</v>
      </c>
      <c r="X2" s="182" t="s">
        <v>305</v>
      </c>
      <c r="Y2" s="182" t="s">
        <v>306</v>
      </c>
      <c r="Z2" s="182" t="s">
        <v>81</v>
      </c>
      <c r="AA2" s="182" t="s">
        <v>307</v>
      </c>
      <c r="AB2" s="182" t="s">
        <v>308</v>
      </c>
      <c r="AC2" s="182" t="s">
        <v>309</v>
      </c>
      <c r="AD2" s="182" t="s">
        <v>310</v>
      </c>
      <c r="AE2" s="182" t="s">
        <v>311</v>
      </c>
      <c r="AF2" s="182" t="s">
        <v>312</v>
      </c>
      <c r="AG2" s="182" t="s">
        <v>313</v>
      </c>
      <c r="AH2" s="183"/>
      <c r="AI2" s="184"/>
      <c r="AJ2" s="184"/>
      <c r="BB2" s="180"/>
      <c r="BC2" s="180"/>
      <c r="BD2" s="180"/>
      <c r="BE2" s="180"/>
      <c r="BF2" s="180"/>
      <c r="BG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</row>
    <row r="3" spans="1:87" s="185" customFormat="1">
      <c r="B3" s="186"/>
      <c r="C3" s="186">
        <f t="shared" ref="C3:C13" si="0">(E3+F3)*4+G3*9</f>
        <v>92.780054399999997</v>
      </c>
      <c r="D3" s="182" t="s">
        <v>268</v>
      </c>
      <c r="E3" s="187">
        <f>E57</f>
        <v>17.961537</v>
      </c>
      <c r="F3" s="187">
        <f t="shared" ref="F3:AG3" si="1">F57</f>
        <v>3.0676931999999999</v>
      </c>
      <c r="G3" s="187">
        <f t="shared" si="1"/>
        <v>0.96257039999999994</v>
      </c>
      <c r="H3" s="187">
        <f t="shared" si="1"/>
        <v>0.20064660000000001</v>
      </c>
      <c r="I3" s="187">
        <f t="shared" si="1"/>
        <v>0</v>
      </c>
      <c r="J3" s="187">
        <f t="shared" si="1"/>
        <v>0.4672866</v>
      </c>
      <c r="K3" s="187">
        <f t="shared" si="1"/>
        <v>0.389961</v>
      </c>
      <c r="L3" s="187">
        <f t="shared" si="1"/>
        <v>2.1531180000000001</v>
      </c>
      <c r="M3" s="187">
        <f t="shared" si="1"/>
        <v>1.1598839999999999</v>
      </c>
      <c r="N3" s="187">
        <f t="shared" si="1"/>
        <v>15.168482999999998</v>
      </c>
      <c r="O3" s="187">
        <f t="shared" si="1"/>
        <v>250.24830599999999</v>
      </c>
      <c r="P3" s="187">
        <f>P57</f>
        <v>9.339065999999999</v>
      </c>
      <c r="Q3" s="187">
        <f t="shared" si="1"/>
        <v>0.14731859999999999</v>
      </c>
      <c r="R3" s="187">
        <f t="shared" si="1"/>
        <v>0.53327999999999998</v>
      </c>
      <c r="S3" s="187">
        <f t="shared" si="1"/>
        <v>0</v>
      </c>
      <c r="T3" s="187">
        <f t="shared" si="1"/>
        <v>0</v>
      </c>
      <c r="U3" s="187">
        <f t="shared" si="1"/>
        <v>0</v>
      </c>
      <c r="V3" s="187">
        <f t="shared" si="1"/>
        <v>9.0990899999999986E-2</v>
      </c>
      <c r="W3" s="187">
        <f t="shared" si="1"/>
        <v>2.4997499999999999E-2</v>
      </c>
      <c r="X3" s="187">
        <f t="shared" si="1"/>
        <v>0.75025830000000004</v>
      </c>
      <c r="Y3" s="187">
        <f t="shared" si="1"/>
        <v>0.12065459999999999</v>
      </c>
      <c r="Z3" s="187">
        <f t="shared" si="1"/>
        <v>8.7271271999999982</v>
      </c>
      <c r="AA3" s="187">
        <f t="shared" si="1"/>
        <v>0</v>
      </c>
      <c r="AB3" s="187">
        <f t="shared" si="1"/>
        <v>0</v>
      </c>
      <c r="AC3" s="187">
        <f t="shared" si="1"/>
        <v>38.872778999999994</v>
      </c>
      <c r="AD3" s="187">
        <f t="shared" si="1"/>
        <v>73.634635799999984</v>
      </c>
      <c r="AE3" s="187">
        <f t="shared" si="1"/>
        <v>0.5386128</v>
      </c>
      <c r="AF3" s="187">
        <f t="shared" si="1"/>
        <v>0.14731859999999999</v>
      </c>
      <c r="AG3" s="187">
        <f t="shared" si="1"/>
        <v>24.344232000000002</v>
      </c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BB3" s="188"/>
      <c r="BC3" s="188"/>
      <c r="BD3" s="188"/>
      <c r="BE3" s="188"/>
      <c r="BF3" s="188"/>
      <c r="BG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</row>
    <row r="4" spans="1:87">
      <c r="B4" s="189"/>
      <c r="C4" s="189">
        <f t="shared" si="0"/>
        <v>43.659791666666671</v>
      </c>
      <c r="D4" s="182" t="s">
        <v>314</v>
      </c>
      <c r="E4" s="190">
        <f t="shared" ref="E4:AG4" si="2">E212</f>
        <v>8.7895833333333329</v>
      </c>
      <c r="F4" s="190">
        <f t="shared" si="2"/>
        <v>1.7058333333333335</v>
      </c>
      <c r="G4" s="190">
        <f t="shared" si="2"/>
        <v>0.18645833333333336</v>
      </c>
      <c r="H4" s="190">
        <f t="shared" si="2"/>
        <v>3.7983333333333327E-2</v>
      </c>
      <c r="I4" s="190">
        <f t="shared" si="2"/>
        <v>0</v>
      </c>
      <c r="J4" s="190">
        <f t="shared" si="2"/>
        <v>5.3683333333333347E-2</v>
      </c>
      <c r="K4" s="190">
        <f t="shared" si="2"/>
        <v>0.11501500000000002</v>
      </c>
      <c r="L4" s="190">
        <f t="shared" si="2"/>
        <v>1.9987500000000002</v>
      </c>
      <c r="M4" s="190">
        <f t="shared" si="2"/>
        <v>225</v>
      </c>
      <c r="N4" s="190">
        <f t="shared" si="2"/>
        <v>0</v>
      </c>
      <c r="O4" s="190">
        <f t="shared" si="2"/>
        <v>0</v>
      </c>
      <c r="P4" s="190">
        <f t="shared" si="2"/>
        <v>24.910333333333334</v>
      </c>
      <c r="Q4" s="190">
        <f t="shared" si="2"/>
        <v>0</v>
      </c>
      <c r="R4" s="190">
        <f t="shared" si="2"/>
        <v>275.54925000000003</v>
      </c>
      <c r="S4" s="190">
        <f t="shared" si="2"/>
        <v>21.587</v>
      </c>
      <c r="T4" s="190">
        <f t="shared" si="2"/>
        <v>0</v>
      </c>
      <c r="U4" s="190">
        <f t="shared" si="2"/>
        <v>0.37000000000000005</v>
      </c>
      <c r="V4" s="190">
        <f t="shared" si="2"/>
        <v>7.4786666666666682E-2</v>
      </c>
      <c r="W4" s="190">
        <f t="shared" si="2"/>
        <v>4.8360833333333339E-2</v>
      </c>
      <c r="X4" s="190">
        <f t="shared" si="2"/>
        <v>0.72012583333333335</v>
      </c>
      <c r="Y4" s="190">
        <f t="shared" si="2"/>
        <v>4.0000000000000008E-2</v>
      </c>
      <c r="Z4" s="190">
        <f t="shared" si="2"/>
        <v>31.615108333333335</v>
      </c>
      <c r="AA4" s="190">
        <f t="shared" si="2"/>
        <v>0</v>
      </c>
      <c r="AB4" s="190">
        <f t="shared" si="2"/>
        <v>0.63954166666666667</v>
      </c>
      <c r="AC4" s="190">
        <f t="shared" si="2"/>
        <v>0</v>
      </c>
      <c r="AD4" s="190">
        <f t="shared" si="2"/>
        <v>102.96000000000001</v>
      </c>
      <c r="AE4" s="190">
        <f t="shared" si="2"/>
        <v>0.14850000000000002</v>
      </c>
      <c r="AF4" s="190">
        <f t="shared" si="2"/>
        <v>0</v>
      </c>
      <c r="AG4" s="190">
        <f t="shared" si="2"/>
        <v>0</v>
      </c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</row>
    <row r="5" spans="1:87">
      <c r="B5" s="189"/>
      <c r="C5" s="189">
        <f t="shared" si="0"/>
        <v>67.483720930232579</v>
      </c>
      <c r="D5" s="182" t="s">
        <v>114</v>
      </c>
      <c r="E5" s="191">
        <f t="shared" ref="E5:AG5" si="3">E154</f>
        <v>13.532558139534888</v>
      </c>
      <c r="F5" s="191">
        <f t="shared" si="3"/>
        <v>1.1093023255813954</v>
      </c>
      <c r="G5" s="191">
        <f t="shared" si="3"/>
        <v>0.99069767441860468</v>
      </c>
      <c r="H5" s="191">
        <f t="shared" si="3"/>
        <v>0</v>
      </c>
      <c r="I5" s="191">
        <f t="shared" si="3"/>
        <v>0</v>
      </c>
      <c r="J5" s="191">
        <f t="shared" si="3"/>
        <v>0</v>
      </c>
      <c r="K5" s="191">
        <f t="shared" si="3"/>
        <v>0</v>
      </c>
      <c r="L5" s="191">
        <f t="shared" si="3"/>
        <v>3.6599999999999993</v>
      </c>
      <c r="M5" s="191">
        <f t="shared" si="3"/>
        <v>10.476744186046513</v>
      </c>
      <c r="N5" s="191">
        <f t="shared" si="3"/>
        <v>0</v>
      </c>
      <c r="O5" s="191">
        <f t="shared" si="3"/>
        <v>0</v>
      </c>
      <c r="P5" s="191">
        <f t="shared" si="3"/>
        <v>43.930232558139537</v>
      </c>
      <c r="Q5" s="191">
        <f t="shared" si="3"/>
        <v>0</v>
      </c>
      <c r="R5" s="191">
        <f t="shared" si="3"/>
        <v>14.145348837209303</v>
      </c>
      <c r="S5" s="191">
        <f t="shared" si="3"/>
        <v>21.476190476190474</v>
      </c>
      <c r="T5" s="191">
        <f t="shared" si="3"/>
        <v>0</v>
      </c>
      <c r="U5" s="191">
        <f t="shared" si="3"/>
        <v>0</v>
      </c>
      <c r="V5" s="191">
        <f t="shared" si="3"/>
        <v>3.8139534883720939E-2</v>
      </c>
      <c r="W5" s="191">
        <f t="shared" si="3"/>
        <v>5.1627906976744194E-2</v>
      </c>
      <c r="X5" s="191">
        <f t="shared" si="3"/>
        <v>0.42325581395348838</v>
      </c>
      <c r="Y5" s="191">
        <f t="shared" si="3"/>
        <v>0</v>
      </c>
      <c r="Z5" s="191">
        <f t="shared" si="3"/>
        <v>0</v>
      </c>
      <c r="AA5" s="191">
        <f t="shared" si="3"/>
        <v>0</v>
      </c>
      <c r="AB5" s="191">
        <f t="shared" si="3"/>
        <v>1.3771428571428577</v>
      </c>
      <c r="AC5" s="191">
        <f t="shared" si="3"/>
        <v>25.666666666666668</v>
      </c>
      <c r="AD5" s="191">
        <f t="shared" si="3"/>
        <v>121.54390243902439</v>
      </c>
      <c r="AE5" s="191">
        <f t="shared" si="3"/>
        <v>0.24399999999999997</v>
      </c>
      <c r="AF5" s="191">
        <f t="shared" si="3"/>
        <v>0.17655172413793105</v>
      </c>
      <c r="AG5" s="191">
        <f t="shared" si="3"/>
        <v>0</v>
      </c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</row>
    <row r="6" spans="1:87">
      <c r="A6" s="132"/>
      <c r="B6" s="189"/>
      <c r="C6" s="189">
        <f t="shared" si="0"/>
        <v>174.82</v>
      </c>
      <c r="D6" s="182" t="s">
        <v>262</v>
      </c>
      <c r="E6" s="192">
        <f t="shared" ref="E6:AG6" si="4">E169</f>
        <v>5.62</v>
      </c>
      <c r="F6" s="192">
        <f t="shared" si="4"/>
        <v>6</v>
      </c>
      <c r="G6" s="192">
        <f t="shared" si="4"/>
        <v>14.26</v>
      </c>
      <c r="H6" s="192">
        <f t="shared" si="4"/>
        <v>1.6479999999999997</v>
      </c>
      <c r="I6" s="192">
        <f t="shared" si="4"/>
        <v>0</v>
      </c>
      <c r="J6" s="192">
        <f t="shared" si="4"/>
        <v>7.1</v>
      </c>
      <c r="K6" s="192">
        <f t="shared" si="4"/>
        <v>4.8800000000000008</v>
      </c>
      <c r="L6" s="192">
        <f t="shared" si="4"/>
        <v>2.2600000000000002</v>
      </c>
      <c r="M6" s="192">
        <f t="shared" si="4"/>
        <v>2.12</v>
      </c>
      <c r="N6" s="192">
        <f t="shared" si="4"/>
        <v>131</v>
      </c>
      <c r="O6" s="192">
        <f t="shared" si="4"/>
        <v>4711</v>
      </c>
      <c r="P6" s="192">
        <f t="shared" si="4"/>
        <v>31.82</v>
      </c>
      <c r="Q6" s="192">
        <f t="shared" si="4"/>
        <v>1.175</v>
      </c>
      <c r="R6" s="192">
        <f t="shared" si="4"/>
        <v>0</v>
      </c>
      <c r="S6" s="192">
        <f t="shared" si="4"/>
        <v>0.2</v>
      </c>
      <c r="T6" s="192">
        <f t="shared" si="4"/>
        <v>0</v>
      </c>
      <c r="U6" s="192">
        <f t="shared" si="4"/>
        <v>4.5999999999999996</v>
      </c>
      <c r="V6" s="192">
        <f t="shared" si="4"/>
        <v>0.1</v>
      </c>
      <c r="W6" s="192">
        <f t="shared" si="4"/>
        <v>0</v>
      </c>
      <c r="X6" s="192">
        <f t="shared" si="4"/>
        <v>3.9</v>
      </c>
      <c r="Y6" s="192">
        <f t="shared" si="4"/>
        <v>0.2</v>
      </c>
      <c r="Z6" s="192">
        <f t="shared" si="4"/>
        <v>20.3</v>
      </c>
      <c r="AA6" s="192">
        <f t="shared" si="4"/>
        <v>0</v>
      </c>
      <c r="AB6" s="192">
        <f t="shared" si="4"/>
        <v>1.3099999999999998</v>
      </c>
      <c r="AC6" s="192">
        <f t="shared" si="4"/>
        <v>58.46</v>
      </c>
      <c r="AD6" s="192">
        <f t="shared" si="4"/>
        <v>203.6</v>
      </c>
      <c r="AE6" s="192">
        <f t="shared" si="4"/>
        <v>0.96</v>
      </c>
      <c r="AF6" s="192">
        <f t="shared" si="4"/>
        <v>0.36</v>
      </c>
      <c r="AG6" s="192">
        <f t="shared" si="4"/>
        <v>2.96</v>
      </c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</row>
    <row r="7" spans="1:87">
      <c r="B7" s="189"/>
      <c r="C7" s="189">
        <f t="shared" si="0"/>
        <v>116.4</v>
      </c>
      <c r="D7" s="182" t="s">
        <v>315</v>
      </c>
      <c r="E7" s="193">
        <f t="shared" ref="E7:AG7" si="5">E142*2</f>
        <v>9.4</v>
      </c>
      <c r="F7" s="193">
        <f t="shared" si="5"/>
        <v>6.2</v>
      </c>
      <c r="G7" s="193">
        <f t="shared" si="5"/>
        <v>6</v>
      </c>
      <c r="H7" s="193">
        <f t="shared" si="5"/>
        <v>3.8</v>
      </c>
      <c r="I7" s="193">
        <f t="shared" si="5"/>
        <v>16</v>
      </c>
      <c r="J7" s="193">
        <f t="shared" si="5"/>
        <v>3.78</v>
      </c>
      <c r="K7" s="193">
        <f t="shared" si="5"/>
        <v>0.2</v>
      </c>
      <c r="L7" s="193">
        <f t="shared" si="5"/>
        <v>0</v>
      </c>
      <c r="M7" s="193">
        <f t="shared" si="5"/>
        <v>88</v>
      </c>
      <c r="N7" s="193">
        <f t="shared" si="5"/>
        <v>150</v>
      </c>
      <c r="O7" s="193">
        <f t="shared" si="5"/>
        <v>240</v>
      </c>
      <c r="P7" s="193">
        <f t="shared" si="5"/>
        <v>240</v>
      </c>
      <c r="Q7" s="193">
        <f t="shared" si="5"/>
        <v>0</v>
      </c>
      <c r="R7" s="193">
        <f t="shared" si="5"/>
        <v>64</v>
      </c>
      <c r="S7" s="193">
        <f t="shared" si="5"/>
        <v>4</v>
      </c>
      <c r="T7" s="193">
        <f t="shared" si="5"/>
        <v>0</v>
      </c>
      <c r="U7" s="193">
        <f t="shared" si="5"/>
        <v>0.08</v>
      </c>
      <c r="V7" s="193">
        <f t="shared" si="5"/>
        <v>0.06</v>
      </c>
      <c r="W7" s="193">
        <f t="shared" si="5"/>
        <v>0.46</v>
      </c>
      <c r="X7" s="193">
        <f t="shared" si="5"/>
        <v>0.2</v>
      </c>
      <c r="Y7" s="193">
        <f t="shared" si="5"/>
        <v>0</v>
      </c>
      <c r="Z7" s="193">
        <f t="shared" si="5"/>
        <v>15</v>
      </c>
      <c r="AA7" s="193">
        <f t="shared" si="5"/>
        <v>0.28000000000000003</v>
      </c>
      <c r="AB7" s="193">
        <f t="shared" si="5"/>
        <v>0.2</v>
      </c>
      <c r="AC7" s="193">
        <f t="shared" si="5"/>
        <v>22</v>
      </c>
      <c r="AD7" s="193">
        <f t="shared" si="5"/>
        <v>322</v>
      </c>
      <c r="AE7" s="193">
        <f t="shared" si="5"/>
        <v>0.8</v>
      </c>
      <c r="AF7" s="193">
        <f t="shared" si="5"/>
        <v>0</v>
      </c>
      <c r="AG7" s="193">
        <f t="shared" si="5"/>
        <v>2</v>
      </c>
      <c r="BR7" s="180"/>
      <c r="BS7" s="180"/>
      <c r="BT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  <c r="CF7" s="180"/>
      <c r="CG7" s="180"/>
      <c r="CH7" s="180"/>
      <c r="CI7" s="180"/>
    </row>
    <row r="8" spans="1:87">
      <c r="B8" s="189"/>
      <c r="C8" s="189">
        <f t="shared" si="0"/>
        <v>67.5</v>
      </c>
      <c r="D8" s="182" t="s">
        <v>316</v>
      </c>
      <c r="E8" s="191">
        <f t="shared" ref="E8:AG8" si="6">E76</f>
        <v>1.2</v>
      </c>
      <c r="F8" s="191">
        <f t="shared" si="6"/>
        <v>6</v>
      </c>
      <c r="G8" s="191">
        <f t="shared" si="6"/>
        <v>4.3</v>
      </c>
      <c r="H8" s="191">
        <f t="shared" si="6"/>
        <v>1.6</v>
      </c>
      <c r="I8" s="191">
        <f t="shared" si="6"/>
        <v>212</v>
      </c>
      <c r="J8" s="191">
        <f t="shared" si="6"/>
        <v>2</v>
      </c>
      <c r="K8" s="191">
        <f t="shared" si="6"/>
        <v>0.7</v>
      </c>
      <c r="L8" s="191">
        <f t="shared" si="6"/>
        <v>0</v>
      </c>
      <c r="M8" s="191">
        <f t="shared" si="6"/>
        <v>62</v>
      </c>
      <c r="N8" s="191">
        <f t="shared" si="6"/>
        <v>37</v>
      </c>
      <c r="O8" s="191">
        <f t="shared" si="6"/>
        <v>572</v>
      </c>
      <c r="P8" s="191">
        <f t="shared" si="6"/>
        <v>25</v>
      </c>
      <c r="Q8" s="191">
        <f t="shared" si="6"/>
        <v>0</v>
      </c>
      <c r="R8" s="191">
        <f t="shared" si="6"/>
        <v>85</v>
      </c>
      <c r="S8" s="191">
        <f t="shared" si="6"/>
        <v>0</v>
      </c>
      <c r="T8" s="191">
        <f t="shared" si="6"/>
        <v>17</v>
      </c>
      <c r="U8" s="191">
        <f t="shared" si="6"/>
        <v>0.5</v>
      </c>
      <c r="V8" s="191">
        <f t="shared" si="6"/>
        <v>0.02</v>
      </c>
      <c r="W8" s="191">
        <f t="shared" si="6"/>
        <v>0.25</v>
      </c>
      <c r="X8" s="191">
        <f t="shared" si="6"/>
        <v>0.02</v>
      </c>
      <c r="Y8" s="191">
        <f t="shared" si="6"/>
        <v>0.1</v>
      </c>
      <c r="Z8" s="191">
        <f t="shared" si="6"/>
        <v>18</v>
      </c>
      <c r="AA8" s="191">
        <f t="shared" si="6"/>
        <v>0.6</v>
      </c>
      <c r="AB8" s="191">
        <f t="shared" si="6"/>
        <v>0.6</v>
      </c>
      <c r="AC8" s="191">
        <f t="shared" si="6"/>
        <v>5</v>
      </c>
      <c r="AD8" s="191">
        <f t="shared" si="6"/>
        <v>63</v>
      </c>
      <c r="AE8" s="191">
        <f t="shared" si="6"/>
        <v>0.5</v>
      </c>
      <c r="AF8" s="191">
        <f t="shared" si="6"/>
        <v>26.5</v>
      </c>
      <c r="AG8" s="191">
        <f t="shared" si="6"/>
        <v>16</v>
      </c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0"/>
      <c r="CC8" s="180"/>
      <c r="CD8" s="180"/>
      <c r="CE8" s="180"/>
      <c r="CF8" s="180"/>
      <c r="CG8" s="180"/>
      <c r="CH8" s="180"/>
      <c r="CI8" s="180"/>
    </row>
    <row r="9" spans="1:87">
      <c r="B9" s="189"/>
      <c r="C9" s="189">
        <f t="shared" si="0"/>
        <v>100.71642857142858</v>
      </c>
      <c r="D9" s="182" t="s">
        <v>317</v>
      </c>
      <c r="E9" s="191">
        <f t="shared" ref="E9:AG9" si="7">E68</f>
        <v>17.56607142857143</v>
      </c>
      <c r="F9" s="191">
        <f t="shared" si="7"/>
        <v>6.8464285714285724</v>
      </c>
      <c r="G9" s="191">
        <f t="shared" si="7"/>
        <v>0.34071428571428569</v>
      </c>
      <c r="H9" s="191">
        <f t="shared" si="7"/>
        <v>9.1607142857142873E-2</v>
      </c>
      <c r="I9" s="191">
        <f t="shared" si="7"/>
        <v>0</v>
      </c>
      <c r="J9" s="191">
        <f t="shared" si="7"/>
        <v>9.8035714285714309E-2</v>
      </c>
      <c r="K9" s="191">
        <f t="shared" si="7"/>
        <v>0.15107142857142855</v>
      </c>
      <c r="L9" s="191">
        <f t="shared" si="7"/>
        <v>4.0821428571428573</v>
      </c>
      <c r="M9" s="191">
        <f t="shared" si="7"/>
        <v>195.42857142857142</v>
      </c>
      <c r="N9" s="191">
        <f t="shared" si="7"/>
        <v>28.542857142857144</v>
      </c>
      <c r="O9" s="191">
        <f t="shared" si="7"/>
        <v>104.14285714285714</v>
      </c>
      <c r="P9" s="191">
        <f>P68</f>
        <v>50.914285714285718</v>
      </c>
      <c r="Q9" s="191">
        <f t="shared" si="7"/>
        <v>0</v>
      </c>
      <c r="R9" s="191">
        <f t="shared" si="7"/>
        <v>1.4271428571428575</v>
      </c>
      <c r="S9" s="191">
        <f t="shared" si="7"/>
        <v>1.0012500000000002</v>
      </c>
      <c r="T9" s="191">
        <f t="shared" si="7"/>
        <v>0</v>
      </c>
      <c r="U9" s="191">
        <f t="shared" si="7"/>
        <v>0</v>
      </c>
      <c r="V9" s="191">
        <f t="shared" si="7"/>
        <v>0.14962500000000004</v>
      </c>
      <c r="W9" s="191">
        <f t="shared" si="7"/>
        <v>5.0142857142857149E-2</v>
      </c>
      <c r="X9" s="191">
        <f t="shared" si="7"/>
        <v>0.61312499999999992</v>
      </c>
      <c r="Y9" s="191">
        <f t="shared" si="7"/>
        <v>0.1767857142857143</v>
      </c>
      <c r="Z9" s="191">
        <f t="shared" si="7"/>
        <v>147.38142857142856</v>
      </c>
      <c r="AA9" s="191">
        <f t="shared" si="7"/>
        <v>7.7142857142857152E-2</v>
      </c>
      <c r="AB9" s="191">
        <f t="shared" si="7"/>
        <v>1.8316607142857142</v>
      </c>
      <c r="AC9" s="191">
        <f t="shared" si="7"/>
        <v>35.359232142857145</v>
      </c>
      <c r="AD9" s="191">
        <f t="shared" si="7"/>
        <v>277.2</v>
      </c>
      <c r="AE9" s="191">
        <f t="shared" si="7"/>
        <v>0.87910714285714298</v>
      </c>
      <c r="AF9" s="191">
        <f t="shared" si="7"/>
        <v>0.30765117857142865</v>
      </c>
      <c r="AG9" s="191">
        <f t="shared" si="7"/>
        <v>4.6124999999999998</v>
      </c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  <c r="CF9" s="180"/>
      <c r="CG9" s="180"/>
      <c r="CH9" s="180"/>
      <c r="CI9" s="180"/>
    </row>
    <row r="10" spans="1:87">
      <c r="A10" s="132"/>
      <c r="B10" s="189"/>
      <c r="C10" s="189">
        <f t="shared" si="0"/>
        <v>88</v>
      </c>
      <c r="D10" s="182" t="s">
        <v>318</v>
      </c>
      <c r="E10" s="190">
        <f t="shared" ref="E10:AG10" si="8">E79</f>
        <v>2</v>
      </c>
      <c r="F10" s="190">
        <f t="shared" si="8"/>
        <v>9.1999999999999993</v>
      </c>
      <c r="G10" s="190">
        <f t="shared" si="8"/>
        <v>4.8</v>
      </c>
      <c r="H10" s="190">
        <f t="shared" si="8"/>
        <v>0.8</v>
      </c>
      <c r="I10" s="190">
        <f t="shared" si="8"/>
        <v>0</v>
      </c>
      <c r="J10" s="190">
        <f t="shared" si="8"/>
        <v>1.2</v>
      </c>
      <c r="K10" s="190">
        <f t="shared" si="8"/>
        <v>2</v>
      </c>
      <c r="L10" s="190">
        <f t="shared" si="8"/>
        <v>1.2</v>
      </c>
      <c r="M10" s="190">
        <f t="shared" si="8"/>
        <v>4</v>
      </c>
      <c r="N10" s="190">
        <f t="shared" si="8"/>
        <v>202</v>
      </c>
      <c r="O10" s="190">
        <f t="shared" si="8"/>
        <v>1796</v>
      </c>
      <c r="P10" s="190">
        <f t="shared" si="8"/>
        <v>225</v>
      </c>
      <c r="Q10" s="190">
        <f t="shared" si="8"/>
        <v>0.8</v>
      </c>
      <c r="R10" s="190">
        <f t="shared" si="8"/>
        <v>0</v>
      </c>
      <c r="S10" s="190">
        <f t="shared" si="8"/>
        <v>0.4</v>
      </c>
      <c r="T10" s="190">
        <f t="shared" si="8"/>
        <v>0</v>
      </c>
      <c r="U10" s="190">
        <f t="shared" si="8"/>
        <v>0</v>
      </c>
      <c r="V10" s="190">
        <f t="shared" si="8"/>
        <v>0</v>
      </c>
      <c r="W10" s="190">
        <f t="shared" si="8"/>
        <v>0</v>
      </c>
      <c r="X10" s="190">
        <f t="shared" si="8"/>
        <v>0</v>
      </c>
      <c r="Y10" s="190">
        <f t="shared" si="8"/>
        <v>0</v>
      </c>
      <c r="Z10" s="190">
        <f t="shared" si="8"/>
        <v>21.2</v>
      </c>
      <c r="AA10" s="190">
        <f t="shared" si="8"/>
        <v>0</v>
      </c>
      <c r="AB10" s="190">
        <f t="shared" si="8"/>
        <v>2</v>
      </c>
      <c r="AC10" s="190">
        <f t="shared" si="8"/>
        <v>41.6</v>
      </c>
      <c r="AD10" s="190">
        <f t="shared" si="8"/>
        <v>165.6</v>
      </c>
      <c r="AE10" s="190">
        <f t="shared" si="8"/>
        <v>0.8</v>
      </c>
      <c r="AF10" s="190">
        <f t="shared" si="8"/>
        <v>0.4</v>
      </c>
      <c r="AG10" s="190">
        <f t="shared" si="8"/>
        <v>11.2</v>
      </c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180"/>
      <c r="CF10" s="180"/>
      <c r="CG10" s="180"/>
      <c r="CH10" s="180"/>
      <c r="CI10" s="180"/>
    </row>
    <row r="11" spans="1:87">
      <c r="B11" s="189"/>
      <c r="C11" s="189">
        <f t="shared" si="0"/>
        <v>99.727783673469375</v>
      </c>
      <c r="D11" s="182" t="s">
        <v>319</v>
      </c>
      <c r="E11" s="191">
        <f t="shared" ref="E11:AG11" si="9">E121</f>
        <v>5.8553571428571418</v>
      </c>
      <c r="F11" s="191">
        <f t="shared" si="9"/>
        <v>12.153742857142856</v>
      </c>
      <c r="G11" s="191">
        <f t="shared" si="9"/>
        <v>3.0768204081632655</v>
      </c>
      <c r="H11" s="191">
        <f t="shared" si="9"/>
        <v>0.96150986394557836</v>
      </c>
      <c r="I11" s="191">
        <f t="shared" si="9"/>
        <v>27.760163265306122</v>
      </c>
      <c r="J11" s="191">
        <f t="shared" si="9"/>
        <v>1.286066326530612</v>
      </c>
      <c r="K11" s="191">
        <f t="shared" si="9"/>
        <v>0.51987006802721092</v>
      </c>
      <c r="L11" s="191">
        <f t="shared" si="9"/>
        <v>1.5642857142857141</v>
      </c>
      <c r="M11" s="191">
        <f t="shared" si="9"/>
        <v>27.401013605442174</v>
      </c>
      <c r="N11" s="191">
        <f t="shared" si="9"/>
        <v>138.04609523809523</v>
      </c>
      <c r="O11" s="191">
        <f t="shared" si="9"/>
        <v>321.65771428571429</v>
      </c>
      <c r="P11" s="191">
        <f>P121</f>
        <v>26.371945578231291</v>
      </c>
      <c r="Q11" s="191">
        <f t="shared" si="9"/>
        <v>0</v>
      </c>
      <c r="R11" s="191">
        <f t="shared" si="9"/>
        <v>36.644857142857141</v>
      </c>
      <c r="S11" s="191">
        <f t="shared" si="9"/>
        <v>0.50472142857142854</v>
      </c>
      <c r="T11" s="191">
        <f t="shared" si="9"/>
        <v>0</v>
      </c>
      <c r="U11" s="191">
        <f t="shared" si="9"/>
        <v>7.3755102040816325E-2</v>
      </c>
      <c r="V11" s="191">
        <f t="shared" si="9"/>
        <v>7.2387925170068035E-2</v>
      </c>
      <c r="W11" s="191">
        <f t="shared" si="9"/>
        <v>8.0545578231292519E-2</v>
      </c>
      <c r="X11" s="191">
        <f t="shared" si="9"/>
        <v>1.8576103741496595</v>
      </c>
      <c r="Y11" s="191">
        <f t="shared" si="9"/>
        <v>0.15000068027210883</v>
      </c>
      <c r="Z11" s="191">
        <f t="shared" si="9"/>
        <v>52.477183673469384</v>
      </c>
      <c r="AA11" s="191">
        <f t="shared" si="9"/>
        <v>0.46546938775510205</v>
      </c>
      <c r="AB11" s="191">
        <f t="shared" si="9"/>
        <v>1.348263775510204</v>
      </c>
      <c r="AC11" s="191">
        <f t="shared" si="9"/>
        <v>20.568125000000002</v>
      </c>
      <c r="AD11" s="191">
        <f t="shared" si="9"/>
        <v>198.37738775510203</v>
      </c>
      <c r="AE11" s="191">
        <f t="shared" si="9"/>
        <v>1.4954656462585034</v>
      </c>
      <c r="AF11" s="191">
        <f t="shared" si="9"/>
        <v>0.15524971258503401</v>
      </c>
      <c r="AG11" s="191">
        <f t="shared" si="9"/>
        <v>8.2693911564625857</v>
      </c>
      <c r="BR11" s="180"/>
      <c r="BS11" s="180"/>
      <c r="BT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  <c r="CF11" s="180"/>
      <c r="CG11" s="180"/>
      <c r="CH11" s="180"/>
      <c r="CI11" s="180"/>
    </row>
    <row r="12" spans="1:87">
      <c r="B12" s="189"/>
      <c r="C12" s="189">
        <f t="shared" si="0"/>
        <v>40.5</v>
      </c>
      <c r="D12" s="182" t="s">
        <v>320</v>
      </c>
      <c r="E12" s="193">
        <f t="shared" ref="E12:AG12" si="10">E203/3</f>
        <v>0</v>
      </c>
      <c r="F12" s="193">
        <f t="shared" si="10"/>
        <v>0</v>
      </c>
      <c r="G12" s="193">
        <f t="shared" si="10"/>
        <v>4.5</v>
      </c>
      <c r="H12" s="193">
        <f t="shared" si="10"/>
        <v>0.7466666666666667</v>
      </c>
      <c r="I12" s="193">
        <f t="shared" si="10"/>
        <v>0</v>
      </c>
      <c r="J12" s="193">
        <f t="shared" si="10"/>
        <v>2.4499999999999997</v>
      </c>
      <c r="K12" s="193">
        <f t="shared" si="10"/>
        <v>1.47</v>
      </c>
      <c r="L12" s="193">
        <f t="shared" si="10"/>
        <v>0</v>
      </c>
      <c r="M12" s="193">
        <f t="shared" si="10"/>
        <v>0</v>
      </c>
      <c r="N12" s="193">
        <f t="shared" si="10"/>
        <v>326.24999999999994</v>
      </c>
      <c r="O12" s="193">
        <f t="shared" si="10"/>
        <v>1082.25</v>
      </c>
      <c r="P12" s="193">
        <f t="shared" si="10"/>
        <v>0</v>
      </c>
      <c r="Q12" s="193">
        <f t="shared" si="10"/>
        <v>0</v>
      </c>
      <c r="R12" s="193">
        <f t="shared" si="10"/>
        <v>0</v>
      </c>
      <c r="S12" s="193">
        <f t="shared" si="10"/>
        <v>0</v>
      </c>
      <c r="T12" s="193">
        <f t="shared" si="10"/>
        <v>0</v>
      </c>
      <c r="U12" s="193">
        <f t="shared" si="10"/>
        <v>0.35000000000000003</v>
      </c>
      <c r="V12" s="193">
        <f t="shared" si="10"/>
        <v>0</v>
      </c>
      <c r="W12" s="193">
        <f t="shared" si="10"/>
        <v>0</v>
      </c>
      <c r="X12" s="193">
        <f t="shared" si="10"/>
        <v>0</v>
      </c>
      <c r="Y12" s="193">
        <f t="shared" si="10"/>
        <v>0</v>
      </c>
      <c r="Z12" s="193">
        <f t="shared" si="10"/>
        <v>0</v>
      </c>
      <c r="AA12" s="193">
        <f t="shared" si="10"/>
        <v>0</v>
      </c>
      <c r="AB12" s="193">
        <f t="shared" si="10"/>
        <v>0</v>
      </c>
      <c r="AC12" s="193">
        <f t="shared" si="10"/>
        <v>0</v>
      </c>
      <c r="AD12" s="193">
        <f t="shared" si="10"/>
        <v>0</v>
      </c>
      <c r="AE12" s="193">
        <f t="shared" si="10"/>
        <v>0</v>
      </c>
      <c r="AF12" s="193">
        <f t="shared" si="10"/>
        <v>0</v>
      </c>
      <c r="AG12" s="193">
        <f t="shared" si="10"/>
        <v>0</v>
      </c>
      <c r="BR12" s="180"/>
      <c r="BS12" s="180"/>
      <c r="BT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  <c r="CF12" s="180"/>
      <c r="CG12" s="180"/>
      <c r="CH12" s="180"/>
      <c r="CI12" s="180"/>
    </row>
    <row r="13" spans="1:87">
      <c r="B13" s="189"/>
      <c r="C13" s="189">
        <f t="shared" si="0"/>
        <v>20</v>
      </c>
      <c r="D13" s="182" t="s">
        <v>321</v>
      </c>
      <c r="E13" s="192">
        <f t="shared" ref="E13:AG13" si="11">E160</f>
        <v>5</v>
      </c>
      <c r="F13" s="192">
        <f t="shared" si="11"/>
        <v>0</v>
      </c>
      <c r="G13" s="192">
        <f t="shared" si="11"/>
        <v>0</v>
      </c>
      <c r="H13" s="192">
        <f t="shared" si="11"/>
        <v>0</v>
      </c>
      <c r="I13" s="192">
        <f t="shared" si="11"/>
        <v>0</v>
      </c>
      <c r="J13" s="192">
        <f t="shared" si="11"/>
        <v>0</v>
      </c>
      <c r="K13" s="192">
        <f t="shared" si="11"/>
        <v>0</v>
      </c>
      <c r="L13" s="192">
        <f t="shared" si="11"/>
        <v>0</v>
      </c>
      <c r="M13" s="192">
        <f t="shared" si="11"/>
        <v>0</v>
      </c>
      <c r="N13" s="192">
        <f t="shared" si="11"/>
        <v>0</v>
      </c>
      <c r="O13" s="192">
        <f t="shared" si="11"/>
        <v>0</v>
      </c>
      <c r="P13" s="192">
        <f t="shared" si="11"/>
        <v>0</v>
      </c>
      <c r="Q13" s="192">
        <f t="shared" si="11"/>
        <v>5</v>
      </c>
      <c r="R13" s="192">
        <f t="shared" si="11"/>
        <v>0</v>
      </c>
      <c r="S13" s="192">
        <f t="shared" si="11"/>
        <v>0</v>
      </c>
      <c r="T13" s="192">
        <f t="shared" si="11"/>
        <v>0</v>
      </c>
      <c r="U13" s="192">
        <f t="shared" si="11"/>
        <v>0</v>
      </c>
      <c r="V13" s="192">
        <f t="shared" si="11"/>
        <v>0</v>
      </c>
      <c r="W13" s="192">
        <f t="shared" si="11"/>
        <v>0</v>
      </c>
      <c r="X13" s="192">
        <f t="shared" si="11"/>
        <v>0</v>
      </c>
      <c r="Y13" s="192">
        <f t="shared" si="11"/>
        <v>0</v>
      </c>
      <c r="Z13" s="192">
        <f t="shared" si="11"/>
        <v>0</v>
      </c>
      <c r="AA13" s="192">
        <f t="shared" si="11"/>
        <v>0</v>
      </c>
      <c r="AB13" s="192">
        <f t="shared" si="11"/>
        <v>0</v>
      </c>
      <c r="AC13" s="192">
        <f t="shared" si="11"/>
        <v>0</v>
      </c>
      <c r="AD13" s="192">
        <f t="shared" si="11"/>
        <v>0</v>
      </c>
      <c r="AE13" s="192">
        <f t="shared" si="11"/>
        <v>0</v>
      </c>
      <c r="AF13" s="192">
        <f t="shared" si="11"/>
        <v>0</v>
      </c>
      <c r="AG13" s="192">
        <f t="shared" si="11"/>
        <v>0</v>
      </c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</row>
    <row r="14" spans="1:87" s="180" customFormat="1">
      <c r="B14" s="194"/>
      <c r="C14" s="194"/>
      <c r="D14" s="195"/>
      <c r="E14" s="195"/>
      <c r="F14" s="196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19"/>
      <c r="R14" s="119"/>
      <c r="S14" s="119"/>
      <c r="T14" s="119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9"/>
      <c r="AF14" s="119"/>
      <c r="AG14" s="119"/>
    </row>
    <row r="15" spans="1:87">
      <c r="A15" s="132"/>
      <c r="D15" s="200" t="s">
        <v>268</v>
      </c>
      <c r="E15" s="201"/>
      <c r="H15" s="201" t="s">
        <v>322</v>
      </c>
      <c r="J15" s="202"/>
      <c r="Q15" s="203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5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</row>
    <row r="16" spans="1:87" s="180" customFormat="1" ht="26.25">
      <c r="B16" s="194"/>
      <c r="C16" s="194"/>
      <c r="D16" s="121" t="s">
        <v>213</v>
      </c>
      <c r="F16" s="119" t="s">
        <v>323</v>
      </c>
      <c r="G16" s="119" t="s">
        <v>324</v>
      </c>
      <c r="H16" t="s">
        <v>285</v>
      </c>
      <c r="I16" t="s">
        <v>325</v>
      </c>
      <c r="J16" t="s">
        <v>326</v>
      </c>
      <c r="K16" t="s">
        <v>327</v>
      </c>
      <c r="Q16" s="206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9"/>
    </row>
    <row r="17" spans="2:16380" s="180" customFormat="1">
      <c r="B17" s="194"/>
      <c r="C17" s="194"/>
      <c r="D17" s="116" t="s">
        <v>215</v>
      </c>
      <c r="E17" s="331" t="str">
        <f>'I&amp;O'!D77</f>
        <v>yes</v>
      </c>
      <c r="H17" s="207">
        <v>0.33329999999999999</v>
      </c>
      <c r="I17" s="207">
        <v>0.33329999999999999</v>
      </c>
      <c r="J17" s="207">
        <v>0.33329999999999999</v>
      </c>
      <c r="K17" s="207">
        <v>0</v>
      </c>
      <c r="Q17" s="206"/>
      <c r="R17" s="198"/>
      <c r="S17" s="198"/>
      <c r="T17" s="198"/>
      <c r="U17" s="208">
        <f>2.4*0.6</f>
        <v>1.44</v>
      </c>
      <c r="V17" s="198"/>
      <c r="W17" s="198"/>
      <c r="X17" s="198"/>
      <c r="Y17" s="198"/>
      <c r="Z17" s="198"/>
      <c r="AA17" s="198"/>
      <c r="AB17" s="198"/>
      <c r="AC17" s="198"/>
      <c r="AD17" s="198"/>
      <c r="AE17" s="199"/>
    </row>
    <row r="18" spans="2:16380" s="180" customFormat="1">
      <c r="B18" s="194"/>
      <c r="C18" s="194"/>
      <c r="D18" s="116" t="s">
        <v>217</v>
      </c>
      <c r="E18" s="332">
        <f>'I&amp;O'!D78</f>
        <v>0</v>
      </c>
      <c r="H18" s="207">
        <v>0</v>
      </c>
      <c r="I18" s="207">
        <v>0.5</v>
      </c>
      <c r="J18" s="207">
        <v>0.5</v>
      </c>
      <c r="K18" s="207">
        <v>0</v>
      </c>
      <c r="Q18" s="206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9"/>
    </row>
    <row r="19" spans="2:16380" s="180" customFormat="1">
      <c r="B19" s="194"/>
      <c r="C19" s="194"/>
      <c r="D19" s="3" t="s">
        <v>328</v>
      </c>
      <c r="E19" s="180">
        <f>IF(E17="yes",3,2)</f>
        <v>3</v>
      </c>
      <c r="H19"/>
      <c r="I19" s="207"/>
      <c r="J19" s="207"/>
      <c r="K19"/>
      <c r="Q19" s="206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9"/>
    </row>
    <row r="20" spans="2:16380" s="180" customFormat="1">
      <c r="B20" s="194"/>
      <c r="C20" s="194"/>
      <c r="D20" s="116" t="s">
        <v>329</v>
      </c>
      <c r="I20" s="207"/>
      <c r="J20" s="207"/>
      <c r="K20"/>
      <c r="Q20" s="206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9"/>
    </row>
    <row r="21" spans="2:16380" s="180" customFormat="1">
      <c r="B21" s="194"/>
      <c r="C21" s="194"/>
      <c r="D21" s="3" t="s">
        <v>285</v>
      </c>
      <c r="E21" t="s">
        <v>325</v>
      </c>
      <c r="F21" t="s">
        <v>326</v>
      </c>
      <c r="G21" t="s">
        <v>327</v>
      </c>
      <c r="H21"/>
      <c r="I21" s="207"/>
      <c r="J21" s="207"/>
      <c r="K21"/>
      <c r="Q21" s="206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9"/>
    </row>
    <row r="22" spans="2:16380" s="180" customFormat="1">
      <c r="B22" s="194"/>
      <c r="C22" s="194"/>
      <c r="D22" s="116">
        <f>IF($E$17="yes",H17,H$18)</f>
        <v>0.33329999999999999</v>
      </c>
      <c r="E22" s="116">
        <f t="shared" ref="E22:G22" si="12">IF($E$17="yes",I17,I$18)</f>
        <v>0.33329999999999999</v>
      </c>
      <c r="F22" s="116">
        <f t="shared" si="12"/>
        <v>0.33329999999999999</v>
      </c>
      <c r="G22" s="116">
        <f t="shared" si="12"/>
        <v>0</v>
      </c>
      <c r="H22"/>
      <c r="I22" s="207"/>
      <c r="J22" s="207"/>
      <c r="K22"/>
      <c r="Q22" s="206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9"/>
    </row>
    <row r="23" spans="2:16380" s="180" customFormat="1">
      <c r="B23" s="194"/>
      <c r="C23" s="194"/>
      <c r="D23" s="121" t="s">
        <v>218</v>
      </c>
      <c r="E23" s="119"/>
      <c r="J23" s="202"/>
      <c r="Q23" s="206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9"/>
    </row>
    <row r="24" spans="2:16380" s="180" customFormat="1">
      <c r="B24" s="194"/>
      <c r="C24" s="194"/>
      <c r="D24" s="209" t="s">
        <v>220</v>
      </c>
      <c r="E24" s="329">
        <f>'I&amp;O'!D82</f>
        <v>0</v>
      </c>
      <c r="F24" s="116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80" customFormat="1">
      <c r="B25" s="194"/>
      <c r="C25" s="194"/>
      <c r="D25" s="209" t="s">
        <v>221</v>
      </c>
      <c r="E25" s="329">
        <f>'I&amp;O'!D83</f>
        <v>0</v>
      </c>
      <c r="F25" s="11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80" customFormat="1">
      <c r="B26" s="194"/>
      <c r="C26" s="194"/>
      <c r="D26" s="120" t="s">
        <v>222</v>
      </c>
      <c r="E26" s="329">
        <f>'I&amp;O'!D84</f>
        <v>0</v>
      </c>
      <c r="F26" s="11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80" customFormat="1">
      <c r="B27" s="194"/>
      <c r="C27" s="194"/>
      <c r="D27" s="209" t="s">
        <v>223</v>
      </c>
      <c r="E27" s="329">
        <f>'I&amp;O'!D85</f>
        <v>0</v>
      </c>
      <c r="F27" s="116"/>
      <c r="G27"/>
      <c r="J27" s="202"/>
      <c r="Q27" s="206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9"/>
    </row>
    <row r="28" spans="2:16380" s="180" customFormat="1">
      <c r="B28" s="194"/>
      <c r="C28" s="194"/>
      <c r="D28" s="209" t="s">
        <v>224</v>
      </c>
      <c r="E28" s="329" t="str">
        <f>'I&amp;O'!D86</f>
        <v>yes</v>
      </c>
      <c r="F28" s="116"/>
      <c r="G28"/>
      <c r="J28" s="202"/>
      <c r="Q28" s="206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9"/>
    </row>
    <row r="29" spans="2:16380" s="180" customFormat="1">
      <c r="B29" s="194"/>
      <c r="C29" s="194"/>
      <c r="D29" s="209"/>
      <c r="E29" s="329">
        <f>'I&amp;O'!D87</f>
        <v>0</v>
      </c>
      <c r="F29" s="116"/>
      <c r="G29"/>
      <c r="J29" s="202"/>
      <c r="Q29" s="206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9"/>
    </row>
    <row r="30" spans="2:16380" s="180" customFormat="1" ht="26.25">
      <c r="B30" s="194"/>
      <c r="C30" s="194"/>
      <c r="D30" s="121" t="s">
        <v>226</v>
      </c>
      <c r="E30"/>
      <c r="H30" t="s">
        <v>330</v>
      </c>
      <c r="J30" s="202"/>
      <c r="Q30" s="206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9"/>
    </row>
    <row r="31" spans="2:16380" s="180" customFormat="1">
      <c r="B31" s="194"/>
      <c r="C31" s="194"/>
      <c r="D31" s="116" t="s">
        <v>227</v>
      </c>
      <c r="E31" s="333">
        <f>'I&amp;O'!D90</f>
        <v>0</v>
      </c>
      <c r="F31" s="119"/>
      <c r="G31" s="119"/>
      <c r="H31" s="207">
        <v>1</v>
      </c>
      <c r="J31" s="202"/>
      <c r="Q31" s="206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9"/>
    </row>
    <row r="32" spans="2:16380" s="180" customFormat="1">
      <c r="B32" s="194"/>
      <c r="C32" s="194"/>
      <c r="D32" s="116" t="s">
        <v>228</v>
      </c>
      <c r="E32" s="333">
        <f>'I&amp;O'!D91</f>
        <v>0</v>
      </c>
      <c r="H32" s="207">
        <v>0</v>
      </c>
      <c r="J32" s="202"/>
      <c r="Q32" s="206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9"/>
    </row>
    <row r="33" spans="2:87" s="180" customFormat="1">
      <c r="B33" s="194"/>
      <c r="C33" s="194"/>
      <c r="D33" s="116" t="s">
        <v>229</v>
      </c>
      <c r="E33" s="333" t="str">
        <f>'I&amp;O'!D92</f>
        <v>yes</v>
      </c>
      <c r="H33" s="207">
        <v>0.5</v>
      </c>
      <c r="J33" s="202"/>
      <c r="Q33" s="206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9"/>
    </row>
    <row r="34" spans="2:87" s="180" customFormat="1">
      <c r="B34" s="194"/>
      <c r="C34" s="194"/>
      <c r="D34" s="125" t="s">
        <v>331</v>
      </c>
      <c r="E34" s="121">
        <f>IF($E$31="yes",$H$31,IF($E$32="yes",$H$32,H33))</f>
        <v>0.5</v>
      </c>
      <c r="G34"/>
      <c r="J34" s="202"/>
      <c r="Q34" s="206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9"/>
    </row>
    <row r="35" spans="2:87" s="180" customFormat="1">
      <c r="B35" s="194"/>
      <c r="C35" s="194"/>
      <c r="D35" s="125" t="s">
        <v>332</v>
      </c>
      <c r="E35" s="210">
        <f>1-E34</f>
        <v>0.5</v>
      </c>
      <c r="F35" s="121"/>
      <c r="G35"/>
      <c r="J35" s="202"/>
      <c r="Q35" s="206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9"/>
    </row>
    <row r="36" spans="2:87" s="180" customFormat="1">
      <c r="B36" s="194"/>
      <c r="C36" s="194"/>
      <c r="D36" s="121" t="s">
        <v>230</v>
      </c>
      <c r="E36"/>
      <c r="F36" s="116"/>
      <c r="G36"/>
      <c r="J36" s="202"/>
      <c r="Q36" s="206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9"/>
    </row>
    <row r="37" spans="2:87" s="180" customFormat="1">
      <c r="B37" s="194"/>
      <c r="C37" s="194"/>
      <c r="D37" s="211" t="s">
        <v>232</v>
      </c>
      <c r="E37" s="334">
        <f>'I&amp;O'!D96</f>
        <v>0</v>
      </c>
      <c r="F37"/>
      <c r="G37"/>
      <c r="J37" s="202"/>
      <c r="Q37" s="206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9"/>
    </row>
    <row r="38" spans="2:87" s="180" customFormat="1">
      <c r="B38" s="194"/>
      <c r="C38" s="194"/>
      <c r="D38" s="3" t="s">
        <v>234</v>
      </c>
      <c r="E38" s="335">
        <v>0</v>
      </c>
      <c r="F38" s="116"/>
      <c r="G38"/>
      <c r="J38" s="202"/>
      <c r="Q38" s="206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9"/>
    </row>
    <row r="39" spans="2:87" s="180" customFormat="1">
      <c r="B39" s="194"/>
      <c r="C39" s="194"/>
      <c r="D39" s="3" t="s">
        <v>233</v>
      </c>
      <c r="E39" s="335">
        <v>0</v>
      </c>
      <c r="F39" s="116"/>
      <c r="G39"/>
      <c r="J39" s="202"/>
      <c r="Q39" s="206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9"/>
    </row>
    <row r="40" spans="2:87" s="180" customFormat="1">
      <c r="B40" s="194"/>
      <c r="C40" s="194"/>
      <c r="D40" s="3" t="s">
        <v>333</v>
      </c>
      <c r="E40" s="335" t="s">
        <v>216</v>
      </c>
      <c r="F40" s="116"/>
      <c r="G40"/>
      <c r="J40" s="202"/>
      <c r="Q40" s="206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9"/>
    </row>
    <row r="41" spans="2:87" s="180" customFormat="1">
      <c r="B41" s="194"/>
      <c r="C41" s="194"/>
      <c r="D41" s="3" t="s">
        <v>334</v>
      </c>
      <c r="E41" s="335">
        <v>0</v>
      </c>
      <c r="F41" s="116"/>
      <c r="G41"/>
      <c r="J41" s="202"/>
      <c r="Q41" s="206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9"/>
    </row>
    <row r="42" spans="2:87" s="132" customFormat="1">
      <c r="B42" s="171"/>
      <c r="C42" s="171"/>
      <c r="D42" s="171"/>
      <c r="E42" s="119" t="s">
        <v>335</v>
      </c>
      <c r="F42" s="119" t="s">
        <v>336</v>
      </c>
      <c r="G42" s="119" t="s">
        <v>337</v>
      </c>
      <c r="H42" s="119" t="s">
        <v>338</v>
      </c>
      <c r="I42" s="119" t="s">
        <v>339</v>
      </c>
      <c r="J42" s="212" t="s">
        <v>78</v>
      </c>
      <c r="K42" s="201" t="s">
        <v>79</v>
      </c>
      <c r="L42" s="119" t="s">
        <v>340</v>
      </c>
      <c r="M42" s="119" t="s">
        <v>84</v>
      </c>
      <c r="N42" s="119" t="s">
        <v>341</v>
      </c>
      <c r="O42" s="119" t="s">
        <v>342</v>
      </c>
      <c r="P42" s="119" t="s">
        <v>343</v>
      </c>
      <c r="Q42" s="201" t="s">
        <v>300</v>
      </c>
      <c r="R42" s="201" t="s">
        <v>80</v>
      </c>
      <c r="S42" s="201" t="s">
        <v>252</v>
      </c>
      <c r="T42" s="201" t="s">
        <v>301</v>
      </c>
      <c r="U42" s="204" t="s">
        <v>302</v>
      </c>
      <c r="V42" s="204" t="s">
        <v>303</v>
      </c>
      <c r="W42" s="204" t="s">
        <v>304</v>
      </c>
      <c r="X42" s="204" t="s">
        <v>305</v>
      </c>
      <c r="Y42" s="204" t="s">
        <v>306</v>
      </c>
      <c r="Z42" s="204" t="s">
        <v>81</v>
      </c>
      <c r="AA42" s="204" t="s">
        <v>307</v>
      </c>
      <c r="AB42" s="204" t="s">
        <v>308</v>
      </c>
      <c r="AC42" s="204" t="s">
        <v>309</v>
      </c>
      <c r="AD42" s="204" t="s">
        <v>310</v>
      </c>
      <c r="AE42" s="205" t="s">
        <v>311</v>
      </c>
      <c r="AF42" s="119" t="s">
        <v>312</v>
      </c>
      <c r="AG42" s="119" t="s">
        <v>313</v>
      </c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</row>
    <row r="43" spans="2:87" s="132" customFormat="1">
      <c r="B43" s="189"/>
      <c r="C43" s="189">
        <f t="shared" ref="C43:C57" si="13">(E43+F43)*4+G43*9</f>
        <v>90.468000000000004</v>
      </c>
      <c r="D43" s="120" t="s">
        <v>344</v>
      </c>
      <c r="E43" s="213">
        <v>18.815999999999999</v>
      </c>
      <c r="F43" s="213">
        <v>2.1</v>
      </c>
      <c r="G43" s="213">
        <v>0.75600000000000001</v>
      </c>
      <c r="H43" s="213">
        <v>0.16800000000000001</v>
      </c>
      <c r="I43" s="213">
        <v>0</v>
      </c>
      <c r="J43" s="213">
        <v>0.252</v>
      </c>
      <c r="K43" s="213">
        <v>0.252</v>
      </c>
      <c r="L43" s="213">
        <v>1.75</v>
      </c>
      <c r="M43" s="213">
        <v>4.1160000000000005</v>
      </c>
      <c r="N43" s="213">
        <v>11.465999999999999</v>
      </c>
      <c r="O43" s="213">
        <v>253.26</v>
      </c>
      <c r="P43" s="213">
        <v>10</v>
      </c>
      <c r="Q43" s="213">
        <v>0.29399999999999998</v>
      </c>
      <c r="R43" s="213">
        <v>0</v>
      </c>
      <c r="S43" s="213">
        <v>0</v>
      </c>
      <c r="T43" s="213">
        <v>0</v>
      </c>
      <c r="U43" s="213">
        <v>4.2000000000000003E-2</v>
      </c>
      <c r="V43" s="213">
        <v>8.4000000000000005E-2</v>
      </c>
      <c r="W43" s="213">
        <v>0</v>
      </c>
      <c r="X43" s="213">
        <v>1.5</v>
      </c>
      <c r="Y43" s="213">
        <v>0.15</v>
      </c>
      <c r="Z43" s="213">
        <v>4</v>
      </c>
      <c r="AA43" s="213">
        <v>0</v>
      </c>
      <c r="AB43" s="213">
        <v>0.33600000000000002</v>
      </c>
      <c r="AC43" s="213">
        <v>35.28</v>
      </c>
      <c r="AD43" s="213">
        <v>35.28</v>
      </c>
      <c r="AE43" s="213">
        <v>0.504</v>
      </c>
      <c r="AF43" s="213">
        <v>8.4000000000000005E-2</v>
      </c>
      <c r="AG43" s="213">
        <v>8.0220000000000002</v>
      </c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</row>
    <row r="44" spans="2:87" s="132" customFormat="1">
      <c r="B44" s="189"/>
      <c r="C44" s="189">
        <f t="shared" si="13"/>
        <v>105.33599999999998</v>
      </c>
      <c r="D44" s="120" t="s">
        <v>345</v>
      </c>
      <c r="E44" s="213">
        <v>23.939999999999998</v>
      </c>
      <c r="F44" s="213">
        <v>2.016</v>
      </c>
      <c r="G44" s="213">
        <v>0.16800000000000001</v>
      </c>
      <c r="H44" s="213">
        <v>4.2000000000000003E-2</v>
      </c>
      <c r="I44" s="213">
        <v>0</v>
      </c>
      <c r="J44" s="213">
        <v>4.2000000000000003E-2</v>
      </c>
      <c r="K44" s="213">
        <v>4.2000000000000003E-2</v>
      </c>
      <c r="L44" s="213">
        <v>0.2</v>
      </c>
      <c r="M44" s="213">
        <v>0</v>
      </c>
      <c r="N44" s="213">
        <v>7.7279999999999989</v>
      </c>
      <c r="O44" s="213">
        <v>35.28</v>
      </c>
      <c r="P44" s="213">
        <v>0.88200000000000001</v>
      </c>
      <c r="Q44" s="213">
        <v>0</v>
      </c>
      <c r="R44" s="213">
        <v>0</v>
      </c>
      <c r="S44" s="213">
        <v>0</v>
      </c>
      <c r="T44" s="213">
        <v>0</v>
      </c>
      <c r="U44" s="213">
        <v>0</v>
      </c>
      <c r="V44" s="213">
        <v>0.03</v>
      </c>
      <c r="W44" s="213">
        <v>0</v>
      </c>
      <c r="X44" s="213">
        <v>0.5</v>
      </c>
      <c r="Y44" s="213">
        <v>4.2000000000000003E-2</v>
      </c>
      <c r="Z44" s="213">
        <v>2</v>
      </c>
      <c r="AA44" s="213">
        <v>0</v>
      </c>
      <c r="AB44" s="213">
        <v>0.16800000000000001</v>
      </c>
      <c r="AC44" s="213">
        <v>6.72</v>
      </c>
      <c r="AD44" s="213">
        <v>22.259999999999998</v>
      </c>
      <c r="AE44" s="213">
        <v>0.33600000000000002</v>
      </c>
      <c r="AF44" s="213">
        <v>4.2000000000000003E-2</v>
      </c>
      <c r="AG44" s="213">
        <v>6</v>
      </c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</row>
    <row r="45" spans="2:87" s="132" customFormat="1">
      <c r="B45" s="189"/>
      <c r="C45" s="189">
        <f t="shared" si="13"/>
        <v>98.28</v>
      </c>
      <c r="D45" s="214" t="s">
        <v>346</v>
      </c>
      <c r="E45" s="213">
        <v>22.344000000000001</v>
      </c>
      <c r="F45" s="213">
        <v>1.8480000000000001</v>
      </c>
      <c r="G45" s="213">
        <v>0.16800000000000001</v>
      </c>
      <c r="H45" s="213">
        <v>4.2000000000000003E-2</v>
      </c>
      <c r="I45" s="213">
        <v>0</v>
      </c>
      <c r="J45" s="213">
        <v>4.2000000000000003E-2</v>
      </c>
      <c r="K45" s="213">
        <v>4.2000000000000003E-2</v>
      </c>
      <c r="L45" s="213">
        <v>0.2</v>
      </c>
      <c r="M45" s="213">
        <v>0</v>
      </c>
      <c r="N45" s="213">
        <v>7.8120000000000003</v>
      </c>
      <c r="O45" s="213">
        <v>35.909999999999997</v>
      </c>
      <c r="P45" s="213">
        <v>2.3519999999999999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0.03</v>
      </c>
      <c r="W45" s="213">
        <v>0</v>
      </c>
      <c r="X45" s="213">
        <v>0.5</v>
      </c>
      <c r="Y45" s="213">
        <v>4.2000000000000003E-2</v>
      </c>
      <c r="Z45" s="213">
        <v>1.554</v>
      </c>
      <c r="AA45" s="213">
        <v>0</v>
      </c>
      <c r="AB45" s="213">
        <v>0.16800000000000001</v>
      </c>
      <c r="AC45" s="213">
        <v>10.08</v>
      </c>
      <c r="AD45" s="213">
        <v>22.68</v>
      </c>
      <c r="AE45" s="213">
        <v>0.33600000000000002</v>
      </c>
      <c r="AF45" s="213">
        <v>4.2000000000000003E-2</v>
      </c>
      <c r="AG45" s="213">
        <v>5.88</v>
      </c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</row>
    <row r="46" spans="2:87" s="132" customFormat="1">
      <c r="B46" s="189"/>
      <c r="C46" s="189">
        <f t="shared" si="13"/>
        <v>83.327999999999989</v>
      </c>
      <c r="D46" s="209" t="s">
        <v>333</v>
      </c>
      <c r="E46" s="213">
        <v>18.689999999999998</v>
      </c>
      <c r="F46" s="213">
        <v>1.764</v>
      </c>
      <c r="G46" s="213">
        <v>0.16800000000000001</v>
      </c>
      <c r="H46" s="213">
        <v>4.2000000000000003E-2</v>
      </c>
      <c r="I46" s="213">
        <v>0</v>
      </c>
      <c r="J46" s="213">
        <v>4.2000000000000003E-2</v>
      </c>
      <c r="K46" s="213">
        <v>0.05</v>
      </c>
      <c r="L46" s="213">
        <v>0.3</v>
      </c>
      <c r="M46" s="213">
        <v>0.84</v>
      </c>
      <c r="N46" s="213">
        <v>8.61</v>
      </c>
      <c r="O46" s="213">
        <v>41.16</v>
      </c>
      <c r="P46" s="213">
        <v>6.72</v>
      </c>
      <c r="Q46" s="213">
        <v>4.2000000000000003E-2</v>
      </c>
      <c r="R46" s="213">
        <v>0</v>
      </c>
      <c r="S46" s="213">
        <v>0</v>
      </c>
      <c r="T46" s="213">
        <v>0</v>
      </c>
      <c r="U46" s="213">
        <v>0</v>
      </c>
      <c r="V46" s="213">
        <v>0.03</v>
      </c>
      <c r="W46" s="213">
        <v>0</v>
      </c>
      <c r="X46" s="213">
        <v>0.5</v>
      </c>
      <c r="Y46" s="213">
        <v>4.2000000000000003E-2</v>
      </c>
      <c r="Z46" s="213">
        <v>1.974</v>
      </c>
      <c r="AA46" s="213">
        <v>0</v>
      </c>
      <c r="AB46" s="213">
        <v>0.126</v>
      </c>
      <c r="AC46" s="213">
        <v>7.9799999999999995</v>
      </c>
      <c r="AD46" s="213">
        <v>23.225999999999999</v>
      </c>
      <c r="AE46" s="213">
        <v>0.33600000000000002</v>
      </c>
      <c r="AF46" s="213">
        <v>4.2000000000000003E-2</v>
      </c>
      <c r="AG46" s="213">
        <v>5.04</v>
      </c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</row>
    <row r="47" spans="2:87" s="132" customFormat="1">
      <c r="B47" s="189"/>
      <c r="C47" s="189">
        <f t="shared" si="13"/>
        <v>88.955999999999989</v>
      </c>
      <c r="D47" s="209" t="s">
        <v>347</v>
      </c>
      <c r="E47" s="213">
        <v>19.739999999999998</v>
      </c>
      <c r="F47" s="213">
        <v>1.9319999999999997</v>
      </c>
      <c r="G47" s="213">
        <v>0.252</v>
      </c>
      <c r="H47" s="213">
        <v>4.2000000000000003E-2</v>
      </c>
      <c r="I47" s="213">
        <v>0</v>
      </c>
      <c r="J47" s="213">
        <v>4.2000000000000003E-2</v>
      </c>
      <c r="K47" s="213">
        <v>0.05</v>
      </c>
      <c r="L47" s="213">
        <v>0.58799999999999997</v>
      </c>
      <c r="M47" s="213">
        <v>1.3440000000000001</v>
      </c>
      <c r="N47" s="213">
        <v>11.34</v>
      </c>
      <c r="O47" s="213">
        <v>49.14</v>
      </c>
      <c r="P47" s="213">
        <v>12.6</v>
      </c>
      <c r="Q47" s="213">
        <v>8.4000000000000005E-2</v>
      </c>
      <c r="R47" s="213">
        <v>0</v>
      </c>
      <c r="S47" s="213">
        <v>0</v>
      </c>
      <c r="T47" s="213">
        <v>0</v>
      </c>
      <c r="U47" s="213">
        <v>0</v>
      </c>
      <c r="V47" s="213">
        <v>0.05</v>
      </c>
      <c r="W47" s="213">
        <v>0</v>
      </c>
      <c r="X47" s="213">
        <v>1.5</v>
      </c>
      <c r="Y47" s="213">
        <v>8.4000000000000005E-2</v>
      </c>
      <c r="Z47" s="213">
        <v>2.4</v>
      </c>
      <c r="AA47" s="213">
        <v>0</v>
      </c>
      <c r="AB47" s="213">
        <v>0.16800000000000001</v>
      </c>
      <c r="AC47" s="213">
        <v>5.9639999999999995</v>
      </c>
      <c r="AD47" s="213">
        <v>22</v>
      </c>
      <c r="AE47" s="213">
        <v>0.252</v>
      </c>
      <c r="AF47" s="213">
        <v>4.2000000000000003E-2</v>
      </c>
      <c r="AG47" s="213">
        <v>8</v>
      </c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BR47" s="180"/>
      <c r="BS47" s="180"/>
      <c r="BT47" s="180"/>
      <c r="BU47" s="180"/>
      <c r="BV47" s="180"/>
      <c r="BW47" s="180"/>
      <c r="BX47" s="180"/>
      <c r="BY47" s="180"/>
      <c r="BZ47" s="180"/>
      <c r="CA47" s="180"/>
      <c r="CB47" s="180"/>
      <c r="CC47" s="180"/>
      <c r="CD47" s="180"/>
      <c r="CE47" s="180"/>
      <c r="CF47" s="180"/>
      <c r="CG47" s="180"/>
      <c r="CH47" s="180"/>
      <c r="CI47" s="180"/>
    </row>
    <row r="48" spans="2:87" s="132" customFormat="1">
      <c r="B48" s="189"/>
      <c r="C48" s="189">
        <f t="shared" si="13"/>
        <v>93.474999999999994</v>
      </c>
      <c r="D48" s="209" t="s">
        <v>348</v>
      </c>
      <c r="E48" s="213">
        <v>19.875</v>
      </c>
      <c r="F48" s="213">
        <v>2.875</v>
      </c>
      <c r="G48" s="213">
        <v>0.27500000000000002</v>
      </c>
      <c r="H48" s="213">
        <v>6.25E-2</v>
      </c>
      <c r="I48" s="213">
        <v>0</v>
      </c>
      <c r="J48" s="213">
        <v>3.7500000000000006E-2</v>
      </c>
      <c r="K48" s="213">
        <v>0.15000000000000002</v>
      </c>
      <c r="L48" s="213">
        <v>1.25</v>
      </c>
      <c r="M48" s="213">
        <v>4.875</v>
      </c>
      <c r="N48" s="213">
        <v>0</v>
      </c>
      <c r="O48" s="213">
        <v>0</v>
      </c>
      <c r="P48" s="213">
        <v>4.5</v>
      </c>
      <c r="Q48" s="213">
        <v>0</v>
      </c>
      <c r="R48" s="213">
        <v>0</v>
      </c>
      <c r="S48" s="213">
        <v>0</v>
      </c>
      <c r="T48" s="213">
        <v>0</v>
      </c>
      <c r="U48" s="213">
        <v>0</v>
      </c>
      <c r="V48" s="213">
        <v>0.05</v>
      </c>
      <c r="W48" s="213">
        <v>4.7500000000000001E-2</v>
      </c>
      <c r="X48" s="213">
        <v>0.83124999999999993</v>
      </c>
      <c r="Y48" s="213">
        <v>0</v>
      </c>
      <c r="Z48" s="213">
        <v>38.674999999999997</v>
      </c>
      <c r="AA48" s="213">
        <v>0</v>
      </c>
      <c r="AB48" s="213">
        <v>0.71750000000000003</v>
      </c>
      <c r="AC48" s="213">
        <v>9.5250000000000004</v>
      </c>
      <c r="AD48" s="213">
        <v>22</v>
      </c>
      <c r="AE48" s="213">
        <v>0.3125</v>
      </c>
      <c r="AF48" s="213">
        <v>0.15</v>
      </c>
      <c r="AG48" s="213">
        <v>18.5</v>
      </c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  <c r="CF48" s="180"/>
      <c r="CG48" s="180"/>
      <c r="CH48" s="180"/>
      <c r="CI48" s="180"/>
    </row>
    <row r="49" spans="1:87">
      <c r="B49" s="189"/>
      <c r="C49" s="189">
        <f t="shared" si="13"/>
        <v>86.08</v>
      </c>
      <c r="D49" s="209" t="s">
        <v>349</v>
      </c>
      <c r="E49" s="213">
        <v>17.600000000000001</v>
      </c>
      <c r="F49" s="213">
        <v>3.2</v>
      </c>
      <c r="G49" s="213">
        <v>0.32</v>
      </c>
      <c r="H49" s="213">
        <v>0.08</v>
      </c>
      <c r="I49" s="213">
        <v>0</v>
      </c>
      <c r="J49" s="213">
        <v>0.08</v>
      </c>
      <c r="K49" s="213">
        <v>0.16</v>
      </c>
      <c r="L49" s="213">
        <v>3.2</v>
      </c>
      <c r="M49" s="213">
        <v>1.6</v>
      </c>
      <c r="N49" s="213">
        <v>36.799999999999997</v>
      </c>
      <c r="O49" s="213">
        <v>708.8</v>
      </c>
      <c r="P49" s="213">
        <v>8</v>
      </c>
      <c r="Q49" s="213">
        <v>0.4</v>
      </c>
      <c r="R49" s="213">
        <v>1.6</v>
      </c>
      <c r="S49" s="213">
        <v>0</v>
      </c>
      <c r="T49" s="213">
        <v>0</v>
      </c>
      <c r="U49" s="213">
        <v>0</v>
      </c>
      <c r="V49" s="213">
        <v>9.6000000000000002E-2</v>
      </c>
      <c r="W49" s="213">
        <v>0.04</v>
      </c>
      <c r="X49" s="213">
        <v>1.52</v>
      </c>
      <c r="Y49" s="213">
        <v>0.32</v>
      </c>
      <c r="Z49" s="213">
        <v>10.559999999999999</v>
      </c>
      <c r="AA49" s="213">
        <v>0</v>
      </c>
      <c r="AB49" s="213">
        <v>0.91999999999999993</v>
      </c>
      <c r="AC49" s="213">
        <v>33.119999999999997</v>
      </c>
      <c r="AD49" s="213">
        <v>97.6</v>
      </c>
      <c r="AE49" s="213">
        <v>0.72</v>
      </c>
      <c r="AF49" s="213">
        <v>0.4</v>
      </c>
      <c r="AG49" s="213">
        <v>68</v>
      </c>
      <c r="BR49" s="180"/>
      <c r="BS49" s="180"/>
      <c r="BT49" s="180"/>
      <c r="BU49" s="180"/>
      <c r="BV49" s="180"/>
      <c r="BW49" s="180"/>
      <c r="BX49" s="180" t="s">
        <v>350</v>
      </c>
      <c r="BY49" s="180" t="s">
        <v>351</v>
      </c>
      <c r="BZ49" s="180"/>
      <c r="CA49" s="180"/>
      <c r="CB49" s="180"/>
      <c r="CC49" s="180"/>
      <c r="CD49" s="180"/>
      <c r="CE49" s="180"/>
      <c r="CF49" s="180"/>
      <c r="CG49" s="180"/>
      <c r="CH49" s="180"/>
      <c r="CI49" s="180"/>
    </row>
    <row r="50" spans="1:87">
      <c r="B50" s="189"/>
      <c r="C50" s="189">
        <f t="shared" si="13"/>
        <v>83.724999999999994</v>
      </c>
      <c r="D50" s="209" t="s">
        <v>220</v>
      </c>
      <c r="E50" s="215">
        <v>15.13</v>
      </c>
      <c r="F50" s="215">
        <v>2.5499999999999998</v>
      </c>
      <c r="G50" s="215">
        <v>1.4449999999999998</v>
      </c>
      <c r="H50" s="215">
        <v>0.34</v>
      </c>
      <c r="I50" s="215">
        <v>0</v>
      </c>
      <c r="J50" s="215">
        <v>0.255</v>
      </c>
      <c r="K50" s="215">
        <v>0.68</v>
      </c>
      <c r="L50" s="215">
        <v>2.5499999999999998</v>
      </c>
      <c r="M50" s="215">
        <v>146.19999999999999</v>
      </c>
      <c r="N50" s="215">
        <v>71.399999999999991</v>
      </c>
      <c r="O50" s="215">
        <v>751.4</v>
      </c>
      <c r="P50" s="215">
        <v>35.699999999999996</v>
      </c>
      <c r="Q50" s="215">
        <v>2.21</v>
      </c>
      <c r="R50" s="215">
        <v>0</v>
      </c>
      <c r="S50" s="215">
        <v>0</v>
      </c>
      <c r="T50" s="215">
        <v>0</v>
      </c>
      <c r="U50" s="215">
        <v>0.17</v>
      </c>
      <c r="V50" s="215">
        <v>8.5000000000000006E-2</v>
      </c>
      <c r="W50" s="215">
        <v>8.5000000000000006E-2</v>
      </c>
      <c r="X50" s="215">
        <v>1.4449999999999998</v>
      </c>
      <c r="Y50" s="215">
        <v>8.5000000000000006E-2</v>
      </c>
      <c r="Z50" s="215">
        <v>26.094999999999999</v>
      </c>
      <c r="AA50" s="215">
        <v>0</v>
      </c>
      <c r="AB50" s="215">
        <v>0.85</v>
      </c>
      <c r="AC50" s="215">
        <v>27.2</v>
      </c>
      <c r="AD50" s="215">
        <v>79.899999999999991</v>
      </c>
      <c r="AE50" s="215">
        <v>0.59499999999999997</v>
      </c>
      <c r="AF50" s="215">
        <v>8.5000000000000006E-2</v>
      </c>
      <c r="AG50" s="215">
        <v>11.475</v>
      </c>
      <c r="BR50" s="180"/>
      <c r="BS50" s="180"/>
      <c r="BT50" s="180"/>
      <c r="BU50" s="180"/>
      <c r="BV50" s="180"/>
      <c r="BW50" s="180"/>
      <c r="BX50" s="180" t="s">
        <v>352</v>
      </c>
      <c r="BY50" s="216" t="s">
        <v>353</v>
      </c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</row>
    <row r="51" spans="1:87">
      <c r="B51" s="189"/>
      <c r="C51" s="189">
        <f t="shared" si="13"/>
        <v>79</v>
      </c>
      <c r="D51" s="209" t="s">
        <v>221</v>
      </c>
      <c r="E51" s="215">
        <v>15.2</v>
      </c>
      <c r="F51" s="215">
        <v>2.2999999999999998</v>
      </c>
      <c r="G51" s="215">
        <v>1</v>
      </c>
      <c r="H51" s="215">
        <v>0.2</v>
      </c>
      <c r="I51" s="215">
        <v>0</v>
      </c>
      <c r="J51" s="215">
        <v>0.2</v>
      </c>
      <c r="K51" s="215">
        <v>0.4</v>
      </c>
      <c r="L51" s="215">
        <v>0.7</v>
      </c>
      <c r="M51" s="215">
        <v>204</v>
      </c>
      <c r="N51" s="215">
        <v>42</v>
      </c>
      <c r="O51" s="215">
        <v>365</v>
      </c>
      <c r="P51" s="215">
        <v>45</v>
      </c>
      <c r="Q51" s="215">
        <v>1.3</v>
      </c>
      <c r="R51" s="215">
        <v>0</v>
      </c>
      <c r="S51" s="215">
        <v>0</v>
      </c>
      <c r="T51" s="215">
        <v>0</v>
      </c>
      <c r="U51" s="215">
        <v>0.1</v>
      </c>
      <c r="V51" s="215">
        <v>0.1</v>
      </c>
      <c r="W51" s="215">
        <v>0.1</v>
      </c>
      <c r="X51" s="215">
        <v>1.3</v>
      </c>
      <c r="Y51" s="215">
        <v>0</v>
      </c>
      <c r="Z51" s="215">
        <v>33.299999999999997</v>
      </c>
      <c r="AA51" s="215">
        <v>0</v>
      </c>
      <c r="AB51" s="215">
        <v>1.1000000000000001</v>
      </c>
      <c r="AC51" s="215">
        <v>6.9</v>
      </c>
      <c r="AD51" s="215">
        <v>30</v>
      </c>
      <c r="AE51" s="215">
        <v>0.2</v>
      </c>
      <c r="AF51" s="215">
        <v>0.1</v>
      </c>
      <c r="AG51" s="215">
        <v>0.5</v>
      </c>
      <c r="BR51" s="180"/>
      <c r="BS51" s="180"/>
      <c r="BT51" s="180"/>
      <c r="BU51" s="180"/>
      <c r="BV51" s="180"/>
      <c r="BW51" s="180"/>
      <c r="BX51" s="180" t="s">
        <v>354</v>
      </c>
      <c r="BY51" s="180"/>
      <c r="BZ51" s="180"/>
      <c r="CA51" s="180"/>
      <c r="CB51" s="180"/>
      <c r="CC51" s="180"/>
      <c r="CD51" s="180"/>
      <c r="CE51" s="180"/>
      <c r="CF51" s="180"/>
      <c r="CG51" s="180"/>
      <c r="CH51" s="180"/>
      <c r="CI51" s="180"/>
    </row>
    <row r="52" spans="1:87">
      <c r="B52" s="189"/>
      <c r="C52" s="189">
        <f t="shared" si="13"/>
        <v>115.1</v>
      </c>
      <c r="D52" s="120" t="s">
        <v>222</v>
      </c>
      <c r="E52" s="215">
        <v>25.7</v>
      </c>
      <c r="F52" s="215">
        <v>2.4</v>
      </c>
      <c r="G52" s="215">
        <v>0.3</v>
      </c>
      <c r="H52" s="215">
        <v>0.1</v>
      </c>
      <c r="I52" s="215">
        <v>0</v>
      </c>
      <c r="J52" s="215">
        <v>0</v>
      </c>
      <c r="K52" s="215">
        <v>0.1</v>
      </c>
      <c r="L52" s="215">
        <v>0.8</v>
      </c>
      <c r="M52" s="215">
        <v>230</v>
      </c>
      <c r="N52" s="215">
        <v>5.6</v>
      </c>
      <c r="O52" s="215">
        <v>84</v>
      </c>
      <c r="P52" s="215">
        <v>1.3</v>
      </c>
      <c r="Q52" s="215">
        <v>2.5</v>
      </c>
      <c r="R52" s="215">
        <v>30</v>
      </c>
      <c r="S52" s="215">
        <v>9.9</v>
      </c>
      <c r="T52" s="215">
        <v>0</v>
      </c>
      <c r="U52" s="215">
        <v>0</v>
      </c>
      <c r="V52" s="215">
        <v>0.3</v>
      </c>
      <c r="W52" s="215">
        <v>0.4</v>
      </c>
      <c r="X52" s="215">
        <v>4</v>
      </c>
      <c r="Y52" s="215">
        <v>0.5</v>
      </c>
      <c r="Z52" s="215">
        <v>0</v>
      </c>
      <c r="AA52" s="215">
        <v>0.1</v>
      </c>
      <c r="AB52" s="215">
        <v>5.3</v>
      </c>
      <c r="AC52" s="215">
        <v>2.7</v>
      </c>
      <c r="AD52" s="215">
        <v>20</v>
      </c>
      <c r="AE52" s="215">
        <v>0.13</v>
      </c>
      <c r="AF52" s="215">
        <v>0</v>
      </c>
      <c r="AG52" s="215">
        <v>2.2999999999999998</v>
      </c>
      <c r="BR52" s="180"/>
      <c r="BS52" s="180"/>
      <c r="BT52" s="180"/>
      <c r="BU52" s="180"/>
      <c r="BV52" s="180"/>
      <c r="BW52" s="180"/>
      <c r="BX52" s="180" t="s">
        <v>355</v>
      </c>
      <c r="BY52" s="180" t="s">
        <v>356</v>
      </c>
      <c r="BZ52" s="180"/>
      <c r="CA52" s="180"/>
      <c r="CB52" s="180"/>
      <c r="CC52" s="180"/>
      <c r="CD52" s="180"/>
      <c r="CE52" s="180"/>
      <c r="CF52" s="180"/>
      <c r="CG52" s="180"/>
      <c r="CH52" s="180"/>
      <c r="CI52" s="180"/>
    </row>
    <row r="53" spans="1:87">
      <c r="A53" s="132"/>
      <c r="B53" s="189"/>
      <c r="C53" s="189">
        <f t="shared" si="13"/>
        <v>117.37499999999999</v>
      </c>
      <c r="D53" s="209" t="s">
        <v>223</v>
      </c>
      <c r="E53" s="215">
        <v>23.4</v>
      </c>
      <c r="F53" s="215">
        <v>2.4000000000000004</v>
      </c>
      <c r="G53" s="215">
        <v>1.5750000000000002</v>
      </c>
      <c r="H53" s="215">
        <v>0.22499999999999998</v>
      </c>
      <c r="I53" s="215">
        <v>0</v>
      </c>
      <c r="J53" s="215">
        <v>0.89999999999999991</v>
      </c>
      <c r="K53" s="215">
        <v>0.44999999999999996</v>
      </c>
      <c r="L53" s="215">
        <v>2.1749999999999998</v>
      </c>
      <c r="M53" s="215">
        <v>120</v>
      </c>
      <c r="N53" s="215">
        <v>39</v>
      </c>
      <c r="O53" s="215">
        <v>792</v>
      </c>
      <c r="P53" s="215">
        <v>22.5</v>
      </c>
      <c r="Q53" s="215">
        <v>2.25</v>
      </c>
      <c r="R53" s="215">
        <v>30</v>
      </c>
      <c r="S53" s="215">
        <v>7.5</v>
      </c>
      <c r="T53" s="215">
        <v>0</v>
      </c>
      <c r="U53" s="215">
        <v>0</v>
      </c>
      <c r="V53" s="215">
        <v>0.22499999999999998</v>
      </c>
      <c r="W53" s="215">
        <v>0.30000000000000004</v>
      </c>
      <c r="X53" s="215">
        <v>3</v>
      </c>
      <c r="Y53" s="215">
        <v>0.375</v>
      </c>
      <c r="Z53" s="215">
        <v>73.800000000000011</v>
      </c>
      <c r="AA53" s="215">
        <v>7.5000000000000011E-2</v>
      </c>
      <c r="AB53" s="215">
        <v>4.1999999999999993</v>
      </c>
      <c r="AC53" s="215">
        <v>30.75</v>
      </c>
      <c r="AD53" s="215">
        <v>165</v>
      </c>
      <c r="AE53" s="215">
        <v>2.7750000000000004</v>
      </c>
      <c r="AF53" s="215">
        <v>0.15</v>
      </c>
      <c r="AG53" s="215">
        <v>8</v>
      </c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  <c r="CF53" s="180"/>
      <c r="CG53" s="180"/>
      <c r="CH53" s="180"/>
      <c r="CI53" s="180"/>
    </row>
    <row r="54" spans="1:87">
      <c r="A54" s="132"/>
      <c r="B54" s="189"/>
      <c r="C54" s="189">
        <f t="shared" si="13"/>
        <v>108.96000000000001</v>
      </c>
      <c r="D54" s="209" t="s">
        <v>224</v>
      </c>
      <c r="E54" s="215">
        <v>17.600000000000001</v>
      </c>
      <c r="F54" s="215">
        <v>4.24</v>
      </c>
      <c r="G54" s="215">
        <v>2.4</v>
      </c>
      <c r="H54" s="215">
        <v>0.48000000000000004</v>
      </c>
      <c r="I54" s="215">
        <v>0</v>
      </c>
      <c r="J54" s="215">
        <v>1.28</v>
      </c>
      <c r="K54" s="215">
        <v>0.96000000000000008</v>
      </c>
      <c r="L54" s="215">
        <v>2.9600000000000004</v>
      </c>
      <c r="M54" s="215">
        <v>1.04</v>
      </c>
      <c r="N54" s="215">
        <v>0.1</v>
      </c>
      <c r="O54" s="215">
        <v>0.86</v>
      </c>
      <c r="P54" s="215">
        <v>13.299999999999999</v>
      </c>
      <c r="Q54" s="215">
        <v>0</v>
      </c>
      <c r="R54" s="215">
        <v>0</v>
      </c>
      <c r="S54" s="215">
        <v>0</v>
      </c>
      <c r="T54" s="215">
        <v>0</v>
      </c>
      <c r="U54" s="215">
        <v>0</v>
      </c>
      <c r="V54" s="215">
        <v>0.14699999999999999</v>
      </c>
      <c r="W54" s="215">
        <v>3.4999999999999996E-2</v>
      </c>
      <c r="X54" s="215">
        <v>0.23099999999999998</v>
      </c>
      <c r="Y54" s="215">
        <v>0</v>
      </c>
      <c r="Z54" s="215">
        <v>13.649999999999999</v>
      </c>
      <c r="AA54" s="215">
        <v>0</v>
      </c>
      <c r="AB54" s="215">
        <v>1.302</v>
      </c>
      <c r="AC54" s="215">
        <v>75.53</v>
      </c>
      <c r="AD54" s="215">
        <v>100.1</v>
      </c>
      <c r="AE54" s="215">
        <v>0.55999999999999994</v>
      </c>
      <c r="AF54" s="215">
        <v>0</v>
      </c>
      <c r="AG54" s="215">
        <v>0</v>
      </c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</row>
    <row r="55" spans="1:87">
      <c r="B55" s="189"/>
      <c r="C55" s="189">
        <f t="shared" si="13"/>
        <v>84.703999999999994</v>
      </c>
      <c r="D55" s="217" t="s">
        <v>357</v>
      </c>
      <c r="E55" s="185">
        <f>$E$34*IF($E$37="yes",E43,IF($E$38="yes",E44,IF($E$39="yes",E45,IF($E$40="yes",E46,E47))))+$E$35*E49</f>
        <v>18.145</v>
      </c>
      <c r="F55" s="185">
        <f>$E$34*IF($E$37="yes",F43,IF($E$38="yes",F44,IF($E$39="yes",F45,IF($E$40="yes",F46,F47))))+$E$35*F49</f>
        <v>2.4820000000000002</v>
      </c>
      <c r="G55" s="185">
        <f t="shared" ref="G55:AG55" si="14">$E$34*IF($E$37="yes",G43,IF($E$38="yes",G44,IF($E$39="yes",G45,IF($E$40="yes",G46,G47))))+$E$35*G49</f>
        <v>0.24399999999999999</v>
      </c>
      <c r="H55" s="185">
        <f t="shared" si="14"/>
        <v>6.0999999999999999E-2</v>
      </c>
      <c r="I55" s="185">
        <f t="shared" si="14"/>
        <v>0</v>
      </c>
      <c r="J55" s="185">
        <f t="shared" si="14"/>
        <v>6.0999999999999999E-2</v>
      </c>
      <c r="K55" s="185">
        <f t="shared" si="14"/>
        <v>0.10500000000000001</v>
      </c>
      <c r="L55" s="185">
        <f t="shared" si="14"/>
        <v>1.75</v>
      </c>
      <c r="M55" s="185">
        <f t="shared" si="14"/>
        <v>1.22</v>
      </c>
      <c r="N55" s="185">
        <f t="shared" si="14"/>
        <v>22.704999999999998</v>
      </c>
      <c r="O55" s="185">
        <f t="shared" si="14"/>
        <v>374.97999999999996</v>
      </c>
      <c r="P55" s="185">
        <f t="shared" si="14"/>
        <v>7.3599999999999994</v>
      </c>
      <c r="Q55" s="185">
        <f t="shared" si="14"/>
        <v>0.221</v>
      </c>
      <c r="R55" s="185">
        <f t="shared" si="14"/>
        <v>0.8</v>
      </c>
      <c r="S55" s="185">
        <f t="shared" si="14"/>
        <v>0</v>
      </c>
      <c r="T55" s="185">
        <f t="shared" si="14"/>
        <v>0</v>
      </c>
      <c r="U55" s="185">
        <f t="shared" si="14"/>
        <v>0</v>
      </c>
      <c r="V55" s="185">
        <f t="shared" si="14"/>
        <v>6.3E-2</v>
      </c>
      <c r="W55" s="185">
        <f t="shared" si="14"/>
        <v>0.02</v>
      </c>
      <c r="X55" s="185">
        <f t="shared" si="14"/>
        <v>1.01</v>
      </c>
      <c r="Y55" s="185">
        <f t="shared" si="14"/>
        <v>0.18099999999999999</v>
      </c>
      <c r="Z55" s="185">
        <f t="shared" si="14"/>
        <v>6.2669999999999995</v>
      </c>
      <c r="AA55" s="185">
        <f t="shared" si="14"/>
        <v>0</v>
      </c>
      <c r="AB55" s="185">
        <f>$E$34*IF($E$37="yes",AB43,IF($E$38="yes",AB44,IF($E$39="yes",AB25,IF($E$40="yes",AB26,AB27))))+$E$35*AB29</f>
        <v>0</v>
      </c>
      <c r="AC55" s="185">
        <f t="shared" si="14"/>
        <v>20.549999999999997</v>
      </c>
      <c r="AD55" s="185">
        <f t="shared" si="14"/>
        <v>60.412999999999997</v>
      </c>
      <c r="AE55" s="185">
        <f t="shared" si="14"/>
        <v>0.52800000000000002</v>
      </c>
      <c r="AF55" s="185">
        <f t="shared" si="14"/>
        <v>0.221</v>
      </c>
      <c r="AG55" s="185">
        <f t="shared" si="14"/>
        <v>36.520000000000003</v>
      </c>
      <c r="BR55" s="180"/>
      <c r="BS55" s="180"/>
      <c r="BT55" s="180"/>
      <c r="BU55" s="180"/>
      <c r="BV55" s="180"/>
      <c r="BW55" s="180"/>
      <c r="BX55" s="180" t="s">
        <v>358</v>
      </c>
      <c r="BY55" s="180" t="s">
        <v>359</v>
      </c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</row>
    <row r="56" spans="1:87">
      <c r="B56" s="189"/>
      <c r="C56" s="189">
        <f t="shared" si="13"/>
        <v>108.96000000000001</v>
      </c>
      <c r="D56" s="120" t="s">
        <v>360</v>
      </c>
      <c r="E56" s="185">
        <f>IF($E$24="yes",E50,IF($E$25="yes",E51,IF($E$26="yes",E52,IF($E$27="yes",E53,IF($E$28="yes",E54,E49)))))</f>
        <v>17.600000000000001</v>
      </c>
      <c r="F56" s="185">
        <f t="shared" ref="F56:AG56" si="15">IF($E$24="yes",F50,IF($E$25="yes",F51,IF($E$26="yes",F52,IF($E$27="yes",F53,IF($E$28="yes",F54,F49)))))</f>
        <v>4.24</v>
      </c>
      <c r="G56" s="185">
        <f>IF($E$24="yes",G50,IF($E$25="yes",G51,IF($E$26="yes",G52,IF($E$27="yes",G53,IF($E$28="yes",G54,G49)))))</f>
        <v>2.4</v>
      </c>
      <c r="H56" s="185">
        <f t="shared" si="15"/>
        <v>0.48000000000000004</v>
      </c>
      <c r="I56" s="185">
        <f t="shared" si="15"/>
        <v>0</v>
      </c>
      <c r="J56" s="185">
        <f t="shared" si="15"/>
        <v>1.28</v>
      </c>
      <c r="K56" s="185">
        <f t="shared" si="15"/>
        <v>0.96000000000000008</v>
      </c>
      <c r="L56" s="185">
        <f t="shared" si="15"/>
        <v>2.9600000000000004</v>
      </c>
      <c r="M56" s="185">
        <f t="shared" si="15"/>
        <v>1.04</v>
      </c>
      <c r="N56" s="185">
        <f t="shared" si="15"/>
        <v>0.1</v>
      </c>
      <c r="O56" s="185">
        <f t="shared" si="15"/>
        <v>0.86</v>
      </c>
      <c r="P56" s="185">
        <f t="shared" si="15"/>
        <v>13.299999999999999</v>
      </c>
      <c r="Q56" s="185">
        <f t="shared" si="15"/>
        <v>0</v>
      </c>
      <c r="R56" s="185">
        <f t="shared" si="15"/>
        <v>0</v>
      </c>
      <c r="S56" s="185">
        <f t="shared" si="15"/>
        <v>0</v>
      </c>
      <c r="T56" s="185">
        <f t="shared" si="15"/>
        <v>0</v>
      </c>
      <c r="U56" s="185">
        <f t="shared" si="15"/>
        <v>0</v>
      </c>
      <c r="V56" s="185">
        <f t="shared" si="15"/>
        <v>0.14699999999999999</v>
      </c>
      <c r="W56" s="185">
        <f t="shared" si="15"/>
        <v>3.4999999999999996E-2</v>
      </c>
      <c r="X56" s="185">
        <f t="shared" si="15"/>
        <v>0.23099999999999998</v>
      </c>
      <c r="Y56" s="185">
        <f t="shared" si="15"/>
        <v>0</v>
      </c>
      <c r="Z56" s="185">
        <f t="shared" si="15"/>
        <v>13.649999999999999</v>
      </c>
      <c r="AA56" s="185">
        <f t="shared" si="15"/>
        <v>0</v>
      </c>
      <c r="AB56" s="185">
        <f>IF($E$24="yes",AB30,IF($E$25="yes",AB31,IF($E$26="yes",AB32,IF($E$27="yes",AB33,IF($E$28="yes",AB34,AB29)))))</f>
        <v>0</v>
      </c>
      <c r="AC56" s="185">
        <f t="shared" si="15"/>
        <v>75.53</v>
      </c>
      <c r="AD56" s="185">
        <f t="shared" si="15"/>
        <v>100.1</v>
      </c>
      <c r="AE56" s="185">
        <f t="shared" si="15"/>
        <v>0.55999999999999994</v>
      </c>
      <c r="AF56" s="185">
        <f t="shared" si="15"/>
        <v>0</v>
      </c>
      <c r="AG56" s="185">
        <f t="shared" si="15"/>
        <v>0</v>
      </c>
      <c r="BR56" s="180"/>
      <c r="BS56" s="180"/>
      <c r="BT56" s="180"/>
      <c r="BU56" s="180"/>
      <c r="BV56" s="180"/>
      <c r="BW56" s="180"/>
      <c r="BX56" s="180" t="s">
        <v>361</v>
      </c>
      <c r="BY56" s="180" t="s">
        <v>362</v>
      </c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</row>
    <row r="57" spans="1:87" s="218" customFormat="1">
      <c r="B57" s="189"/>
      <c r="C57" s="189">
        <f t="shared" si="13"/>
        <v>92.780054399999997</v>
      </c>
      <c r="D57" s="219" t="s">
        <v>363</v>
      </c>
      <c r="E57" s="220">
        <f t="shared" ref="E57:AG57" si="16">E55*($E$22+$F$22)+E56*$D$22</f>
        <v>17.961537</v>
      </c>
      <c r="F57" s="220">
        <f t="shared" si="16"/>
        <v>3.0676931999999999</v>
      </c>
      <c r="G57" s="220">
        <f t="shared" si="16"/>
        <v>0.96257039999999994</v>
      </c>
      <c r="H57" s="220">
        <f t="shared" si="16"/>
        <v>0.20064660000000001</v>
      </c>
      <c r="I57" s="220">
        <f t="shared" si="16"/>
        <v>0</v>
      </c>
      <c r="J57" s="220">
        <f t="shared" si="16"/>
        <v>0.4672866</v>
      </c>
      <c r="K57" s="220">
        <f t="shared" si="16"/>
        <v>0.389961</v>
      </c>
      <c r="L57" s="220">
        <f t="shared" si="16"/>
        <v>2.1531180000000001</v>
      </c>
      <c r="M57" s="220">
        <f t="shared" si="16"/>
        <v>1.1598839999999999</v>
      </c>
      <c r="N57" s="220">
        <f t="shared" si="16"/>
        <v>15.168482999999998</v>
      </c>
      <c r="O57" s="220">
        <f t="shared" si="16"/>
        <v>250.24830599999999</v>
      </c>
      <c r="P57" s="220">
        <f t="shared" si="16"/>
        <v>9.339065999999999</v>
      </c>
      <c r="Q57" s="220">
        <f t="shared" si="16"/>
        <v>0.14731859999999999</v>
      </c>
      <c r="R57" s="220">
        <f t="shared" si="16"/>
        <v>0.53327999999999998</v>
      </c>
      <c r="S57" s="220">
        <f t="shared" si="16"/>
        <v>0</v>
      </c>
      <c r="T57" s="220">
        <f t="shared" si="16"/>
        <v>0</v>
      </c>
      <c r="U57" s="220">
        <f t="shared" si="16"/>
        <v>0</v>
      </c>
      <c r="V57" s="220">
        <f t="shared" si="16"/>
        <v>9.0990899999999986E-2</v>
      </c>
      <c r="W57" s="220">
        <f t="shared" si="16"/>
        <v>2.4997499999999999E-2</v>
      </c>
      <c r="X57" s="220">
        <f t="shared" si="16"/>
        <v>0.75025830000000004</v>
      </c>
      <c r="Y57" s="220">
        <f t="shared" si="16"/>
        <v>0.12065459999999999</v>
      </c>
      <c r="Z57" s="220">
        <f t="shared" si="16"/>
        <v>8.7271271999999982</v>
      </c>
      <c r="AA57" s="220">
        <f t="shared" si="16"/>
        <v>0</v>
      </c>
      <c r="AB57" s="220">
        <f t="shared" si="16"/>
        <v>0</v>
      </c>
      <c r="AC57" s="220">
        <f t="shared" si="16"/>
        <v>38.872778999999994</v>
      </c>
      <c r="AD57" s="220">
        <f t="shared" si="16"/>
        <v>73.634635799999984</v>
      </c>
      <c r="AE57" s="220">
        <f t="shared" si="16"/>
        <v>0.5386128</v>
      </c>
      <c r="AF57" s="220">
        <f t="shared" si="16"/>
        <v>0.14731859999999999</v>
      </c>
      <c r="AG57" s="220">
        <f t="shared" si="16"/>
        <v>24.344232000000002</v>
      </c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</row>
    <row r="58" spans="1:87">
      <c r="D58" s="221" t="s">
        <v>364</v>
      </c>
      <c r="J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</row>
    <row r="59" spans="1:87">
      <c r="D59" s="120" t="s">
        <v>365</v>
      </c>
      <c r="J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</row>
    <row r="60" spans="1:87">
      <c r="D60" s="120" t="s">
        <v>366</v>
      </c>
      <c r="J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</row>
    <row r="61" spans="1:87">
      <c r="D61" s="120" t="s">
        <v>241</v>
      </c>
      <c r="E61" s="132">
        <v>2</v>
      </c>
      <c r="J61" s="180"/>
      <c r="BR61" s="180"/>
      <c r="BS61" s="180"/>
      <c r="BT61" s="180"/>
      <c r="BU61" s="180"/>
      <c r="BV61" s="180"/>
      <c r="BW61" s="180"/>
      <c r="BX61" s="180"/>
      <c r="BY61" s="180"/>
      <c r="BZ61" s="180"/>
      <c r="CA61" s="180"/>
      <c r="CB61" s="180"/>
      <c r="CC61" s="180"/>
      <c r="CD61" s="180"/>
      <c r="CE61" s="180"/>
      <c r="CF61" s="180"/>
      <c r="CG61" s="180"/>
      <c r="CH61" s="180"/>
      <c r="CI61" s="180"/>
    </row>
    <row r="62" spans="1:87">
      <c r="D62" s="120" t="s">
        <v>367</v>
      </c>
      <c r="E62" s="132">
        <v>2</v>
      </c>
      <c r="J62" s="180"/>
      <c r="BR62" s="180"/>
      <c r="BS62" s="180"/>
      <c r="BT62" s="180"/>
      <c r="BU62" s="180"/>
      <c r="BV62" s="180"/>
      <c r="BW62" s="180"/>
      <c r="BX62" s="180" t="s">
        <v>368</v>
      </c>
      <c r="BY62" s="180" t="s">
        <v>369</v>
      </c>
      <c r="BZ62" s="180"/>
      <c r="CA62" s="180"/>
      <c r="CB62" s="180"/>
      <c r="CC62" s="180"/>
      <c r="CD62" s="180"/>
      <c r="CE62" s="180"/>
      <c r="CF62" s="180"/>
      <c r="CG62" s="180"/>
      <c r="CH62" s="180"/>
      <c r="CI62" s="180"/>
    </row>
    <row r="63" spans="1:87">
      <c r="D63" s="120" t="s">
        <v>370</v>
      </c>
      <c r="E63" s="132">
        <v>10</v>
      </c>
      <c r="J63" s="180"/>
      <c r="BR63" s="180"/>
      <c r="BS63" s="180"/>
      <c r="BT63" s="180"/>
      <c r="BU63" s="180"/>
      <c r="BV63" s="180"/>
      <c r="BW63" s="180"/>
      <c r="BX63" s="180"/>
      <c r="BY63" s="180" t="s">
        <v>371</v>
      </c>
      <c r="BZ63" s="180"/>
      <c r="CA63" s="180"/>
      <c r="CB63" s="180"/>
      <c r="CC63" s="180"/>
      <c r="CD63" s="180"/>
      <c r="CE63" s="180"/>
      <c r="CF63" s="180"/>
      <c r="CG63" s="180"/>
      <c r="CH63" s="180"/>
      <c r="CI63" s="180"/>
    </row>
    <row r="64" spans="1:87">
      <c r="E64" s="132" t="s">
        <v>372</v>
      </c>
      <c r="F64" s="132" t="s">
        <v>336</v>
      </c>
      <c r="G64" s="132" t="s">
        <v>337</v>
      </c>
      <c r="H64" s="132" t="s">
        <v>338</v>
      </c>
      <c r="I64" s="180" t="s">
        <v>339</v>
      </c>
      <c r="J64" s="180" t="s">
        <v>78</v>
      </c>
      <c r="K64" s="180" t="s">
        <v>79</v>
      </c>
      <c r="L64" s="180" t="s">
        <v>83</v>
      </c>
      <c r="M64" s="180" t="s">
        <v>84</v>
      </c>
      <c r="N64" s="180" t="s">
        <v>341</v>
      </c>
      <c r="O64" s="180" t="s">
        <v>342</v>
      </c>
      <c r="P64" s="180" t="s">
        <v>343</v>
      </c>
      <c r="Q64" s="180" t="s">
        <v>300</v>
      </c>
      <c r="R64" s="180" t="s">
        <v>80</v>
      </c>
      <c r="S64" s="180" t="s">
        <v>252</v>
      </c>
      <c r="T64" s="180" t="s">
        <v>301</v>
      </c>
      <c r="U64" s="180" t="s">
        <v>302</v>
      </c>
      <c r="V64" s="180" t="s">
        <v>303</v>
      </c>
      <c r="W64" s="180" t="s">
        <v>304</v>
      </c>
      <c r="X64" s="180" t="s">
        <v>305</v>
      </c>
      <c r="Y64" s="180" t="s">
        <v>306</v>
      </c>
      <c r="Z64" s="180" t="s">
        <v>81</v>
      </c>
      <c r="AA64" s="180" t="s">
        <v>307</v>
      </c>
      <c r="AB64" s="180" t="s">
        <v>308</v>
      </c>
      <c r="AC64" s="180" t="s">
        <v>309</v>
      </c>
      <c r="AD64" s="180" t="s">
        <v>310</v>
      </c>
      <c r="AE64" s="180" t="s">
        <v>311</v>
      </c>
      <c r="AF64" s="180" t="s">
        <v>312</v>
      </c>
      <c r="AG64" s="180" t="s">
        <v>313</v>
      </c>
      <c r="BR64" s="180"/>
      <c r="BS64" s="180"/>
      <c r="BT64" s="180"/>
      <c r="BU64" s="180"/>
      <c r="BV64" s="180"/>
      <c r="BW64" s="180"/>
      <c r="BX64" s="180" t="s">
        <v>373</v>
      </c>
      <c r="BY64" s="180"/>
      <c r="BZ64" s="180"/>
      <c r="CA64" s="180"/>
      <c r="CB64" s="180"/>
      <c r="CC64" s="180"/>
      <c r="CD64" s="180"/>
      <c r="CE64" s="180"/>
      <c r="CF64" s="180"/>
      <c r="CG64" s="180"/>
      <c r="CH64" s="180"/>
      <c r="CI64" s="180"/>
    </row>
    <row r="65" spans="1:87">
      <c r="D65" s="120" t="s">
        <v>374</v>
      </c>
      <c r="E65" s="222">
        <v>20.625</v>
      </c>
      <c r="F65" s="222">
        <v>7.25</v>
      </c>
      <c r="G65" s="222">
        <v>0.65</v>
      </c>
      <c r="H65" s="222">
        <v>0.1125</v>
      </c>
      <c r="I65" s="222">
        <v>0</v>
      </c>
      <c r="J65" s="222">
        <v>0.16250000000000001</v>
      </c>
      <c r="K65" s="222">
        <v>0.375</v>
      </c>
      <c r="L65" s="222">
        <v>7.5</v>
      </c>
      <c r="M65" s="222">
        <v>200</v>
      </c>
      <c r="N65" s="222">
        <v>0</v>
      </c>
      <c r="O65" s="222">
        <v>0</v>
      </c>
      <c r="P65" s="222">
        <v>250</v>
      </c>
      <c r="Q65" s="222">
        <v>0</v>
      </c>
      <c r="R65" s="222">
        <v>1.1000000000000001</v>
      </c>
      <c r="S65" s="222">
        <v>0.78749999999999998</v>
      </c>
      <c r="T65" s="222">
        <v>0</v>
      </c>
      <c r="U65" s="222">
        <v>0</v>
      </c>
      <c r="V65" s="222">
        <v>0.14375000000000002</v>
      </c>
      <c r="W65" s="222">
        <v>0.05</v>
      </c>
      <c r="X65" s="222">
        <v>0.40875</v>
      </c>
      <c r="Y65" s="222">
        <v>0.17500000000000002</v>
      </c>
      <c r="Z65" s="222">
        <v>145.5</v>
      </c>
      <c r="AA65" s="222">
        <v>0</v>
      </c>
      <c r="AB65" s="222">
        <v>2.0662500000000001</v>
      </c>
      <c r="AC65" s="222">
        <v>41.5</v>
      </c>
      <c r="AD65" s="222">
        <v>350</v>
      </c>
      <c r="AE65" s="222">
        <v>1.0375000000000001</v>
      </c>
      <c r="AF65" s="222">
        <v>0.23749999999999999</v>
      </c>
      <c r="AG65" s="222">
        <v>2.875</v>
      </c>
      <c r="BR65" s="180"/>
      <c r="BS65" s="180"/>
      <c r="BT65" s="180"/>
      <c r="BU65" s="180"/>
      <c r="BV65" s="180"/>
      <c r="BW65" s="180"/>
      <c r="BX65" s="180" t="s">
        <v>375</v>
      </c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</row>
    <row r="66" spans="1:87">
      <c r="D66" s="120" t="s">
        <v>376</v>
      </c>
      <c r="E66" s="222">
        <v>19.333333333333332</v>
      </c>
      <c r="F66" s="222">
        <v>7.666666666666667</v>
      </c>
      <c r="G66" s="222">
        <v>0.33333333333333331</v>
      </c>
      <c r="H66" s="222">
        <v>0.10000000000000002</v>
      </c>
      <c r="I66" s="222">
        <v>0</v>
      </c>
      <c r="J66" s="222">
        <v>0.10000000000000002</v>
      </c>
      <c r="K66" s="222">
        <v>0.13333333333333333</v>
      </c>
      <c r="L66" s="222">
        <v>8</v>
      </c>
      <c r="M66" s="222">
        <v>220</v>
      </c>
      <c r="N66" s="222">
        <v>37</v>
      </c>
      <c r="O66" s="222">
        <v>135</v>
      </c>
      <c r="P66" s="222">
        <v>24.333333333333332</v>
      </c>
      <c r="Q66" s="222">
        <v>0</v>
      </c>
      <c r="R66" s="222">
        <v>1.6666666666666667</v>
      </c>
      <c r="S66" s="222">
        <v>1.1666666666666667</v>
      </c>
      <c r="T66" s="222">
        <v>0</v>
      </c>
      <c r="U66" s="222">
        <v>0</v>
      </c>
      <c r="V66" s="222">
        <v>0.17</v>
      </c>
      <c r="W66" s="222">
        <v>5.6666666666666671E-2</v>
      </c>
      <c r="X66" s="222">
        <v>0.72666666666666657</v>
      </c>
      <c r="Y66" s="222">
        <v>0.2</v>
      </c>
      <c r="Z66" s="222">
        <v>166.79999999999998</v>
      </c>
      <c r="AA66" s="222">
        <v>0.1</v>
      </c>
      <c r="AB66" s="222">
        <v>2.0299999999999998</v>
      </c>
      <c r="AC66" s="222">
        <v>38.919375000000002</v>
      </c>
      <c r="AD66" s="222">
        <v>301</v>
      </c>
      <c r="AE66" s="222">
        <v>0.96666666666666679</v>
      </c>
      <c r="AF66" s="222">
        <v>0.35922375000000006</v>
      </c>
      <c r="AG66" s="222">
        <v>5.5</v>
      </c>
      <c r="BR66" s="180"/>
      <c r="BS66" s="180"/>
      <c r="BT66" s="180"/>
      <c r="BU66" s="180"/>
      <c r="BV66" s="180"/>
      <c r="BW66" s="180"/>
      <c r="BX66" s="180" t="s">
        <v>377</v>
      </c>
      <c r="BY66" s="180"/>
      <c r="BZ66" s="180"/>
      <c r="CA66" s="180"/>
      <c r="CB66" s="180"/>
      <c r="CC66" s="180"/>
      <c r="CD66" s="180"/>
      <c r="CE66" s="180"/>
      <c r="CF66" s="180"/>
      <c r="CG66" s="180"/>
      <c r="CH66" s="180"/>
      <c r="CI66" s="180"/>
    </row>
    <row r="67" spans="1:87">
      <c r="D67" s="120" t="s">
        <v>378</v>
      </c>
      <c r="E67" s="222">
        <v>19.333333333333332</v>
      </c>
      <c r="F67" s="222">
        <v>7.666666666666667</v>
      </c>
      <c r="G67" s="222">
        <v>0.33333333333333331</v>
      </c>
      <c r="H67" s="222">
        <v>0.10000000000000002</v>
      </c>
      <c r="I67" s="222">
        <v>0</v>
      </c>
      <c r="J67" s="222">
        <v>0.10000000000000002</v>
      </c>
      <c r="K67" s="222">
        <v>0.13333333333333333</v>
      </c>
      <c r="L67" s="222">
        <v>3.25</v>
      </c>
      <c r="M67" s="222">
        <v>220</v>
      </c>
      <c r="N67" s="222">
        <v>37</v>
      </c>
      <c r="O67" s="222">
        <v>135</v>
      </c>
      <c r="P67" s="222">
        <v>24.333333333333332</v>
      </c>
      <c r="Q67" s="222">
        <v>0</v>
      </c>
      <c r="R67" s="222">
        <v>1.6666666666666667</v>
      </c>
      <c r="S67" s="222">
        <v>1.1666666666666667</v>
      </c>
      <c r="T67" s="222">
        <v>0</v>
      </c>
      <c r="U67" s="222">
        <v>0</v>
      </c>
      <c r="V67" s="222">
        <v>0.17</v>
      </c>
      <c r="W67" s="222">
        <v>5.6666666666666671E-2</v>
      </c>
      <c r="X67" s="222">
        <v>0.72666666666666657</v>
      </c>
      <c r="Y67" s="222">
        <v>0.2</v>
      </c>
      <c r="Z67" s="222">
        <v>166.79999999999998</v>
      </c>
      <c r="AA67" s="222">
        <v>0.1</v>
      </c>
      <c r="AB67" s="222">
        <v>2.0299999999999998</v>
      </c>
      <c r="AC67" s="222">
        <v>38.919375000000002</v>
      </c>
      <c r="AD67" s="222">
        <v>301</v>
      </c>
      <c r="AE67" s="222">
        <v>0.96666666666666679</v>
      </c>
      <c r="AF67" s="222">
        <v>0.35922375000000006</v>
      </c>
      <c r="AG67" s="222">
        <v>5.5</v>
      </c>
      <c r="BR67" s="180"/>
      <c r="BS67" s="180"/>
      <c r="BT67" s="180"/>
      <c r="BU67" s="180"/>
      <c r="BV67" s="180"/>
      <c r="BW67" s="180"/>
      <c r="BX67" s="180" t="s">
        <v>251</v>
      </c>
      <c r="BY67" s="180"/>
      <c r="BZ67" s="180"/>
      <c r="CA67" s="180"/>
      <c r="CB67" s="180"/>
      <c r="CC67" s="180"/>
      <c r="CD67" s="180"/>
      <c r="CE67" s="180"/>
      <c r="CF67" s="180"/>
      <c r="CG67" s="180"/>
      <c r="CH67" s="180"/>
      <c r="CI67" s="180"/>
    </row>
    <row r="68" spans="1:87" s="218" customFormat="1">
      <c r="B68" s="219"/>
      <c r="C68" s="219"/>
      <c r="D68" s="219" t="s">
        <v>363</v>
      </c>
      <c r="E68" s="220">
        <f>SUMPRODUCT($E$61:$E$63,E65:E67)*0.9/SUM($E$61:E63)</f>
        <v>17.56607142857143</v>
      </c>
      <c r="F68" s="220">
        <f>SUMPRODUCT($E$61:$E$63,F65:F67)*0.9/SUM($E$61:F63)</f>
        <v>6.8464285714285724</v>
      </c>
      <c r="G68" s="220">
        <f>SUMPRODUCT($E$61:$E$63,G65:G67)*0.9/SUM($E$61:G63)</f>
        <v>0.34071428571428569</v>
      </c>
      <c r="H68" s="220">
        <f>SUMPRODUCT($E$61:$E$63,H65:H67)*0.9/SUM($E$61:H63)</f>
        <v>9.1607142857142873E-2</v>
      </c>
      <c r="I68" s="220">
        <f>SUMPRODUCT($E$61:$E$63,I65:I67)*0.9/SUM($E$61:I63)</f>
        <v>0</v>
      </c>
      <c r="J68" s="220">
        <f>SUMPRODUCT($E$61:$E$63,J65:J67)*0.9/SUM($E$61:J63)</f>
        <v>9.8035714285714309E-2</v>
      </c>
      <c r="K68" s="220">
        <f>SUMPRODUCT($E$61:$E$63,K65:K67)*0.9/SUM($E$61:K63)</f>
        <v>0.15107142857142855</v>
      </c>
      <c r="L68" s="220">
        <f>SUMPRODUCT($E$61:$E$63,L65:L67)*0.9/SUM($E$61:L63)</f>
        <v>4.0821428571428573</v>
      </c>
      <c r="M68" s="220">
        <f>SUMPRODUCT($E$61:$E$63,M65:M67)*0.9/SUM($E$61:M63)</f>
        <v>195.42857142857142</v>
      </c>
      <c r="N68" s="220">
        <f>SUMPRODUCT($E$61:$E$63,N65:N67)*0.9/SUM($E$61:N63)</f>
        <v>28.542857142857144</v>
      </c>
      <c r="O68" s="220">
        <f>SUMPRODUCT($E$61:$E$63,O65:O67)*0.9/SUM($E$61:O63)</f>
        <v>104.14285714285714</v>
      </c>
      <c r="P68" s="220">
        <f>SUMPRODUCT($E$61:$E$63,P65:P67)*0.9/SUM($E$61:P63)</f>
        <v>50.914285714285718</v>
      </c>
      <c r="Q68" s="220">
        <f>SUMPRODUCT($E$61:$E$63,Q65:Q67)*0.9/SUM($E$61:Q63)</f>
        <v>0</v>
      </c>
      <c r="R68" s="220">
        <f>SUMPRODUCT($E$61:$E$63,R65:R67)*0.9/SUM($E$61:R63)</f>
        <v>1.4271428571428575</v>
      </c>
      <c r="S68" s="220">
        <f>SUMPRODUCT($E$61:$E$63,S65:S67)*0.9/SUM($E$61:S63)</f>
        <v>1.0012500000000002</v>
      </c>
      <c r="T68" s="220">
        <f>SUMPRODUCT($E$61:$E$63,T65:T67)*0.9/SUM($E$61:T63)</f>
        <v>0</v>
      </c>
      <c r="U68" s="220">
        <f>SUMPRODUCT($E$61:$E$63,U65:U67)*0.9/SUM($E$61:U63)</f>
        <v>0</v>
      </c>
      <c r="V68" s="220">
        <f>SUMPRODUCT($E$61:$E$63,V65:V67)*0.9/SUM($E$61:V63)</f>
        <v>0.14962500000000004</v>
      </c>
      <c r="W68" s="220">
        <f>SUMPRODUCT($E$61:$E$63,W65:W67)*0.9/SUM($E$61:W63)</f>
        <v>5.0142857142857149E-2</v>
      </c>
      <c r="X68" s="220">
        <f>SUMPRODUCT($E$61:$E$63,X65:X67)*0.9/SUM($E$61:X63)</f>
        <v>0.61312499999999992</v>
      </c>
      <c r="Y68" s="220">
        <f>SUMPRODUCT($E$61:$E$63,Y65:Y67)*0.9/SUM($E$61:Y63)</f>
        <v>0.1767857142857143</v>
      </c>
      <c r="Z68" s="220">
        <f>SUMPRODUCT($E$61:$E$63,Z65:Z67)*0.9/SUM($E$61:Z63)</f>
        <v>147.38142857142856</v>
      </c>
      <c r="AA68" s="220">
        <f>SUMPRODUCT($E$61:$E$63,AA65:AA67)*0.9/SUM($E$61:AA63)</f>
        <v>7.7142857142857152E-2</v>
      </c>
      <c r="AB68" s="220">
        <f>SUMPRODUCT($E$61:$E$63,AB65:AB67)*0.9/SUM($E$61:AB63)</f>
        <v>1.8316607142857142</v>
      </c>
      <c r="AC68" s="220">
        <f>SUMPRODUCT($E$61:$E$63,AC65:AC67)*0.9/SUM($E$61:AC63)</f>
        <v>35.359232142857145</v>
      </c>
      <c r="AD68" s="220">
        <f>SUMPRODUCT($E$61:$E$63,AD65:AD67)*0.9/SUM($E$61:AD63)</f>
        <v>277.2</v>
      </c>
      <c r="AE68" s="220">
        <f>SUMPRODUCT($E$61:$E$63,AE65:AE67)*0.9/SUM($E$61:AE63)</f>
        <v>0.87910714285714298</v>
      </c>
      <c r="AF68" s="220">
        <f>SUMPRODUCT($E$61:$E$63,AF65:AF67)*0.9/SUM($E$61:AF63)</f>
        <v>0.30765117857142865</v>
      </c>
      <c r="AG68" s="220">
        <f>SUMPRODUCT($E$61:$E$63,AG65:AG67)*0.9/SUM($E$61:AG63)</f>
        <v>4.6124999999999998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BR68" s="131"/>
      <c r="BS68" s="131"/>
      <c r="BT68" s="131"/>
      <c r="BU68" s="131"/>
      <c r="BV68" s="131"/>
      <c r="BW68" s="131"/>
      <c r="BX68" s="131">
        <v>6</v>
      </c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</row>
    <row r="69" spans="1:87">
      <c r="A69" s="132"/>
      <c r="D69" s="219"/>
      <c r="J69" s="180"/>
      <c r="K69" s="180"/>
      <c r="L69" s="180"/>
      <c r="M69" s="180"/>
      <c r="N69" s="180"/>
      <c r="O69" s="180"/>
      <c r="P69" s="180"/>
      <c r="BR69" s="180"/>
      <c r="BS69" s="180"/>
      <c r="BT69" s="180"/>
      <c r="BU69" s="180"/>
      <c r="BV69" s="180"/>
      <c r="BW69" s="180"/>
      <c r="BX69" s="180"/>
      <c r="BY69" s="180"/>
      <c r="BZ69" s="180"/>
      <c r="CA69" s="180"/>
      <c r="CB69" s="180"/>
      <c r="CC69" s="180"/>
      <c r="CD69" s="180"/>
      <c r="CE69" s="180"/>
      <c r="CF69" s="180"/>
      <c r="CG69" s="180"/>
      <c r="CH69" s="180"/>
      <c r="CI69" s="180"/>
    </row>
    <row r="70" spans="1:87">
      <c r="A70" s="132"/>
      <c r="D70" s="219"/>
      <c r="E70" s="132" t="s">
        <v>372</v>
      </c>
      <c r="F70" s="132" t="s">
        <v>336</v>
      </c>
      <c r="G70" s="132" t="s">
        <v>337</v>
      </c>
      <c r="H70" s="132" t="s">
        <v>338</v>
      </c>
      <c r="I70" s="180" t="s">
        <v>339</v>
      </c>
      <c r="J70" s="180" t="s">
        <v>78</v>
      </c>
      <c r="K70" s="180" t="s">
        <v>79</v>
      </c>
      <c r="L70" s="180" t="s">
        <v>83</v>
      </c>
      <c r="M70" s="180" t="s">
        <v>84</v>
      </c>
      <c r="N70" s="180" t="s">
        <v>341</v>
      </c>
      <c r="O70" s="180" t="s">
        <v>342</v>
      </c>
      <c r="P70" s="180" t="s">
        <v>343</v>
      </c>
      <c r="Q70" s="180" t="s">
        <v>300</v>
      </c>
      <c r="R70" s="180" t="s">
        <v>80</v>
      </c>
      <c r="S70" s="180" t="s">
        <v>252</v>
      </c>
      <c r="T70" s="180" t="s">
        <v>301</v>
      </c>
      <c r="U70" s="180" t="s">
        <v>302</v>
      </c>
      <c r="V70" s="180" t="s">
        <v>303</v>
      </c>
      <c r="W70" s="180" t="s">
        <v>304</v>
      </c>
      <c r="X70" s="180" t="s">
        <v>305</v>
      </c>
      <c r="Y70" s="180" t="s">
        <v>306</v>
      </c>
      <c r="Z70" s="180" t="s">
        <v>81</v>
      </c>
      <c r="AA70" s="180" t="s">
        <v>307</v>
      </c>
      <c r="AB70" s="180" t="s">
        <v>308</v>
      </c>
      <c r="AC70" s="180" t="s">
        <v>309</v>
      </c>
      <c r="AD70" s="180" t="s">
        <v>310</v>
      </c>
      <c r="AE70" s="180" t="s">
        <v>311</v>
      </c>
      <c r="AF70" s="180" t="s">
        <v>312</v>
      </c>
      <c r="AG70" s="180" t="s">
        <v>313</v>
      </c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</row>
    <row r="71" spans="1:87">
      <c r="A71" s="132"/>
      <c r="D71" s="221" t="s">
        <v>288</v>
      </c>
      <c r="I71" s="180"/>
      <c r="J71" s="180"/>
      <c r="K71" s="180"/>
      <c r="L71" s="180"/>
      <c r="M71" s="180"/>
      <c r="N71" s="180"/>
      <c r="O71" s="180"/>
      <c r="P71" s="180"/>
      <c r="BR71" s="180"/>
      <c r="BS71" s="180"/>
      <c r="BT71" s="180"/>
      <c r="BU71" s="180"/>
      <c r="BV71" s="180"/>
      <c r="BW71" s="180"/>
      <c r="BX71" s="180"/>
      <c r="BY71" s="180"/>
      <c r="BZ71" s="180"/>
      <c r="CA71" s="180"/>
      <c r="CB71" s="180"/>
      <c r="CC71" s="180"/>
      <c r="CD71" s="180"/>
      <c r="CE71" s="180"/>
      <c r="CF71" s="180"/>
      <c r="CG71" s="180"/>
      <c r="CH71" s="180"/>
      <c r="CI71" s="180"/>
    </row>
    <row r="72" spans="1:87">
      <c r="A72" s="132"/>
      <c r="D72" s="223" t="s">
        <v>379</v>
      </c>
      <c r="E72" s="132">
        <v>0.2</v>
      </c>
      <c r="F72" s="132">
        <v>3.6</v>
      </c>
      <c r="G72" s="132">
        <v>0.1</v>
      </c>
      <c r="H72" s="132">
        <v>0</v>
      </c>
      <c r="I72" s="180">
        <v>0</v>
      </c>
      <c r="J72" s="180">
        <v>0</v>
      </c>
      <c r="K72" s="180">
        <v>0</v>
      </c>
      <c r="L72" s="180">
        <v>0</v>
      </c>
      <c r="M72" s="180">
        <v>55</v>
      </c>
      <c r="N72" s="224">
        <v>0</v>
      </c>
      <c r="O72" s="224">
        <v>0</v>
      </c>
      <c r="P72" s="180">
        <v>2.2999999999999998</v>
      </c>
      <c r="Q72" s="180">
        <v>0.2</v>
      </c>
      <c r="R72" s="180">
        <v>0</v>
      </c>
      <c r="S72" s="180">
        <v>0</v>
      </c>
      <c r="T72" s="180">
        <v>0</v>
      </c>
      <c r="U72" s="180">
        <v>0</v>
      </c>
      <c r="V72" s="180">
        <v>0</v>
      </c>
      <c r="W72" s="180">
        <v>0.1</v>
      </c>
      <c r="X72" s="180">
        <v>0</v>
      </c>
      <c r="Y72" s="180">
        <v>0</v>
      </c>
      <c r="Z72" s="180">
        <v>1.3</v>
      </c>
      <c r="AA72" s="180">
        <v>0</v>
      </c>
      <c r="AB72" s="180">
        <v>0</v>
      </c>
      <c r="AC72" s="180">
        <v>3.6</v>
      </c>
      <c r="AD72" s="180">
        <v>54</v>
      </c>
      <c r="AE72" s="180">
        <v>0</v>
      </c>
      <c r="AF72" s="180">
        <v>0</v>
      </c>
      <c r="AG72" s="180">
        <v>6.6</v>
      </c>
      <c r="BR72" s="180"/>
      <c r="BS72" s="180"/>
      <c r="BT72" s="180"/>
      <c r="BU72" s="180"/>
      <c r="BV72" s="180"/>
      <c r="BW72" s="180"/>
      <c r="BX72" s="180"/>
      <c r="BY72" s="180"/>
      <c r="BZ72" s="180"/>
      <c r="CA72" s="180"/>
      <c r="CB72" s="180"/>
      <c r="CC72" s="180"/>
      <c r="CD72" s="180"/>
      <c r="CE72" s="180"/>
      <c r="CF72" s="180"/>
      <c r="CG72" s="180"/>
      <c r="CH72" s="180"/>
      <c r="CI72" s="180"/>
    </row>
    <row r="73" spans="1:87">
      <c r="A73" s="132"/>
      <c r="D73" s="223" t="s">
        <v>380</v>
      </c>
      <c r="E73" s="132">
        <v>0.6</v>
      </c>
      <c r="F73" s="132">
        <v>2.7</v>
      </c>
      <c r="G73" s="132">
        <v>4.5</v>
      </c>
      <c r="H73" s="132">
        <v>1.6</v>
      </c>
      <c r="I73" s="180">
        <v>210</v>
      </c>
      <c r="J73" s="180">
        <v>2</v>
      </c>
      <c r="K73" s="180">
        <v>0.7</v>
      </c>
      <c r="L73" s="180">
        <v>0</v>
      </c>
      <c r="M73" s="180">
        <v>8</v>
      </c>
      <c r="N73" s="224">
        <v>39</v>
      </c>
      <c r="O73" s="224">
        <v>601</v>
      </c>
      <c r="P73" s="180">
        <v>21.9</v>
      </c>
      <c r="Q73" s="180">
        <v>0.1</v>
      </c>
      <c r="R73" s="180">
        <v>245</v>
      </c>
      <c r="S73" s="180">
        <v>0</v>
      </c>
      <c r="T73" s="180">
        <v>18</v>
      </c>
      <c r="U73" s="180">
        <v>0.4</v>
      </c>
      <c r="V73" s="180">
        <v>0</v>
      </c>
      <c r="W73" s="180">
        <v>0.1</v>
      </c>
      <c r="X73" s="180">
        <v>0.1</v>
      </c>
      <c r="Y73" s="180">
        <v>0.1</v>
      </c>
      <c r="Z73" s="180">
        <v>25</v>
      </c>
      <c r="AA73" s="180">
        <v>0.3</v>
      </c>
      <c r="AB73" s="180">
        <v>0.5</v>
      </c>
      <c r="AC73" s="180">
        <v>0</v>
      </c>
      <c r="AD73" s="180">
        <v>18</v>
      </c>
      <c r="AE73" s="180">
        <v>0.4</v>
      </c>
      <c r="AF73" s="180">
        <v>0</v>
      </c>
      <c r="AG73" s="180">
        <v>9.5</v>
      </c>
      <c r="BR73" s="180"/>
      <c r="BS73" s="180"/>
      <c r="BT73" s="180"/>
      <c r="BU73" s="180"/>
      <c r="BV73" s="180"/>
      <c r="BW73" s="180"/>
      <c r="BX73" s="180"/>
      <c r="BY73" s="180"/>
      <c r="BZ73" s="180"/>
      <c r="CA73" s="180"/>
      <c r="CB73" s="180"/>
      <c r="CC73" s="180"/>
      <c r="CD73" s="180"/>
      <c r="CE73" s="180"/>
      <c r="CF73" s="180"/>
      <c r="CG73" s="180"/>
      <c r="CH73" s="180"/>
      <c r="CI73" s="180"/>
    </row>
    <row r="74" spans="1:87">
      <c r="A74" s="132"/>
      <c r="D74" s="223" t="s">
        <v>381</v>
      </c>
      <c r="E74" s="132">
        <v>1.2</v>
      </c>
      <c r="F74" s="132">
        <v>6</v>
      </c>
      <c r="G74" s="132">
        <v>4.3</v>
      </c>
      <c r="H74" s="132">
        <v>1.6</v>
      </c>
      <c r="I74" s="132">
        <v>212</v>
      </c>
      <c r="J74" s="132">
        <v>2</v>
      </c>
      <c r="K74" s="132">
        <v>0.7</v>
      </c>
      <c r="L74" s="132">
        <v>0</v>
      </c>
      <c r="M74" s="132">
        <v>62</v>
      </c>
      <c r="N74" s="132">
        <v>37</v>
      </c>
      <c r="O74" s="132">
        <v>572</v>
      </c>
      <c r="P74" s="132">
        <v>25</v>
      </c>
      <c r="Q74" s="132">
        <v>0</v>
      </c>
      <c r="R74" s="132">
        <v>85</v>
      </c>
      <c r="S74" s="132">
        <v>0</v>
      </c>
      <c r="T74" s="132">
        <v>17</v>
      </c>
      <c r="U74" s="132">
        <v>0.5</v>
      </c>
      <c r="V74" s="132">
        <v>0.02</v>
      </c>
      <c r="W74" s="132">
        <v>0.25</v>
      </c>
      <c r="X74" s="132">
        <v>0.02</v>
      </c>
      <c r="Y74" s="132">
        <v>0.1</v>
      </c>
      <c r="Z74" s="132">
        <v>18</v>
      </c>
      <c r="AA74" s="132">
        <v>0.6</v>
      </c>
      <c r="AB74" s="132">
        <v>0.6</v>
      </c>
      <c r="AC74" s="132">
        <v>5</v>
      </c>
      <c r="AD74" s="132">
        <v>63</v>
      </c>
      <c r="AE74" s="132">
        <v>0.5</v>
      </c>
      <c r="AF74" s="132">
        <v>26.5</v>
      </c>
      <c r="AG74" s="132">
        <v>16</v>
      </c>
      <c r="BR74" s="180"/>
      <c r="BS74" s="180"/>
      <c r="BT74" s="180"/>
      <c r="BU74" s="180"/>
      <c r="BV74" s="180"/>
      <c r="BW74" s="180"/>
      <c r="BX74" s="180"/>
      <c r="BY74" s="180"/>
      <c r="BZ74" s="180"/>
      <c r="CA74" s="180"/>
      <c r="CB74" s="180"/>
      <c r="CC74" s="180"/>
      <c r="CD74" s="180"/>
      <c r="CE74" s="180"/>
      <c r="CF74" s="180"/>
      <c r="CG74" s="180"/>
      <c r="CH74" s="180"/>
      <c r="CI74" s="180"/>
    </row>
    <row r="75" spans="1:87">
      <c r="A75" s="132"/>
      <c r="D75" s="223" t="s">
        <v>382</v>
      </c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</row>
    <row r="76" spans="1:87">
      <c r="A76" s="132"/>
      <c r="D76" s="219" t="s">
        <v>363</v>
      </c>
      <c r="E76" s="132">
        <v>1.2</v>
      </c>
      <c r="F76" s="132">
        <v>6</v>
      </c>
      <c r="G76" s="132">
        <v>4.3</v>
      </c>
      <c r="H76" s="132">
        <v>1.6</v>
      </c>
      <c r="I76" s="132">
        <v>212</v>
      </c>
      <c r="J76" s="132">
        <v>2</v>
      </c>
      <c r="K76" s="132">
        <v>0.7</v>
      </c>
      <c r="L76" s="132">
        <v>0</v>
      </c>
      <c r="M76" s="132">
        <v>62</v>
      </c>
      <c r="N76" s="132">
        <v>37</v>
      </c>
      <c r="O76" s="132">
        <v>572</v>
      </c>
      <c r="P76" s="132">
        <v>25</v>
      </c>
      <c r="Q76" s="132">
        <v>0</v>
      </c>
      <c r="R76" s="132">
        <v>85</v>
      </c>
      <c r="S76" s="132">
        <v>0</v>
      </c>
      <c r="T76" s="132">
        <v>17</v>
      </c>
      <c r="U76" s="132">
        <v>0.5</v>
      </c>
      <c r="V76" s="132">
        <v>0.02</v>
      </c>
      <c r="W76" s="132">
        <v>0.25</v>
      </c>
      <c r="X76" s="132">
        <v>0.02</v>
      </c>
      <c r="Y76" s="132">
        <v>0.1</v>
      </c>
      <c r="Z76" s="132">
        <v>18</v>
      </c>
      <c r="AA76" s="132">
        <v>0.6</v>
      </c>
      <c r="AB76" s="132">
        <v>0.6</v>
      </c>
      <c r="AC76" s="132">
        <v>5</v>
      </c>
      <c r="AD76" s="132">
        <v>63</v>
      </c>
      <c r="AE76" s="132">
        <v>0.5</v>
      </c>
      <c r="AF76" s="132">
        <v>26.5</v>
      </c>
      <c r="AG76" s="132">
        <v>16</v>
      </c>
      <c r="BR76" s="180"/>
      <c r="BS76" s="180"/>
      <c r="BT76" s="180"/>
      <c r="BU76" s="180"/>
      <c r="BV76" s="180"/>
      <c r="BW76" s="180"/>
      <c r="BX76" s="180"/>
      <c r="BY76" s="180"/>
      <c r="BZ76" s="180"/>
      <c r="CA76" s="180"/>
      <c r="CB76" s="180"/>
      <c r="CC76" s="180"/>
      <c r="CD76" s="180"/>
      <c r="CE76" s="180"/>
      <c r="CF76" s="180"/>
      <c r="CG76" s="180"/>
      <c r="CH76" s="180"/>
      <c r="CI76" s="180"/>
    </row>
    <row r="77" spans="1:87">
      <c r="A77" s="132"/>
      <c r="D77" s="219"/>
      <c r="I77" s="180"/>
      <c r="J77" s="180"/>
      <c r="K77" s="180"/>
      <c r="L77" s="180"/>
      <c r="M77" s="180"/>
      <c r="N77" s="224"/>
      <c r="O77" s="224"/>
      <c r="P77" s="180"/>
      <c r="BR77" s="180"/>
      <c r="BS77" s="180"/>
      <c r="BT77" s="180"/>
      <c r="BU77" s="180"/>
      <c r="BV77" s="180"/>
      <c r="BW77" s="180"/>
      <c r="BX77" s="180"/>
      <c r="BY77" s="180"/>
      <c r="BZ77" s="180"/>
      <c r="CA77" s="180"/>
      <c r="CB77" s="180"/>
      <c r="CC77" s="180"/>
      <c r="CD77" s="180"/>
      <c r="CE77" s="180"/>
      <c r="CF77" s="180"/>
      <c r="CG77" s="180"/>
      <c r="CH77" s="180"/>
      <c r="CI77" s="180"/>
    </row>
    <row r="78" spans="1:87">
      <c r="A78" s="132"/>
      <c r="D78" s="221" t="s">
        <v>383</v>
      </c>
      <c r="E78" s="132" t="s">
        <v>372</v>
      </c>
      <c r="F78" s="132" t="s">
        <v>336</v>
      </c>
      <c r="G78" s="132" t="s">
        <v>337</v>
      </c>
      <c r="H78" s="132" t="s">
        <v>338</v>
      </c>
      <c r="I78" s="180" t="s">
        <v>339</v>
      </c>
      <c r="J78" s="180" t="s">
        <v>78</v>
      </c>
      <c r="K78" s="180" t="s">
        <v>79</v>
      </c>
      <c r="L78" s="180" t="s">
        <v>83</v>
      </c>
      <c r="M78" s="180" t="s">
        <v>84</v>
      </c>
      <c r="N78" s="180" t="s">
        <v>341</v>
      </c>
      <c r="O78" s="180" t="s">
        <v>342</v>
      </c>
      <c r="P78" s="180" t="s">
        <v>343</v>
      </c>
      <c r="Q78" s="180" t="s">
        <v>300</v>
      </c>
      <c r="R78" s="180" t="s">
        <v>80</v>
      </c>
      <c r="S78" s="180" t="s">
        <v>252</v>
      </c>
      <c r="T78" s="180" t="s">
        <v>301</v>
      </c>
      <c r="U78" s="180" t="s">
        <v>302</v>
      </c>
      <c r="V78" s="180" t="s">
        <v>303</v>
      </c>
      <c r="W78" s="180" t="s">
        <v>304</v>
      </c>
      <c r="X78" s="180" t="s">
        <v>305</v>
      </c>
      <c r="Y78" s="180" t="s">
        <v>306</v>
      </c>
      <c r="Z78" s="180" t="s">
        <v>81</v>
      </c>
      <c r="AA78" s="180" t="s">
        <v>307</v>
      </c>
      <c r="AB78" s="180" t="s">
        <v>308</v>
      </c>
      <c r="AC78" s="180" t="s">
        <v>309</v>
      </c>
      <c r="AD78" s="180" t="s">
        <v>310</v>
      </c>
      <c r="AE78" s="180" t="s">
        <v>311</v>
      </c>
      <c r="AF78" s="180" t="s">
        <v>312</v>
      </c>
      <c r="AG78" s="180" t="s">
        <v>313</v>
      </c>
      <c r="BR78" s="180"/>
      <c r="BS78" s="180"/>
      <c r="BT78" s="180"/>
      <c r="BU78" s="180"/>
      <c r="BV78" s="180"/>
      <c r="BW78" s="180"/>
      <c r="BX78" s="180"/>
      <c r="BY78" s="180"/>
      <c r="BZ78" s="180"/>
      <c r="CA78" s="180"/>
      <c r="CB78" s="180"/>
      <c r="CC78" s="180"/>
      <c r="CD78" s="180"/>
      <c r="CE78" s="180"/>
      <c r="CF78" s="180"/>
      <c r="CG78" s="180"/>
      <c r="CH78" s="180"/>
      <c r="CI78" s="180"/>
    </row>
    <row r="79" spans="1:87">
      <c r="A79" s="132"/>
      <c r="D79" s="120" t="s">
        <v>384</v>
      </c>
      <c r="E79" s="132">
        <v>2</v>
      </c>
      <c r="F79" s="132">
        <v>9.1999999999999993</v>
      </c>
      <c r="G79" s="132">
        <v>4.8</v>
      </c>
      <c r="H79" s="132">
        <v>0.8</v>
      </c>
      <c r="J79" s="132">
        <v>1.2</v>
      </c>
      <c r="K79" s="202">
        <v>2</v>
      </c>
      <c r="L79" s="132">
        <v>1.2</v>
      </c>
      <c r="M79" s="132">
        <v>4</v>
      </c>
      <c r="N79" s="132">
        <v>202</v>
      </c>
      <c r="O79" s="132">
        <v>1796</v>
      </c>
      <c r="P79" s="132">
        <v>225</v>
      </c>
      <c r="Q79" s="132">
        <v>0.8</v>
      </c>
      <c r="R79" s="132">
        <v>0</v>
      </c>
      <c r="S79" s="132">
        <v>0.4</v>
      </c>
      <c r="T79" s="132">
        <v>0</v>
      </c>
      <c r="U79" s="132">
        <v>0</v>
      </c>
      <c r="V79" s="204">
        <v>0</v>
      </c>
      <c r="W79" s="204">
        <v>0</v>
      </c>
      <c r="X79" s="204">
        <v>0</v>
      </c>
      <c r="Y79" s="204">
        <v>0</v>
      </c>
      <c r="Z79" s="204">
        <v>21.2</v>
      </c>
      <c r="AA79" s="204">
        <v>0</v>
      </c>
      <c r="AB79" s="204">
        <v>2</v>
      </c>
      <c r="AC79" s="204">
        <v>41.6</v>
      </c>
      <c r="AD79" s="204">
        <v>165.6</v>
      </c>
      <c r="AE79" s="205">
        <v>0.8</v>
      </c>
      <c r="AF79" s="180">
        <v>0.4</v>
      </c>
      <c r="AG79" s="180">
        <v>11.2</v>
      </c>
      <c r="BR79" s="180"/>
      <c r="BS79" s="180"/>
      <c r="BT79" s="180"/>
      <c r="BU79" s="180"/>
      <c r="BV79" s="180"/>
      <c r="BW79" s="180"/>
      <c r="BX79" s="180"/>
      <c r="BY79" s="180"/>
      <c r="BZ79" s="180"/>
      <c r="CA79" s="180"/>
      <c r="CB79" s="180"/>
      <c r="CC79" s="180"/>
      <c r="CD79" s="180"/>
      <c r="CE79" s="180"/>
      <c r="CF79" s="180"/>
      <c r="CG79" s="180"/>
      <c r="CH79" s="180"/>
      <c r="CI79" s="180"/>
    </row>
    <row r="80" spans="1:87">
      <c r="A80" s="132"/>
      <c r="D80" s="120" t="s">
        <v>385</v>
      </c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BR80" s="180"/>
      <c r="BS80" s="180"/>
      <c r="BT80" s="180"/>
      <c r="BU80" s="180"/>
      <c r="BV80" s="180"/>
      <c r="BW80" s="180"/>
      <c r="BX80" s="180"/>
      <c r="BY80" s="180"/>
      <c r="BZ80" s="180"/>
      <c r="CA80" s="180"/>
      <c r="CB80" s="180"/>
      <c r="CC80" s="180"/>
      <c r="CD80" s="180"/>
      <c r="CE80" s="180"/>
      <c r="CF80" s="180"/>
      <c r="CG80" s="180"/>
      <c r="CH80" s="180"/>
      <c r="CI80" s="180"/>
    </row>
    <row r="81" spans="1:87">
      <c r="A81" s="132"/>
      <c r="D81" s="12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BR81" s="180"/>
      <c r="BS81" s="180"/>
      <c r="BT81" s="180"/>
      <c r="BU81" s="180"/>
      <c r="BV81" s="180"/>
      <c r="BW81" s="180"/>
      <c r="BX81" s="180"/>
      <c r="BY81" s="180"/>
      <c r="BZ81" s="180"/>
      <c r="CA81" s="180"/>
      <c r="CB81" s="180"/>
      <c r="CC81" s="180"/>
      <c r="CD81" s="180"/>
      <c r="CE81" s="180"/>
      <c r="CF81" s="180"/>
      <c r="CG81" s="180"/>
      <c r="CH81" s="180"/>
      <c r="CI81" s="180"/>
    </row>
    <row r="82" spans="1:87">
      <c r="D82" s="221" t="s">
        <v>386</v>
      </c>
      <c r="F82" s="126"/>
      <c r="J82" s="225"/>
      <c r="K82" s="180"/>
      <c r="L82" s="180"/>
      <c r="M82" s="180"/>
      <c r="N82" s="180"/>
      <c r="O82" s="180"/>
      <c r="P82" s="180"/>
      <c r="BR82" s="180"/>
      <c r="BS82" s="180"/>
      <c r="BT82" s="180"/>
      <c r="BU82" s="180"/>
      <c r="BV82" s="180"/>
      <c r="BW82" s="180"/>
      <c r="BX82" s="180" t="s">
        <v>387</v>
      </c>
      <c r="BY82" s="180"/>
      <c r="BZ82" s="180"/>
      <c r="CA82" s="180"/>
      <c r="CB82" s="180"/>
      <c r="CC82" s="180"/>
      <c r="CD82" s="180"/>
      <c r="CE82" s="180"/>
      <c r="CF82" s="180"/>
      <c r="CG82" s="180"/>
      <c r="CH82" s="180"/>
      <c r="CI82" s="180"/>
    </row>
    <row r="83" spans="1:87" s="180" customFormat="1">
      <c r="B83" s="194"/>
      <c r="C83" s="194"/>
      <c r="D83" s="125" t="s">
        <v>388</v>
      </c>
      <c r="E83" s="1">
        <f>E19</f>
        <v>3</v>
      </c>
      <c r="F83" s="226"/>
    </row>
    <row r="84" spans="1:87" s="180" customFormat="1">
      <c r="B84" s="194"/>
      <c r="C84" s="194"/>
      <c r="D84" s="121" t="s">
        <v>389</v>
      </c>
      <c r="E84" s="1">
        <f>E83*7</f>
        <v>21</v>
      </c>
      <c r="F84" s="226"/>
    </row>
    <row r="85" spans="1:87" s="180" customFormat="1" ht="60">
      <c r="B85" s="194"/>
      <c r="C85" s="194"/>
      <c r="D85" s="125" t="s">
        <v>390</v>
      </c>
      <c r="E85" s="330">
        <f>'I&amp;O'!E103</f>
        <v>14</v>
      </c>
      <c r="F85" s="12"/>
    </row>
    <row r="86" spans="1:87" s="180" customFormat="1">
      <c r="B86" s="194"/>
      <c r="C86" s="194"/>
      <c r="D86" s="227" t="s">
        <v>391</v>
      </c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28"/>
      <c r="AD86" s="228"/>
      <c r="AE86" s="202"/>
      <c r="AF86" s="228"/>
      <c r="AG86" s="228"/>
      <c r="AH86" s="202"/>
      <c r="AI86" s="229"/>
      <c r="AJ86" s="202"/>
      <c r="AK86" s="202"/>
    </row>
    <row r="87" spans="1:87" s="180" customFormat="1">
      <c r="B87" s="194"/>
      <c r="C87" s="194"/>
      <c r="D87" s="230"/>
      <c r="E87" s="231">
        <v>1000</v>
      </c>
      <c r="F87" s="232">
        <v>1200</v>
      </c>
      <c r="G87" s="233">
        <v>1400</v>
      </c>
      <c r="H87" s="233">
        <v>1600</v>
      </c>
      <c r="I87" s="233">
        <v>1800</v>
      </c>
      <c r="J87" s="233">
        <v>2000</v>
      </c>
      <c r="K87" s="233">
        <v>2200</v>
      </c>
      <c r="L87" s="233">
        <v>2400</v>
      </c>
      <c r="M87" s="233">
        <v>2600</v>
      </c>
      <c r="N87" s="233">
        <v>2800</v>
      </c>
      <c r="O87" s="233">
        <v>3000</v>
      </c>
      <c r="P87" s="233">
        <v>3200</v>
      </c>
      <c r="Q87" s="233"/>
      <c r="R87" s="234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</row>
    <row r="88" spans="1:87" s="180" customFormat="1">
      <c r="B88" s="194"/>
      <c r="C88" s="194"/>
      <c r="D88" s="230" t="s">
        <v>40</v>
      </c>
      <c r="E88" s="231">
        <v>3</v>
      </c>
      <c r="F88" s="232">
        <v>3</v>
      </c>
      <c r="G88" s="233">
        <v>3</v>
      </c>
      <c r="H88" s="233">
        <v>8</v>
      </c>
      <c r="I88" s="233">
        <v>8</v>
      </c>
      <c r="J88" s="233">
        <v>8</v>
      </c>
      <c r="K88" s="233">
        <v>8</v>
      </c>
      <c r="L88" s="233">
        <v>8</v>
      </c>
      <c r="M88" s="233">
        <v>8</v>
      </c>
      <c r="N88" s="233">
        <v>8</v>
      </c>
      <c r="O88" s="233">
        <v>8</v>
      </c>
      <c r="P88" s="233">
        <v>8</v>
      </c>
      <c r="Q88" s="233"/>
      <c r="R88" s="233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</row>
    <row r="89" spans="1:87" s="180" customFormat="1">
      <c r="B89" s="194"/>
      <c r="C89" s="194"/>
      <c r="D89" s="230" t="s">
        <v>59</v>
      </c>
      <c r="E89" s="231">
        <v>3</v>
      </c>
      <c r="F89" s="232">
        <v>5</v>
      </c>
      <c r="G89" s="233">
        <v>6</v>
      </c>
      <c r="H89" s="233">
        <v>8</v>
      </c>
      <c r="I89" s="233">
        <v>8</v>
      </c>
      <c r="J89" s="233">
        <v>8</v>
      </c>
      <c r="K89" s="233">
        <v>8</v>
      </c>
      <c r="L89" s="233">
        <v>9</v>
      </c>
      <c r="M89" s="233">
        <v>10</v>
      </c>
      <c r="N89" s="233">
        <v>11</v>
      </c>
      <c r="O89" s="233">
        <v>11</v>
      </c>
      <c r="P89" s="233">
        <v>11</v>
      </c>
      <c r="Q89" s="233"/>
      <c r="R89" s="233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</row>
    <row r="90" spans="1:87" s="180" customFormat="1">
      <c r="B90" s="194"/>
      <c r="C90" s="194"/>
      <c r="D90" s="230" t="s">
        <v>60</v>
      </c>
      <c r="E90" s="231">
        <v>5</v>
      </c>
      <c r="F90" s="232">
        <v>5</v>
      </c>
      <c r="G90" s="233">
        <v>6</v>
      </c>
      <c r="H90" s="233">
        <v>8</v>
      </c>
      <c r="I90" s="233">
        <v>8</v>
      </c>
      <c r="J90" s="233">
        <v>8</v>
      </c>
      <c r="K90" s="233">
        <v>9</v>
      </c>
      <c r="L90" s="233">
        <v>9</v>
      </c>
      <c r="M90" s="233">
        <v>10</v>
      </c>
      <c r="N90" s="233">
        <v>10</v>
      </c>
      <c r="O90" s="233">
        <v>10</v>
      </c>
      <c r="P90" s="233">
        <v>11</v>
      </c>
      <c r="Q90" s="233"/>
      <c r="R90" s="233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</row>
    <row r="91" spans="1:87" s="180" customFormat="1">
      <c r="B91" s="194"/>
      <c r="C91" s="194"/>
      <c r="D91" s="227" t="s">
        <v>392</v>
      </c>
      <c r="E91" s="231">
        <v>1000</v>
      </c>
      <c r="F91" s="232">
        <v>1200</v>
      </c>
      <c r="G91" s="233">
        <v>1400</v>
      </c>
      <c r="H91" s="233">
        <v>1600</v>
      </c>
      <c r="I91" s="233">
        <v>1800</v>
      </c>
      <c r="J91" s="233">
        <v>2000</v>
      </c>
      <c r="K91" s="233">
        <v>2200</v>
      </c>
      <c r="L91" s="233">
        <v>2400</v>
      </c>
      <c r="M91" s="233">
        <v>2600</v>
      </c>
      <c r="N91" s="233">
        <v>2800</v>
      </c>
      <c r="O91" s="233">
        <v>3000</v>
      </c>
      <c r="P91" s="233">
        <v>3200</v>
      </c>
      <c r="Q91" s="233"/>
      <c r="R91" s="233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</row>
    <row r="92" spans="1:87" s="180" customFormat="1">
      <c r="B92" s="194"/>
      <c r="C92" s="194"/>
      <c r="D92" s="236" t="s">
        <v>40</v>
      </c>
      <c r="E92" s="237">
        <v>1</v>
      </c>
      <c r="F92" s="237">
        <v>2</v>
      </c>
      <c r="G92" s="237">
        <v>3</v>
      </c>
      <c r="H92" s="237">
        <v>3</v>
      </c>
      <c r="I92" s="237">
        <v>4</v>
      </c>
      <c r="J92" s="237">
        <v>4</v>
      </c>
      <c r="K92" s="237">
        <v>4</v>
      </c>
      <c r="L92" s="237">
        <v>4</v>
      </c>
      <c r="M92" s="237">
        <v>4</v>
      </c>
      <c r="N92" s="237">
        <v>4</v>
      </c>
      <c r="O92" s="237">
        <v>4</v>
      </c>
      <c r="P92" s="237">
        <v>4</v>
      </c>
      <c r="Q92" s="233"/>
      <c r="R92" s="233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</row>
    <row r="93" spans="1:87" s="180" customFormat="1">
      <c r="B93" s="194"/>
      <c r="C93" s="194"/>
      <c r="D93" s="230" t="s">
        <v>59</v>
      </c>
      <c r="E93" s="231">
        <v>1</v>
      </c>
      <c r="F93" s="231">
        <v>2</v>
      </c>
      <c r="G93" s="231">
        <v>3</v>
      </c>
      <c r="H93" s="231">
        <v>3</v>
      </c>
      <c r="I93" s="231">
        <v>3</v>
      </c>
      <c r="J93" s="231">
        <v>3</v>
      </c>
      <c r="K93" s="231">
        <v>4</v>
      </c>
      <c r="L93" s="231">
        <v>4</v>
      </c>
      <c r="M93" s="231">
        <v>5</v>
      </c>
      <c r="N93" s="231">
        <v>5</v>
      </c>
      <c r="O93" s="231">
        <v>6</v>
      </c>
      <c r="P93" s="231">
        <v>6</v>
      </c>
      <c r="Q93" s="233"/>
      <c r="R93" s="233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</row>
    <row r="94" spans="1:87" s="180" customFormat="1">
      <c r="B94" s="194"/>
      <c r="C94" s="194"/>
      <c r="D94" s="230" t="s">
        <v>60</v>
      </c>
      <c r="E94" s="231">
        <v>1</v>
      </c>
      <c r="F94" s="231">
        <v>2</v>
      </c>
      <c r="G94" s="231">
        <v>3</v>
      </c>
      <c r="H94" s="231">
        <v>3</v>
      </c>
      <c r="I94" s="231">
        <v>3</v>
      </c>
      <c r="J94" s="231">
        <v>3</v>
      </c>
      <c r="K94" s="231">
        <v>3.5</v>
      </c>
      <c r="L94" s="231">
        <v>3.5</v>
      </c>
      <c r="M94" s="231">
        <v>4</v>
      </c>
      <c r="N94" s="231">
        <v>4</v>
      </c>
      <c r="O94" s="231">
        <v>4.5</v>
      </c>
      <c r="P94" s="231">
        <v>4.5</v>
      </c>
      <c r="Q94" s="233"/>
      <c r="R94" s="233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</row>
    <row r="95" spans="1:87" s="180" customFormat="1">
      <c r="B95" s="194"/>
      <c r="C95" s="194"/>
      <c r="D95" s="230" t="s">
        <v>478</v>
      </c>
      <c r="E95" s="242">
        <f>LOOKUP('I&amp;O'!$C$28,$E$87:$P$87,E88:P88)/2</f>
        <v>4</v>
      </c>
      <c r="F95" s="242">
        <f>LOOKUP('I&amp;O'!$C$28,$E$87:$P$87,E89:P89)/2</f>
        <v>4</v>
      </c>
      <c r="G95" s="242">
        <f>LOOKUP('I&amp;O'!$C$28,$E$87:$P$87,E90:P90)/2</f>
        <v>4</v>
      </c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</row>
    <row r="96" spans="1:87" s="180" customFormat="1">
      <c r="B96" s="194"/>
      <c r="C96" s="194"/>
      <c r="D96" s="116"/>
      <c r="E96" s="116" t="s">
        <v>40</v>
      </c>
      <c r="F96" s="3" t="s">
        <v>59</v>
      </c>
      <c r="G96" t="s">
        <v>60</v>
      </c>
    </row>
    <row r="97" spans="1:87" s="180" customFormat="1">
      <c r="B97" s="194"/>
      <c r="C97" s="194"/>
      <c r="D97" s="211" t="s">
        <v>393</v>
      </c>
      <c r="E97">
        <f>E84</f>
        <v>21</v>
      </c>
      <c r="F97" s="3">
        <f>E84</f>
        <v>21</v>
      </c>
      <c r="G97" s="238">
        <f>E84</f>
        <v>21</v>
      </c>
      <c r="H97" s="116"/>
      <c r="I97" s="116"/>
      <c r="J97" s="116"/>
    </row>
    <row r="98" spans="1:87" s="180" customFormat="1">
      <c r="B98" s="194"/>
      <c r="C98" s="194"/>
      <c r="D98" s="239" t="s">
        <v>394</v>
      </c>
      <c r="E98" s="336">
        <f>'I&amp;O'!E111</f>
        <v>5.5714285714285712</v>
      </c>
      <c r="F98" s="336">
        <f>'I&amp;O'!F111</f>
        <v>5.5714285714285712</v>
      </c>
      <c r="G98" s="336">
        <f>'I&amp;O'!G111</f>
        <v>5.5714285714285712</v>
      </c>
      <c r="H98" s="240"/>
      <c r="I98" s="241"/>
      <c r="J98" s="241"/>
    </row>
    <row r="99" spans="1:87" s="180" customFormat="1">
      <c r="B99" s="194"/>
      <c r="C99" s="194"/>
      <c r="D99" s="209" t="s">
        <v>239</v>
      </c>
      <c r="E99" s="274">
        <f>'I&amp;O'!E112</f>
        <v>4</v>
      </c>
      <c r="F99" s="274">
        <f>'I&amp;O'!F112</f>
        <v>4</v>
      </c>
      <c r="G99" s="274">
        <f>'I&amp;O'!G112</f>
        <v>4</v>
      </c>
      <c r="H99" s="243"/>
      <c r="I99" s="243"/>
      <c r="J99" s="243"/>
    </row>
    <row r="100" spans="1:87" s="180" customFormat="1">
      <c r="B100" s="194"/>
      <c r="C100" s="194"/>
      <c r="D100" s="209" t="s">
        <v>240</v>
      </c>
      <c r="E100" s="336">
        <f>'I&amp;O'!E113</f>
        <v>1.8571428571428572</v>
      </c>
      <c r="F100" s="336">
        <f>'I&amp;O'!F113</f>
        <v>1.8571428571428572</v>
      </c>
      <c r="G100" s="336">
        <f>'I&amp;O'!G113</f>
        <v>1.8571428571428572</v>
      </c>
      <c r="H100" s="241"/>
      <c r="I100" s="244"/>
      <c r="J100" s="244"/>
    </row>
    <row r="101" spans="1:87" s="180" customFormat="1">
      <c r="B101" s="194"/>
      <c r="C101" s="194"/>
      <c r="D101" s="209" t="s">
        <v>395</v>
      </c>
      <c r="E101" s="336">
        <f>'I&amp;O'!E114</f>
        <v>1.8571428571428572</v>
      </c>
      <c r="F101" s="336">
        <f>'I&amp;O'!F114</f>
        <v>1.8571428571428572</v>
      </c>
      <c r="G101" s="336">
        <f>'I&amp;O'!G114</f>
        <v>1.8571428571428572</v>
      </c>
      <c r="H101" s="241"/>
      <c r="I101" s="244"/>
      <c r="J101" s="244"/>
    </row>
    <row r="102" spans="1:87" s="180" customFormat="1">
      <c r="B102" s="194"/>
      <c r="C102" s="194"/>
      <c r="D102" s="120" t="s">
        <v>396</v>
      </c>
      <c r="E102" s="336">
        <f>'I&amp;O'!E115</f>
        <v>0.71428571428571441</v>
      </c>
      <c r="F102" s="336">
        <f>'I&amp;O'!F115</f>
        <v>0.71428571428571441</v>
      </c>
      <c r="G102" s="336">
        <f>'I&amp;O'!G115</f>
        <v>0.71428571428571441</v>
      </c>
      <c r="H102" s="241"/>
      <c r="I102" s="244"/>
      <c r="J102" s="244"/>
    </row>
    <row r="103" spans="1:87" s="180" customFormat="1">
      <c r="B103" s="194"/>
      <c r="C103" s="194"/>
      <c r="D103" s="120" t="s">
        <v>397</v>
      </c>
      <c r="E103" s="336">
        <f>'I&amp;O'!E116</f>
        <v>0</v>
      </c>
      <c r="F103" s="336">
        <f>'I&amp;O'!F116</f>
        <v>0</v>
      </c>
      <c r="G103" s="336">
        <f>'I&amp;O'!G116</f>
        <v>0</v>
      </c>
      <c r="H103" s="241"/>
      <c r="I103" s="244"/>
      <c r="J103" s="244"/>
    </row>
    <row r="104" spans="1:87" s="180" customFormat="1">
      <c r="B104" s="194"/>
      <c r="C104" s="194"/>
      <c r="D104" s="209" t="s">
        <v>398</v>
      </c>
      <c r="E104" s="293">
        <f>E97-SUM(E98:E103)</f>
        <v>7</v>
      </c>
      <c r="F104" s="293">
        <f t="shared" ref="F104:G104" si="17">F97-SUM(F98:F103)</f>
        <v>7</v>
      </c>
      <c r="G104" s="293">
        <f t="shared" si="17"/>
        <v>7</v>
      </c>
    </row>
    <row r="105" spans="1:87" s="180" customFormat="1">
      <c r="B105" s="194"/>
      <c r="C105" s="194"/>
      <c r="D105" s="209" t="s">
        <v>479</v>
      </c>
      <c r="E105" s="337">
        <f>LOOKUP('I&amp;O'!$C$28,'Basic diet cal'!$E$91:$P$91,'Basic diet cal'!E92:P92)</f>
        <v>4</v>
      </c>
      <c r="F105" s="337">
        <f>LOOKUP('I&amp;O'!$C$28,'Basic diet cal'!$E$91:$P$91,'Basic diet cal'!E93:P93)</f>
        <v>3</v>
      </c>
      <c r="G105" s="337">
        <f>LOOKUP('I&amp;O'!$C$28,'Basic diet cal'!$E$91:$P$91,'Basic diet cal'!E94:P94)</f>
        <v>3</v>
      </c>
    </row>
    <row r="106" spans="1:87">
      <c r="D106" s="239" t="s">
        <v>394</v>
      </c>
      <c r="E106" s="241">
        <f t="shared" ref="E106:G112" si="18">E98/E$97</f>
        <v>0.26530612244897955</v>
      </c>
      <c r="F106" s="241">
        <f t="shared" si="18"/>
        <v>0.26530612244897955</v>
      </c>
      <c r="G106" s="241">
        <f t="shared" si="18"/>
        <v>0.26530612244897955</v>
      </c>
      <c r="H106" s="126"/>
      <c r="I106" s="241"/>
      <c r="K106" s="180"/>
      <c r="L106" s="180"/>
      <c r="M106" s="180"/>
      <c r="N106" s="180"/>
      <c r="O106" s="180"/>
      <c r="P106" s="180"/>
      <c r="BR106" s="180"/>
      <c r="BS106" s="180"/>
      <c r="BT106" s="180"/>
      <c r="BU106" s="180"/>
      <c r="BV106" s="180"/>
      <c r="BW106" s="180"/>
      <c r="BX106" s="180"/>
      <c r="BY106" s="180" t="s">
        <v>399</v>
      </c>
      <c r="BZ106" s="180"/>
      <c r="CA106" s="180"/>
      <c r="CB106" s="180"/>
      <c r="CC106" s="180"/>
      <c r="CD106" s="180"/>
      <c r="CE106" s="180"/>
      <c r="CF106" s="180"/>
      <c r="CG106" s="180"/>
      <c r="CH106" s="180"/>
      <c r="CI106" s="180"/>
    </row>
    <row r="107" spans="1:87">
      <c r="D107" s="209" t="s">
        <v>239</v>
      </c>
      <c r="E107" s="241">
        <f t="shared" ref="E107:G107" si="19">E99/E$97</f>
        <v>0.19047619047619047</v>
      </c>
      <c r="F107" s="241">
        <f t="shared" si="19"/>
        <v>0.19047619047619047</v>
      </c>
      <c r="G107" s="241">
        <f t="shared" si="19"/>
        <v>0.19047619047619047</v>
      </c>
      <c r="H107" s="245"/>
      <c r="I107" s="241"/>
      <c r="K107" s="180"/>
      <c r="L107" s="180"/>
      <c r="M107" s="180"/>
      <c r="N107" s="180"/>
      <c r="O107" s="180"/>
      <c r="P107" s="180"/>
      <c r="BR107" s="180"/>
      <c r="BS107" s="180"/>
      <c r="BT107" s="180"/>
      <c r="BU107" s="180"/>
      <c r="BV107" s="180"/>
      <c r="BW107" s="180"/>
      <c r="BX107" s="180"/>
      <c r="BY107" s="180" t="s">
        <v>400</v>
      </c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</row>
    <row r="108" spans="1:87">
      <c r="D108" s="209" t="s">
        <v>240</v>
      </c>
      <c r="E108" s="241">
        <f t="shared" ref="E108:G108" si="20">E100/E$97</f>
        <v>8.8435374149659865E-2</v>
      </c>
      <c r="F108" s="241">
        <f t="shared" si="20"/>
        <v>8.8435374149659865E-2</v>
      </c>
      <c r="G108" s="241">
        <f t="shared" si="20"/>
        <v>8.8435374149659865E-2</v>
      </c>
      <c r="H108" s="245"/>
      <c r="I108" s="246"/>
      <c r="K108" s="180"/>
      <c r="L108" s="180"/>
      <c r="M108" s="180"/>
      <c r="N108" s="180"/>
      <c r="O108" s="180"/>
      <c r="P108" s="180"/>
      <c r="BR108" s="180"/>
      <c r="BS108" s="180"/>
      <c r="BT108" s="180"/>
      <c r="BU108" s="180"/>
      <c r="BV108" s="180"/>
      <c r="BW108" s="180"/>
      <c r="BX108" s="180"/>
      <c r="BY108" s="180" t="s">
        <v>401</v>
      </c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</row>
    <row r="109" spans="1:87">
      <c r="D109" s="209" t="s">
        <v>395</v>
      </c>
      <c r="E109" s="241">
        <f t="shared" ref="E109:G109" si="21">E101/E$97</f>
        <v>8.8435374149659865E-2</v>
      </c>
      <c r="F109" s="241">
        <f t="shared" si="21"/>
        <v>8.8435374149659865E-2</v>
      </c>
      <c r="G109" s="241">
        <f t="shared" si="21"/>
        <v>8.8435374149659865E-2</v>
      </c>
      <c r="H109" s="245"/>
      <c r="I109" s="247"/>
      <c r="K109" s="180"/>
      <c r="L109" s="180"/>
      <c r="M109" s="180"/>
      <c r="N109" s="180"/>
      <c r="O109" s="180"/>
      <c r="P109" s="180"/>
      <c r="BR109" s="180"/>
      <c r="BS109" s="180"/>
      <c r="BT109" s="180"/>
      <c r="BU109" s="180"/>
      <c r="BV109" s="180"/>
      <c r="BW109" s="180"/>
      <c r="BX109" s="180"/>
      <c r="BY109" s="180" t="s">
        <v>402</v>
      </c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</row>
    <row r="110" spans="1:87">
      <c r="D110" s="120" t="s">
        <v>396</v>
      </c>
      <c r="E110" s="241">
        <f t="shared" ref="E110:G110" si="22">E102/E$97</f>
        <v>3.4013605442176874E-2</v>
      </c>
      <c r="F110" s="241">
        <f t="shared" si="22"/>
        <v>3.4013605442176874E-2</v>
      </c>
      <c r="G110" s="241">
        <f t="shared" si="22"/>
        <v>3.4013605442176874E-2</v>
      </c>
      <c r="J110" s="180"/>
      <c r="K110" s="180"/>
      <c r="L110" s="180"/>
      <c r="M110" s="180"/>
      <c r="N110" s="180"/>
      <c r="O110" s="180"/>
      <c r="P110" s="180"/>
      <c r="BR110" s="180"/>
      <c r="BS110" s="180"/>
      <c r="BT110" s="180"/>
      <c r="BU110" s="180"/>
      <c r="BV110" s="180"/>
      <c r="BW110" s="180"/>
      <c r="BX110" s="180"/>
      <c r="BY110" s="180" t="s">
        <v>403</v>
      </c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</row>
    <row r="111" spans="1:87">
      <c r="A111" s="132"/>
      <c r="D111" s="120" t="s">
        <v>397</v>
      </c>
      <c r="E111" s="241">
        <f t="shared" ref="E111:G111" si="23">E103/E$97</f>
        <v>0</v>
      </c>
      <c r="F111" s="241">
        <f t="shared" si="23"/>
        <v>0</v>
      </c>
      <c r="G111" s="241">
        <f t="shared" si="23"/>
        <v>0</v>
      </c>
      <c r="J111" s="180"/>
      <c r="K111" s="180"/>
      <c r="L111" s="180"/>
      <c r="M111" s="180"/>
      <c r="N111" s="180"/>
      <c r="O111" s="180"/>
      <c r="P111" s="180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  <c r="CF111" s="180"/>
      <c r="CG111" s="180"/>
      <c r="CH111" s="180"/>
      <c r="CI111" s="180"/>
    </row>
    <row r="112" spans="1:87">
      <c r="A112" s="132"/>
      <c r="D112" s="120" t="s">
        <v>398</v>
      </c>
      <c r="E112" s="241">
        <f t="shared" si="18"/>
        <v>0.33333333333333331</v>
      </c>
      <c r="F112" s="241">
        <f t="shared" ref="F112:G112" si="24">F104/F$97</f>
        <v>0.33333333333333331</v>
      </c>
      <c r="G112" s="241">
        <f t="shared" si="24"/>
        <v>0.33333333333333331</v>
      </c>
      <c r="J112" s="180"/>
      <c r="K112" s="180"/>
      <c r="L112" s="180"/>
      <c r="M112" s="180"/>
      <c r="N112" s="180"/>
      <c r="O112" s="180"/>
      <c r="P112" s="180"/>
      <c r="BR112" s="180"/>
      <c r="BS112" s="180"/>
      <c r="BT112" s="180"/>
      <c r="BU112" s="180"/>
      <c r="BV112" s="180"/>
      <c r="BW112" s="180"/>
      <c r="BX112" s="180"/>
      <c r="BY112" s="180"/>
      <c r="BZ112" s="180"/>
      <c r="CA112" s="180"/>
      <c r="CB112" s="180"/>
      <c r="CC112" s="180"/>
      <c r="CD112" s="180"/>
      <c r="CE112" s="180"/>
      <c r="CF112" s="180"/>
      <c r="CG112" s="180"/>
      <c r="CH112" s="180"/>
      <c r="CI112" s="180"/>
    </row>
    <row r="113" spans="1:89">
      <c r="D113" s="248"/>
      <c r="E113" s="201" t="s">
        <v>335</v>
      </c>
      <c r="F113" s="119" t="s">
        <v>336</v>
      </c>
      <c r="G113" s="119" t="s">
        <v>337</v>
      </c>
      <c r="H113" s="119" t="s">
        <v>338</v>
      </c>
      <c r="I113" s="119" t="s">
        <v>339</v>
      </c>
      <c r="J113" s="119" t="s">
        <v>78</v>
      </c>
      <c r="K113" s="119" t="s">
        <v>79</v>
      </c>
      <c r="L113" s="201" t="s">
        <v>340</v>
      </c>
      <c r="M113" s="201" t="s">
        <v>84</v>
      </c>
      <c r="N113" s="119" t="s">
        <v>76</v>
      </c>
      <c r="O113" s="119" t="s">
        <v>404</v>
      </c>
      <c r="P113" s="119" t="s">
        <v>82</v>
      </c>
      <c r="Q113" s="201" t="s">
        <v>300</v>
      </c>
      <c r="R113" s="201" t="s">
        <v>80</v>
      </c>
      <c r="S113" s="201" t="s">
        <v>252</v>
      </c>
      <c r="T113" s="201" t="s">
        <v>301</v>
      </c>
      <c r="U113" s="204" t="s">
        <v>302</v>
      </c>
      <c r="V113" s="204" t="s">
        <v>303</v>
      </c>
      <c r="W113" s="204" t="s">
        <v>304</v>
      </c>
      <c r="X113" s="204" t="s">
        <v>305</v>
      </c>
      <c r="Y113" s="204" t="s">
        <v>306</v>
      </c>
      <c r="Z113" s="204" t="s">
        <v>81</v>
      </c>
      <c r="AA113" s="204" t="s">
        <v>307</v>
      </c>
      <c r="AB113" s="204" t="s">
        <v>308</v>
      </c>
      <c r="AC113" s="204" t="s">
        <v>309</v>
      </c>
      <c r="AD113" s="204" t="s">
        <v>310</v>
      </c>
      <c r="AE113" s="205" t="s">
        <v>311</v>
      </c>
      <c r="AF113" s="119" t="s">
        <v>312</v>
      </c>
      <c r="AG113" s="119" t="s">
        <v>313</v>
      </c>
      <c r="BR113" s="180"/>
      <c r="BS113" s="180"/>
      <c r="BT113" s="180"/>
      <c r="BU113" s="180"/>
      <c r="BV113" s="180"/>
      <c r="BW113" s="180"/>
      <c r="BX113" s="180"/>
      <c r="BY113" s="180" t="s">
        <v>405</v>
      </c>
      <c r="BZ113" s="180"/>
      <c r="CA113" s="180"/>
      <c r="CB113" s="180"/>
      <c r="CC113" s="180"/>
      <c r="CD113" s="180"/>
      <c r="CE113" s="180"/>
      <c r="CF113" s="180"/>
      <c r="CG113" s="180"/>
      <c r="CH113" s="180"/>
      <c r="CI113" s="180"/>
    </row>
    <row r="114" spans="1:89">
      <c r="D114" s="209" t="s">
        <v>394</v>
      </c>
      <c r="E114" s="249">
        <v>0</v>
      </c>
      <c r="F114" s="249">
        <v>15.288000000000002</v>
      </c>
      <c r="G114" s="249">
        <v>3.7520000000000007</v>
      </c>
      <c r="H114" s="249">
        <v>1.0080000000000002</v>
      </c>
      <c r="I114" s="249">
        <v>46.480000000000004</v>
      </c>
      <c r="J114" s="249">
        <v>1.3440000000000001</v>
      </c>
      <c r="K114" s="249">
        <v>0.84000000000000008</v>
      </c>
      <c r="L114" s="249">
        <v>0</v>
      </c>
      <c r="M114" s="249">
        <v>39.200000000000003</v>
      </c>
      <c r="N114" s="249">
        <v>72.800000000000011</v>
      </c>
      <c r="O114" s="249">
        <v>694.40000000000009</v>
      </c>
      <c r="P114" s="249">
        <v>7.8400000000000007</v>
      </c>
      <c r="Q114" s="249">
        <v>0</v>
      </c>
      <c r="R114" s="249">
        <v>93.352000000000004</v>
      </c>
      <c r="S114" s="249">
        <v>0</v>
      </c>
      <c r="T114" s="249">
        <v>0</v>
      </c>
      <c r="U114" s="249">
        <v>0.16800000000000001</v>
      </c>
      <c r="V114" s="249">
        <v>0</v>
      </c>
      <c r="W114" s="249">
        <v>0</v>
      </c>
      <c r="X114" s="249">
        <v>3.4159999999999999</v>
      </c>
      <c r="Y114" s="249">
        <v>0.16800000000000001</v>
      </c>
      <c r="Z114" s="249">
        <v>3.3600000000000003</v>
      </c>
      <c r="AA114" s="249">
        <v>0.11200000000000002</v>
      </c>
      <c r="AB114" s="249">
        <v>0.67200000000000004</v>
      </c>
      <c r="AC114" s="249">
        <v>11.760000000000002</v>
      </c>
      <c r="AD114" s="249">
        <v>100.80000000000001</v>
      </c>
      <c r="AE114" s="249">
        <v>1.1200000000000001</v>
      </c>
      <c r="AF114" s="249">
        <v>5.6000000000000008E-2</v>
      </c>
      <c r="AG114" s="249">
        <v>11.760000000000002</v>
      </c>
      <c r="BR114" s="180"/>
      <c r="BS114" s="180"/>
      <c r="BT114" s="180"/>
      <c r="BU114" s="180"/>
      <c r="BV114" s="180"/>
      <c r="BW114" s="180"/>
      <c r="BX114" s="180"/>
      <c r="BY114" s="180" t="s">
        <v>406</v>
      </c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</row>
    <row r="115" spans="1:89">
      <c r="D115" s="209" t="s">
        <v>407</v>
      </c>
      <c r="E115" s="249">
        <v>0</v>
      </c>
      <c r="F115" s="249">
        <v>12.8469</v>
      </c>
      <c r="G115" s="249">
        <v>4.0392000000000001</v>
      </c>
      <c r="H115" s="249">
        <v>0.78539999999999999</v>
      </c>
      <c r="I115" s="249">
        <v>35.342999999999996</v>
      </c>
      <c r="J115" s="249">
        <v>1.6830000000000001</v>
      </c>
      <c r="K115" s="249">
        <v>1.0098</v>
      </c>
      <c r="L115" s="249">
        <v>0</v>
      </c>
      <c r="M115" s="249">
        <v>35.342999999999996</v>
      </c>
      <c r="N115" s="249">
        <v>506.02199999999999</v>
      </c>
      <c r="O115" s="249">
        <v>371.94299999999998</v>
      </c>
      <c r="P115" s="249">
        <v>29.171999999999997</v>
      </c>
      <c r="Q115" s="249">
        <v>0</v>
      </c>
      <c r="R115" s="249">
        <v>59.862000000000002</v>
      </c>
      <c r="S115" s="249">
        <v>0.89760000000000006</v>
      </c>
      <c r="T115" s="249">
        <v>0</v>
      </c>
      <c r="U115" s="249">
        <v>0</v>
      </c>
      <c r="V115" s="249">
        <v>5.6100000000000004E-2</v>
      </c>
      <c r="W115" s="249">
        <v>5.6100000000000004E-2</v>
      </c>
      <c r="X115" s="249">
        <v>1.1780999999999999</v>
      </c>
      <c r="Y115" s="249">
        <v>0.11220000000000001</v>
      </c>
      <c r="Z115" s="249">
        <v>9.5370000000000008</v>
      </c>
      <c r="AA115" s="249">
        <v>0.84150000000000003</v>
      </c>
      <c r="AB115" s="249">
        <v>0.89760000000000006</v>
      </c>
      <c r="AC115" s="249">
        <v>21.317999999999998</v>
      </c>
      <c r="AD115" s="249">
        <v>239.547</v>
      </c>
      <c r="AE115" s="249">
        <v>1.0659000000000001</v>
      </c>
      <c r="AF115" s="249">
        <v>5.6100000000000004E-2</v>
      </c>
      <c r="AG115" s="249">
        <v>8.9760000000000009</v>
      </c>
      <c r="BR115" s="180"/>
      <c r="BS115" s="180"/>
      <c r="BT115" s="180"/>
      <c r="BU115" s="180"/>
      <c r="BV115" s="180"/>
      <c r="BW115" s="180"/>
      <c r="BX115" s="180"/>
      <c r="BY115" s="180" t="s">
        <v>408</v>
      </c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</row>
    <row r="116" spans="1:89">
      <c r="D116" s="209" t="s">
        <v>409</v>
      </c>
      <c r="E116" s="249">
        <v>0</v>
      </c>
      <c r="F116" s="249">
        <v>14.520000000000001</v>
      </c>
      <c r="G116" s="249">
        <v>9.5040000000000013</v>
      </c>
      <c r="H116" s="249">
        <v>4.3559999999999999</v>
      </c>
      <c r="I116" s="249">
        <v>48.84</v>
      </c>
      <c r="J116" s="249">
        <v>4.7520000000000007</v>
      </c>
      <c r="K116" s="249">
        <v>0.39600000000000002</v>
      </c>
      <c r="L116" s="249">
        <v>0</v>
      </c>
      <c r="M116" s="249">
        <v>35.64</v>
      </c>
      <c r="N116" s="249">
        <v>106.92</v>
      </c>
      <c r="O116" s="249">
        <v>274.56</v>
      </c>
      <c r="P116" s="249">
        <v>5.28</v>
      </c>
      <c r="Q116" s="249">
        <v>0</v>
      </c>
      <c r="R116" s="249">
        <v>0</v>
      </c>
      <c r="S116" s="249">
        <v>0</v>
      </c>
      <c r="T116" s="249">
        <v>0</v>
      </c>
      <c r="U116" s="249">
        <v>0.13200000000000001</v>
      </c>
      <c r="V116" s="249">
        <v>4.6200000000000005E-2</v>
      </c>
      <c r="W116" s="249">
        <v>0.1188</v>
      </c>
      <c r="X116" s="249">
        <v>2.0856000000000003</v>
      </c>
      <c r="Y116" s="249">
        <v>0.19800000000000001</v>
      </c>
      <c r="Z116" s="249">
        <v>3.96</v>
      </c>
      <c r="AA116" s="249">
        <v>1.3860000000000001</v>
      </c>
      <c r="AB116" s="249">
        <v>1.4982</v>
      </c>
      <c r="AC116" s="249">
        <v>12.936000000000002</v>
      </c>
      <c r="AD116" s="249">
        <v>178.86</v>
      </c>
      <c r="AE116" s="249">
        <v>3.3660000000000001</v>
      </c>
      <c r="AF116" s="249">
        <v>6.6000000000000003E-2</v>
      </c>
      <c r="AG116" s="249">
        <v>11.22</v>
      </c>
      <c r="BR116" s="180"/>
      <c r="BS116" s="180"/>
      <c r="BT116" s="180"/>
      <c r="BU116" s="180"/>
      <c r="BV116" s="180"/>
      <c r="BW116" s="180"/>
      <c r="BX116" s="180"/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</row>
    <row r="117" spans="1:89">
      <c r="D117" s="209" t="s">
        <v>395</v>
      </c>
      <c r="E117" s="249">
        <v>0</v>
      </c>
      <c r="F117" s="249">
        <v>17.82</v>
      </c>
      <c r="G117" s="249">
        <v>1.98</v>
      </c>
      <c r="H117" s="249">
        <v>0.59400000000000008</v>
      </c>
      <c r="I117" s="249">
        <v>49.5</v>
      </c>
      <c r="J117" s="249">
        <v>0.92399999999999993</v>
      </c>
      <c r="K117" s="249">
        <v>0.13200000000000001</v>
      </c>
      <c r="L117" s="249">
        <v>0</v>
      </c>
      <c r="M117" s="249">
        <v>56.1</v>
      </c>
      <c r="N117" s="249">
        <v>13.200000000000001</v>
      </c>
      <c r="O117" s="249">
        <v>85.8</v>
      </c>
      <c r="P117" s="249">
        <v>11.22</v>
      </c>
      <c r="Q117" s="249">
        <v>0</v>
      </c>
      <c r="R117" s="249">
        <v>0</v>
      </c>
      <c r="S117" s="249">
        <v>0</v>
      </c>
      <c r="T117" s="249">
        <v>0</v>
      </c>
      <c r="U117" s="249">
        <v>0.19800000000000001</v>
      </c>
      <c r="V117" s="249">
        <v>6.6000000000000003E-2</v>
      </c>
      <c r="W117" s="249">
        <v>0.39600000000000002</v>
      </c>
      <c r="X117" s="249">
        <v>2.5739999999999998</v>
      </c>
      <c r="Y117" s="249">
        <v>0</v>
      </c>
      <c r="Z117" s="249">
        <v>3.3000000000000003</v>
      </c>
      <c r="AA117" s="249">
        <v>0.79200000000000004</v>
      </c>
      <c r="AB117" s="249">
        <v>2.4420000000000002</v>
      </c>
      <c r="AC117" s="249">
        <v>0</v>
      </c>
      <c r="AD117" s="249">
        <v>132.66</v>
      </c>
      <c r="AE117" s="249">
        <v>3.4980000000000002</v>
      </c>
      <c r="AF117" s="249">
        <v>0.19800000000000001</v>
      </c>
      <c r="AG117" s="249">
        <v>7.92</v>
      </c>
      <c r="BR117" s="180"/>
      <c r="BS117" s="180"/>
      <c r="BT117" s="180"/>
      <c r="BU117" s="180"/>
      <c r="BV117" s="180"/>
      <c r="BW117" s="180"/>
      <c r="BX117" s="180"/>
      <c r="BY117" s="180"/>
      <c r="BZ117" s="180"/>
      <c r="CA117" s="180"/>
      <c r="CB117" s="180"/>
      <c r="CC117" s="180"/>
      <c r="CD117" s="180"/>
      <c r="CE117" s="180"/>
      <c r="CF117" s="180"/>
      <c r="CG117" s="180"/>
      <c r="CH117" s="180"/>
      <c r="CI117" s="180"/>
    </row>
    <row r="118" spans="1:89">
      <c r="D118" s="209" t="s">
        <v>410</v>
      </c>
      <c r="E118" s="249">
        <v>0</v>
      </c>
      <c r="F118" s="249">
        <v>14.952000000000002</v>
      </c>
      <c r="G118" s="249">
        <v>5.3760000000000003</v>
      </c>
      <c r="H118" s="249">
        <v>2.2400000000000002</v>
      </c>
      <c r="I118" s="249">
        <v>0</v>
      </c>
      <c r="J118" s="249">
        <v>2.1840000000000002</v>
      </c>
      <c r="K118" s="249">
        <v>0.22400000000000003</v>
      </c>
      <c r="L118" s="249">
        <v>0</v>
      </c>
      <c r="M118" s="249">
        <v>44.800000000000004</v>
      </c>
      <c r="N118" s="249">
        <v>64.960000000000008</v>
      </c>
      <c r="O118" s="249">
        <v>0</v>
      </c>
      <c r="P118" s="249">
        <v>8.9600000000000009</v>
      </c>
      <c r="Q118" s="249">
        <v>0</v>
      </c>
      <c r="R118" s="249">
        <v>0</v>
      </c>
      <c r="S118" s="249">
        <v>0</v>
      </c>
      <c r="T118" s="249">
        <v>0</v>
      </c>
      <c r="U118" s="249">
        <v>0</v>
      </c>
      <c r="V118" s="249">
        <v>5.6000000000000008E-2</v>
      </c>
      <c r="W118" s="249">
        <v>0.22400000000000003</v>
      </c>
      <c r="X118" s="249">
        <v>3.2480000000000002</v>
      </c>
      <c r="Y118" s="249">
        <v>0.22400000000000003</v>
      </c>
      <c r="Z118" s="249">
        <v>0</v>
      </c>
      <c r="AA118" s="249">
        <v>1.6800000000000002</v>
      </c>
      <c r="AB118" s="249">
        <v>1.1760000000000002</v>
      </c>
      <c r="AC118" s="249">
        <v>13.440000000000001</v>
      </c>
      <c r="AD118" s="249">
        <v>178.08</v>
      </c>
      <c r="AE118" s="249">
        <v>2.8000000000000003</v>
      </c>
      <c r="AF118" s="249">
        <v>0.11200000000000002</v>
      </c>
      <c r="AG118" s="249">
        <v>6.16</v>
      </c>
      <c r="BR118" s="180"/>
      <c r="BS118" s="180"/>
      <c r="BT118" s="180"/>
      <c r="BU118" s="180"/>
      <c r="BV118" s="180"/>
      <c r="BW118" s="180"/>
      <c r="BX118" s="180"/>
      <c r="BY118" s="180"/>
      <c r="BZ118" s="180"/>
      <c r="CA118" s="180"/>
      <c r="CB118" s="180"/>
      <c r="CC118" s="180"/>
      <c r="CD118" s="180"/>
      <c r="CE118" s="180"/>
      <c r="CF118" s="180"/>
      <c r="CG118" s="180"/>
      <c r="CH118" s="180"/>
      <c r="CI118" s="180"/>
    </row>
    <row r="119" spans="1:89">
      <c r="D119" s="209" t="s">
        <v>411</v>
      </c>
      <c r="E119" s="249">
        <v>0</v>
      </c>
      <c r="F119" s="249">
        <v>15.84</v>
      </c>
      <c r="G119" s="249">
        <v>7.3260000000000005</v>
      </c>
      <c r="H119" s="249">
        <v>2.97</v>
      </c>
      <c r="I119" s="249">
        <v>9.24</v>
      </c>
      <c r="J119" s="249">
        <v>3.6959999999999997</v>
      </c>
      <c r="K119" s="249">
        <v>0.66</v>
      </c>
      <c r="L119" s="249">
        <v>0</v>
      </c>
      <c r="M119" s="249">
        <v>31.68</v>
      </c>
      <c r="N119" s="249">
        <v>0</v>
      </c>
      <c r="O119" s="249">
        <v>0</v>
      </c>
      <c r="P119" s="249">
        <v>13.200000000000001</v>
      </c>
      <c r="Q119" s="249">
        <v>0</v>
      </c>
      <c r="R119" s="249">
        <v>1.32</v>
      </c>
      <c r="S119" s="249">
        <v>0.19800000000000001</v>
      </c>
      <c r="T119" s="249">
        <v>0</v>
      </c>
      <c r="U119" s="249">
        <v>0</v>
      </c>
      <c r="V119" s="249">
        <v>0.47520000000000001</v>
      </c>
      <c r="W119" s="249">
        <v>0.18480000000000002</v>
      </c>
      <c r="X119" s="249">
        <v>2.7786</v>
      </c>
      <c r="Y119" s="249">
        <v>0</v>
      </c>
      <c r="Z119" s="249">
        <v>3.3660000000000001</v>
      </c>
      <c r="AA119" s="249">
        <v>0</v>
      </c>
      <c r="AB119" s="249">
        <v>0.54779999999999995</v>
      </c>
      <c r="AC119" s="249">
        <v>13.464</v>
      </c>
      <c r="AD119" s="249">
        <v>203.28</v>
      </c>
      <c r="AE119" s="249">
        <v>1.4520000000000002</v>
      </c>
      <c r="AF119" s="249">
        <v>0</v>
      </c>
      <c r="AG119" s="249">
        <v>0</v>
      </c>
      <c r="BR119" s="180"/>
      <c r="BS119" s="180"/>
      <c r="BT119" s="180"/>
      <c r="BU119" s="180"/>
      <c r="BV119" s="180"/>
      <c r="BW119" s="180"/>
      <c r="BX119" s="180"/>
      <c r="BY119" s="180"/>
      <c r="BZ119" s="180"/>
      <c r="CA119" s="180"/>
      <c r="CB119" s="180"/>
      <c r="CC119" s="180"/>
      <c r="CD119" s="180"/>
      <c r="CE119" s="180"/>
      <c r="CF119" s="180"/>
      <c r="CG119" s="180"/>
      <c r="CH119" s="180"/>
      <c r="CI119" s="180"/>
    </row>
    <row r="120" spans="1:89">
      <c r="A120" s="132"/>
      <c r="D120" s="120" t="s">
        <v>398</v>
      </c>
      <c r="E120" s="249">
        <v>17.566071428571426</v>
      </c>
      <c r="F120" s="249">
        <v>6.8464285714285706</v>
      </c>
      <c r="G120" s="249">
        <v>0.34071428571428569</v>
      </c>
      <c r="H120" s="249">
        <v>9.1607142857142859E-2</v>
      </c>
      <c r="I120" s="249">
        <v>0</v>
      </c>
      <c r="J120" s="249">
        <v>9.8035714285714295E-2</v>
      </c>
      <c r="K120" s="249">
        <v>0.15107142857142855</v>
      </c>
      <c r="L120" s="249">
        <v>4.6928571428571422</v>
      </c>
      <c r="M120" s="249">
        <v>1.8964285714285711</v>
      </c>
      <c r="N120" s="249">
        <v>28.542857142857144</v>
      </c>
      <c r="O120" s="249">
        <v>104.14285714285714</v>
      </c>
      <c r="P120" s="249">
        <v>50.914285714285711</v>
      </c>
      <c r="Q120" s="249">
        <v>0</v>
      </c>
      <c r="R120" s="249">
        <v>1.427142857142857</v>
      </c>
      <c r="S120" s="249">
        <v>1.00125</v>
      </c>
      <c r="T120" s="249">
        <v>0</v>
      </c>
      <c r="U120" s="249">
        <v>0</v>
      </c>
      <c r="V120" s="249">
        <v>0.14962500000000001</v>
      </c>
      <c r="W120" s="249">
        <v>5.0142857142857142E-2</v>
      </c>
      <c r="X120" s="249">
        <v>0.61312499999999992</v>
      </c>
      <c r="Y120" s="249">
        <v>0.1767857142857143</v>
      </c>
      <c r="Z120" s="249">
        <v>147.38142857142856</v>
      </c>
      <c r="AA120" s="249">
        <v>7.7142857142857152E-2</v>
      </c>
      <c r="AB120" s="249">
        <v>1.8316607142857142</v>
      </c>
      <c r="AC120" s="249">
        <v>35.359232142857145</v>
      </c>
      <c r="AD120" s="249">
        <v>277.2</v>
      </c>
      <c r="AE120" s="249">
        <v>0.87910714285714298</v>
      </c>
      <c r="AF120" s="249">
        <v>0.3076511785714286</v>
      </c>
      <c r="AG120" s="249">
        <v>4.6124999999999998</v>
      </c>
      <c r="BR120" s="180"/>
      <c r="BS120" s="180"/>
      <c r="BT120" s="180"/>
      <c r="BU120" s="180"/>
      <c r="BV120" s="180"/>
      <c r="BW120" s="180"/>
      <c r="BX120" s="379"/>
      <c r="BY120" s="250"/>
      <c r="BZ120" s="379"/>
      <c r="CA120" s="379"/>
      <c r="CB120" s="379"/>
      <c r="CC120" s="251"/>
      <c r="CD120" s="180"/>
      <c r="CE120" s="180"/>
      <c r="CF120" s="180"/>
      <c r="CG120" s="180"/>
      <c r="CH120" s="180"/>
      <c r="CI120" s="180"/>
    </row>
    <row r="121" spans="1:89">
      <c r="A121" s="132"/>
      <c r="D121" s="219" t="s">
        <v>363</v>
      </c>
      <c r="E121" s="222">
        <f t="shared" ref="E121:AG121" si="25">SUMPRODUCT($E$106:$E$112,E114:E120)</f>
        <v>5.8553571428571418</v>
      </c>
      <c r="F121" s="222">
        <f t="shared" si="25"/>
        <v>12.153742857142856</v>
      </c>
      <c r="G121" s="222">
        <f t="shared" si="25"/>
        <v>3.0768204081632655</v>
      </c>
      <c r="H121" s="222">
        <f t="shared" si="25"/>
        <v>0.96150986394557836</v>
      </c>
      <c r="I121" s="222">
        <f t="shared" si="25"/>
        <v>27.760163265306122</v>
      </c>
      <c r="J121" s="222">
        <f t="shared" si="25"/>
        <v>1.286066326530612</v>
      </c>
      <c r="K121" s="222">
        <f t="shared" si="25"/>
        <v>0.51987006802721092</v>
      </c>
      <c r="L121" s="222">
        <f t="shared" si="25"/>
        <v>1.5642857142857141</v>
      </c>
      <c r="M121" s="222">
        <f t="shared" si="25"/>
        <v>27.401013605442174</v>
      </c>
      <c r="N121" s="222">
        <f t="shared" si="25"/>
        <v>138.04609523809523</v>
      </c>
      <c r="O121" s="222">
        <f t="shared" si="25"/>
        <v>321.65771428571429</v>
      </c>
      <c r="P121" s="222">
        <f t="shared" si="25"/>
        <v>26.371945578231291</v>
      </c>
      <c r="Q121" s="222">
        <f t="shared" si="25"/>
        <v>0</v>
      </c>
      <c r="R121" s="222">
        <f t="shared" si="25"/>
        <v>36.644857142857141</v>
      </c>
      <c r="S121" s="222">
        <f t="shared" si="25"/>
        <v>0.50472142857142854</v>
      </c>
      <c r="T121" s="222">
        <f t="shared" si="25"/>
        <v>0</v>
      </c>
      <c r="U121" s="222">
        <f t="shared" si="25"/>
        <v>7.3755102040816325E-2</v>
      </c>
      <c r="V121" s="222">
        <f t="shared" si="25"/>
        <v>7.2387925170068035E-2</v>
      </c>
      <c r="W121" s="222">
        <f t="shared" si="25"/>
        <v>8.0545578231292519E-2</v>
      </c>
      <c r="X121" s="222">
        <f t="shared" si="25"/>
        <v>1.8576103741496595</v>
      </c>
      <c r="Y121" s="222">
        <f t="shared" si="25"/>
        <v>0.15000068027210883</v>
      </c>
      <c r="Z121" s="222">
        <f t="shared" si="25"/>
        <v>52.477183673469384</v>
      </c>
      <c r="AA121" s="222">
        <f t="shared" si="25"/>
        <v>0.46546938775510205</v>
      </c>
      <c r="AB121" s="222">
        <f t="shared" si="25"/>
        <v>1.348263775510204</v>
      </c>
      <c r="AC121" s="222">
        <f t="shared" si="25"/>
        <v>20.568125000000002</v>
      </c>
      <c r="AD121" s="222">
        <f t="shared" si="25"/>
        <v>198.37738775510203</v>
      </c>
      <c r="AE121" s="222">
        <f t="shared" si="25"/>
        <v>1.4954656462585034</v>
      </c>
      <c r="AF121" s="222">
        <f t="shared" si="25"/>
        <v>0.15524971258503401</v>
      </c>
      <c r="AG121" s="222">
        <f t="shared" si="25"/>
        <v>8.2693911564625857</v>
      </c>
      <c r="BR121" s="180"/>
      <c r="BS121" s="180"/>
      <c r="BT121" s="180"/>
      <c r="BU121" s="180"/>
      <c r="BV121" s="180"/>
      <c r="BW121" s="180"/>
      <c r="BX121" s="379"/>
      <c r="BY121" s="250"/>
      <c r="BZ121" s="379"/>
      <c r="CA121" s="379"/>
      <c r="CB121" s="379"/>
      <c r="CC121" s="251"/>
      <c r="CD121" s="180"/>
      <c r="CE121" s="180"/>
      <c r="CF121" s="180"/>
      <c r="CG121" s="180"/>
      <c r="CH121" s="180"/>
      <c r="CI121" s="180"/>
    </row>
    <row r="122" spans="1:89">
      <c r="A122" s="132"/>
      <c r="D122" s="201"/>
      <c r="E122" s="222"/>
      <c r="F122" s="222"/>
      <c r="G122" s="222"/>
      <c r="H122" s="234"/>
      <c r="I122" s="222"/>
      <c r="J122" s="222"/>
      <c r="K122" s="222"/>
      <c r="L122" s="222"/>
      <c r="M122" s="222"/>
      <c r="N122" s="252"/>
      <c r="O122" s="252"/>
      <c r="P122" s="252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T122" s="180"/>
      <c r="AU122" s="180"/>
      <c r="BT122" s="180"/>
      <c r="BU122" s="180"/>
      <c r="BV122" s="180"/>
      <c r="BW122" s="180"/>
      <c r="BX122" s="180"/>
      <c r="BY122" s="180"/>
      <c r="BZ122" s="180"/>
      <c r="CA122" s="180"/>
      <c r="CB122" s="180"/>
      <c r="CC122" s="180"/>
      <c r="CD122" s="180"/>
      <c r="CE122" s="180"/>
      <c r="CF122" s="180"/>
      <c r="CG122" s="180"/>
      <c r="CH122" s="180"/>
      <c r="CI122" s="180"/>
      <c r="CJ122" s="180"/>
      <c r="CK122" s="180"/>
    </row>
    <row r="123" spans="1:89">
      <c r="A123" s="132"/>
      <c r="D123" s="221" t="s">
        <v>111</v>
      </c>
      <c r="F123" s="188"/>
      <c r="G123" s="188"/>
      <c r="H123" s="188"/>
      <c r="I123" s="188"/>
      <c r="J123" s="188"/>
      <c r="K123" s="188"/>
      <c r="L123" s="188"/>
      <c r="N123" s="180"/>
      <c r="O123" s="188"/>
      <c r="P123" s="188"/>
      <c r="BR123" s="180"/>
      <c r="BS123" s="180"/>
      <c r="BT123" s="180"/>
      <c r="BU123" s="180"/>
      <c r="BV123" s="180"/>
      <c r="BW123" s="180"/>
      <c r="BX123" s="253"/>
      <c r="BY123" s="250"/>
      <c r="BZ123" s="253"/>
      <c r="CA123" s="253"/>
      <c r="CB123" s="253"/>
      <c r="CC123" s="251"/>
      <c r="CD123" s="180"/>
      <c r="CE123" s="180"/>
      <c r="CF123" s="180"/>
      <c r="CG123" s="180"/>
      <c r="CH123" s="180"/>
      <c r="CI123" s="180"/>
    </row>
    <row r="124" spans="1:89">
      <c r="A124" s="132"/>
      <c r="D124" s="209" t="s">
        <v>242</v>
      </c>
      <c r="F124" s="188"/>
      <c r="G124" s="188"/>
      <c r="H124" s="213"/>
      <c r="I124" s="213"/>
      <c r="J124" s="213"/>
      <c r="K124" s="213"/>
      <c r="L124" s="213"/>
      <c r="M124" s="201"/>
      <c r="N124" s="119"/>
      <c r="O124" s="213"/>
      <c r="P124" s="213"/>
      <c r="BR124" s="180"/>
      <c r="BS124" s="180"/>
      <c r="BT124" s="180"/>
      <c r="BU124" s="180"/>
      <c r="BV124" s="180"/>
      <c r="BW124" s="180"/>
      <c r="BX124" s="253"/>
      <c r="BY124" s="250"/>
      <c r="BZ124" s="253"/>
      <c r="CA124" s="253"/>
      <c r="CB124" s="253"/>
      <c r="CC124" s="251"/>
      <c r="CD124" s="180"/>
      <c r="CE124" s="180"/>
      <c r="CF124" s="180"/>
      <c r="CG124" s="180"/>
      <c r="CH124" s="180"/>
      <c r="CI124" s="180"/>
    </row>
    <row r="125" spans="1:89">
      <c r="A125" s="132"/>
      <c r="D125" s="209" t="s">
        <v>244</v>
      </c>
      <c r="E125" s="338">
        <f>'I&amp;O'!D121</f>
        <v>0</v>
      </c>
      <c r="F125" s="188"/>
      <c r="G125" s="188"/>
      <c r="H125" s="188"/>
      <c r="I125" s="188"/>
      <c r="J125" s="188"/>
      <c r="K125" s="188"/>
      <c r="L125" s="188"/>
      <c r="N125" s="180"/>
      <c r="O125" s="188"/>
      <c r="P125" s="188"/>
      <c r="BR125" s="180"/>
      <c r="BS125" s="180"/>
      <c r="BT125" s="180"/>
      <c r="BU125" s="180"/>
      <c r="BV125" s="180"/>
      <c r="BW125" s="180"/>
      <c r="BX125" s="253"/>
      <c r="BY125" s="250"/>
      <c r="BZ125" s="253"/>
      <c r="CA125" s="253"/>
      <c r="CB125" s="253"/>
      <c r="CC125" s="251"/>
      <c r="CD125" s="180"/>
      <c r="CE125" s="180"/>
      <c r="CF125" s="180"/>
      <c r="CG125" s="180"/>
      <c r="CH125" s="180"/>
      <c r="CI125" s="180"/>
    </row>
    <row r="126" spans="1:89">
      <c r="A126" s="132"/>
      <c r="D126" s="209" t="s">
        <v>245</v>
      </c>
      <c r="E126" s="338">
        <f>'I&amp;O'!D122</f>
        <v>1</v>
      </c>
      <c r="F126" s="188"/>
      <c r="G126" s="188"/>
      <c r="H126" s="188"/>
      <c r="I126" s="188"/>
      <c r="J126" s="188"/>
      <c r="K126" s="188"/>
      <c r="L126" s="188"/>
      <c r="N126" s="180"/>
      <c r="O126" s="188"/>
      <c r="P126" s="188"/>
      <c r="BR126" s="180"/>
      <c r="BS126" s="180"/>
      <c r="BT126" s="180"/>
      <c r="BU126" s="180"/>
      <c r="BV126" s="180"/>
      <c r="BW126" s="180"/>
      <c r="BX126" s="253"/>
      <c r="BY126" s="250"/>
      <c r="BZ126" s="253"/>
      <c r="CA126" s="253"/>
      <c r="CB126" s="253"/>
      <c r="CC126" s="251"/>
      <c r="CD126" s="180"/>
      <c r="CE126" s="180"/>
      <c r="CF126" s="180"/>
      <c r="CG126" s="180"/>
      <c r="CH126" s="180"/>
      <c r="CI126" s="180"/>
    </row>
    <row r="127" spans="1:89">
      <c r="A127" s="132"/>
      <c r="D127" s="209" t="s">
        <v>246</v>
      </c>
      <c r="E127" s="338">
        <f>'I&amp;O'!D123</f>
        <v>0</v>
      </c>
      <c r="F127" s="188"/>
      <c r="G127" s="188"/>
      <c r="H127" s="188"/>
      <c r="I127" s="188"/>
      <c r="J127" s="188"/>
      <c r="K127" s="188"/>
      <c r="L127" s="188"/>
      <c r="N127" s="180"/>
      <c r="O127" s="188"/>
      <c r="P127" s="188"/>
      <c r="BR127" s="180"/>
      <c r="BS127" s="180"/>
      <c r="BT127" s="180"/>
      <c r="BU127" s="180"/>
      <c r="BV127" s="180"/>
      <c r="BW127" s="180"/>
      <c r="BX127" s="253"/>
      <c r="BY127" s="250"/>
      <c r="BZ127" s="253"/>
      <c r="CA127" s="253"/>
      <c r="CB127" s="253"/>
      <c r="CC127" s="251"/>
      <c r="CD127" s="180"/>
      <c r="CE127" s="180"/>
      <c r="CF127" s="180"/>
      <c r="CG127" s="180"/>
      <c r="CH127" s="180"/>
      <c r="CI127" s="180"/>
    </row>
    <row r="128" spans="1:89">
      <c r="A128" s="132"/>
      <c r="D128" s="209" t="s">
        <v>247</v>
      </c>
      <c r="E128" s="338">
        <f>'I&amp;O'!D124</f>
        <v>0</v>
      </c>
      <c r="F128" s="188"/>
      <c r="G128" s="188"/>
      <c r="H128" s="188"/>
      <c r="I128" s="188"/>
      <c r="J128" s="188"/>
      <c r="K128" s="188"/>
      <c r="L128" s="188"/>
      <c r="N128" s="180"/>
      <c r="O128" s="188"/>
      <c r="P128" s="188"/>
      <c r="BR128" s="180"/>
      <c r="BS128" s="180"/>
      <c r="BT128" s="180"/>
      <c r="BU128" s="180"/>
      <c r="BV128" s="180"/>
      <c r="BW128" s="180"/>
      <c r="BX128" s="253"/>
      <c r="BY128" s="250"/>
      <c r="BZ128" s="253"/>
      <c r="CA128" s="253"/>
      <c r="CB128" s="253"/>
      <c r="CC128" s="251"/>
      <c r="CD128" s="180"/>
      <c r="CE128" s="180"/>
      <c r="CF128" s="180"/>
      <c r="CG128" s="180"/>
      <c r="CH128" s="180"/>
      <c r="CI128" s="180"/>
    </row>
    <row r="129" spans="1:87">
      <c r="A129" s="132"/>
      <c r="D129" s="209" t="s">
        <v>249</v>
      </c>
      <c r="E129" s="338">
        <f>'I&amp;O'!D125</f>
        <v>0</v>
      </c>
      <c r="F129" s="188"/>
      <c r="G129" s="188"/>
      <c r="H129" s="188"/>
      <c r="I129" s="188"/>
      <c r="J129" s="188"/>
      <c r="K129" s="188"/>
      <c r="L129" s="188"/>
      <c r="N129" s="180"/>
      <c r="O129" s="188"/>
      <c r="P129" s="188"/>
      <c r="BR129" s="180"/>
      <c r="BS129" s="180"/>
      <c r="BT129" s="180"/>
      <c r="BU129" s="180"/>
      <c r="BV129" s="180"/>
      <c r="BW129" s="180"/>
      <c r="BX129" s="253"/>
      <c r="BY129" s="250"/>
      <c r="BZ129" s="253"/>
      <c r="CA129" s="253"/>
      <c r="CB129" s="253"/>
      <c r="CC129" s="251"/>
      <c r="CD129" s="180"/>
      <c r="CE129" s="180"/>
      <c r="CF129" s="180"/>
      <c r="CG129" s="180"/>
      <c r="CH129" s="180"/>
      <c r="CI129" s="180"/>
    </row>
    <row r="130" spans="1:87">
      <c r="A130" s="132"/>
      <c r="D130" s="209" t="s">
        <v>248</v>
      </c>
      <c r="E130" s="338">
        <f>'I&amp;O'!D126</f>
        <v>0</v>
      </c>
      <c r="F130" s="188"/>
      <c r="G130" s="188"/>
      <c r="H130" s="188"/>
      <c r="I130" s="188"/>
      <c r="J130" s="188"/>
      <c r="K130" s="188"/>
      <c r="L130" s="188"/>
      <c r="N130" s="180"/>
      <c r="O130" s="188"/>
      <c r="P130" s="188"/>
      <c r="BR130" s="180"/>
      <c r="BS130" s="180"/>
      <c r="BT130" s="180"/>
      <c r="BU130" s="180"/>
      <c r="BV130" s="180"/>
      <c r="BW130" s="180"/>
      <c r="BX130" s="253"/>
      <c r="BY130" s="250"/>
      <c r="BZ130" s="253"/>
      <c r="CA130" s="253"/>
      <c r="CB130" s="253"/>
      <c r="CC130" s="251"/>
      <c r="CD130" s="180"/>
      <c r="CE130" s="180"/>
      <c r="CF130" s="180"/>
      <c r="CG130" s="180"/>
      <c r="CH130" s="180"/>
      <c r="CI130" s="180"/>
    </row>
    <row r="131" spans="1:87">
      <c r="D131" s="214"/>
      <c r="I131" s="201"/>
      <c r="J131" s="180"/>
      <c r="K131" s="180"/>
      <c r="L131" s="180"/>
      <c r="M131" s="180"/>
      <c r="N131" s="180"/>
      <c r="O131" s="180"/>
      <c r="P131" s="180"/>
      <c r="AA131" s="119" t="s">
        <v>412</v>
      </c>
      <c r="BR131" s="180"/>
      <c r="BS131" s="180"/>
      <c r="BT131" s="180"/>
      <c r="BU131" s="180"/>
      <c r="BV131" s="180"/>
      <c r="BW131" s="180"/>
      <c r="BX131" s="379"/>
      <c r="BY131" s="250"/>
      <c r="BZ131" s="379"/>
      <c r="CA131" s="379"/>
      <c r="CB131" s="379"/>
      <c r="CC131" s="251"/>
      <c r="CD131" s="180"/>
      <c r="CE131" s="180"/>
      <c r="CF131" s="180"/>
      <c r="CG131" s="180"/>
      <c r="CH131" s="180"/>
      <c r="CI131" s="180"/>
    </row>
    <row r="132" spans="1:87" ht="30">
      <c r="D132" s="137" t="s">
        <v>413</v>
      </c>
      <c r="E132" s="201" t="s">
        <v>335</v>
      </c>
      <c r="F132" s="135" t="s">
        <v>297</v>
      </c>
      <c r="G132" s="135" t="s">
        <v>337</v>
      </c>
      <c r="H132" s="135" t="s">
        <v>74</v>
      </c>
      <c r="I132" s="135" t="s">
        <v>414</v>
      </c>
      <c r="J132" s="212" t="s">
        <v>78</v>
      </c>
      <c r="K132" s="201" t="s">
        <v>79</v>
      </c>
      <c r="L132" s="201" t="s">
        <v>83</v>
      </c>
      <c r="M132" s="119" t="s">
        <v>84</v>
      </c>
      <c r="N132" s="119" t="s">
        <v>76</v>
      </c>
      <c r="O132" s="119" t="s">
        <v>404</v>
      </c>
      <c r="P132" s="135" t="s">
        <v>415</v>
      </c>
      <c r="Q132" s="201" t="s">
        <v>300</v>
      </c>
      <c r="R132" s="201" t="s">
        <v>80</v>
      </c>
      <c r="S132" s="201" t="s">
        <v>252</v>
      </c>
      <c r="T132" s="201" t="s">
        <v>301</v>
      </c>
      <c r="U132" s="204" t="s">
        <v>302</v>
      </c>
      <c r="V132" s="204" t="s">
        <v>303</v>
      </c>
      <c r="W132" s="204" t="s">
        <v>304</v>
      </c>
      <c r="X132" s="204" t="s">
        <v>305</v>
      </c>
      <c r="Y132" s="204" t="s">
        <v>306</v>
      </c>
      <c r="Z132" s="204" t="s">
        <v>81</v>
      </c>
      <c r="AA132" s="204" t="s">
        <v>307</v>
      </c>
      <c r="AB132" s="204" t="s">
        <v>308</v>
      </c>
      <c r="AC132" s="204" t="s">
        <v>309</v>
      </c>
      <c r="AD132" s="204" t="s">
        <v>310</v>
      </c>
      <c r="AE132" s="205" t="s">
        <v>311</v>
      </c>
      <c r="AF132" s="119" t="s">
        <v>312</v>
      </c>
      <c r="AG132" s="119" t="s">
        <v>313</v>
      </c>
      <c r="BR132" s="180"/>
      <c r="BS132" s="180"/>
      <c r="BT132" s="180"/>
      <c r="BU132" s="180"/>
      <c r="BV132" s="180"/>
      <c r="BW132" s="180"/>
      <c r="BX132" s="379"/>
      <c r="BY132" s="250"/>
      <c r="BZ132" s="379"/>
      <c r="CA132" s="379"/>
      <c r="CB132" s="379"/>
      <c r="CC132" s="251"/>
      <c r="CD132" s="180"/>
      <c r="CE132" s="180"/>
      <c r="CF132" s="180"/>
      <c r="CG132" s="180"/>
      <c r="CH132" s="180"/>
      <c r="CI132" s="180"/>
    </row>
    <row r="133" spans="1:87">
      <c r="B133" s="254"/>
      <c r="C133" s="254">
        <f t="shared" ref="C133:C141" si="26">(E133+F133)*4+G133*9</f>
        <v>87.2</v>
      </c>
      <c r="D133" s="137" t="s">
        <v>416</v>
      </c>
      <c r="E133" s="185">
        <v>5</v>
      </c>
      <c r="F133" s="185">
        <v>3.3</v>
      </c>
      <c r="G133" s="185">
        <v>6</v>
      </c>
      <c r="H133" s="185">
        <v>3.7</v>
      </c>
      <c r="I133" s="222">
        <v>16</v>
      </c>
      <c r="J133" s="222">
        <v>1.5</v>
      </c>
      <c r="K133" s="185">
        <v>0.15</v>
      </c>
      <c r="L133" s="222">
        <v>0</v>
      </c>
      <c r="M133" s="222">
        <v>44</v>
      </c>
      <c r="N133" s="222">
        <v>76</v>
      </c>
      <c r="O133" s="222">
        <v>120</v>
      </c>
      <c r="P133" s="222">
        <v>120</v>
      </c>
      <c r="Q133" s="222">
        <v>0</v>
      </c>
      <c r="R133" s="222">
        <v>65</v>
      </c>
      <c r="S133" s="222">
        <v>2</v>
      </c>
      <c r="T133" s="222">
        <v>0</v>
      </c>
      <c r="U133" s="222">
        <v>0.08</v>
      </c>
      <c r="V133" s="185">
        <v>0.03</v>
      </c>
      <c r="W133" s="185">
        <v>0.23</v>
      </c>
      <c r="X133" s="185">
        <v>0.1</v>
      </c>
      <c r="Y133" s="222">
        <v>0.06</v>
      </c>
      <c r="Z133" s="222">
        <v>7.5</v>
      </c>
      <c r="AA133" s="255">
        <v>0.14000000000000001</v>
      </c>
      <c r="AB133" s="222">
        <v>0.03</v>
      </c>
      <c r="AC133" s="222">
        <v>11</v>
      </c>
      <c r="AD133" s="222">
        <v>161</v>
      </c>
      <c r="AE133" s="222">
        <v>0.4</v>
      </c>
      <c r="AF133" s="222">
        <v>0</v>
      </c>
      <c r="AG133" s="222">
        <v>1</v>
      </c>
      <c r="BR133" s="180"/>
      <c r="BS133" s="180"/>
      <c r="BT133" s="180"/>
      <c r="BU133" s="180"/>
      <c r="BV133" s="180"/>
      <c r="BW133" s="180"/>
      <c r="BX133" s="379"/>
      <c r="BY133" s="250"/>
      <c r="BZ133" s="379"/>
      <c r="CA133" s="379"/>
      <c r="CB133" s="379"/>
      <c r="CC133" s="251"/>
      <c r="CD133" s="180"/>
      <c r="CE133" s="180"/>
      <c r="CF133" s="180"/>
      <c r="CG133" s="180"/>
      <c r="CH133" s="180"/>
      <c r="CI133" s="180"/>
    </row>
    <row r="134" spans="1:87">
      <c r="B134" s="254"/>
      <c r="C134" s="254">
        <f t="shared" si="26"/>
        <v>58.2</v>
      </c>
      <c r="D134" s="137" t="s">
        <v>417</v>
      </c>
      <c r="E134" s="185">
        <v>4.7</v>
      </c>
      <c r="F134" s="185">
        <v>3.1</v>
      </c>
      <c r="G134" s="185">
        <v>3</v>
      </c>
      <c r="H134" s="185">
        <v>1.9</v>
      </c>
      <c r="I134" s="222">
        <v>8</v>
      </c>
      <c r="J134" s="222">
        <v>1.89</v>
      </c>
      <c r="K134" s="222">
        <v>0.1</v>
      </c>
      <c r="L134" s="222">
        <v>0</v>
      </c>
      <c r="M134" s="222">
        <v>44</v>
      </c>
      <c r="N134" s="222">
        <v>75</v>
      </c>
      <c r="O134" s="222">
        <v>120</v>
      </c>
      <c r="P134" s="222">
        <v>120</v>
      </c>
      <c r="Q134" s="222">
        <v>0</v>
      </c>
      <c r="R134" s="222">
        <v>32</v>
      </c>
      <c r="S134" s="222">
        <v>2</v>
      </c>
      <c r="T134" s="222">
        <v>0</v>
      </c>
      <c r="U134" s="222">
        <v>0.04</v>
      </c>
      <c r="V134" s="185">
        <v>0.03</v>
      </c>
      <c r="W134" s="185">
        <v>0.23</v>
      </c>
      <c r="X134" s="185">
        <v>0.1</v>
      </c>
      <c r="Y134" s="222">
        <v>0</v>
      </c>
      <c r="Z134" s="222">
        <v>7.5</v>
      </c>
      <c r="AA134" s="185">
        <v>0.14000000000000001</v>
      </c>
      <c r="AB134" s="222">
        <v>0.1</v>
      </c>
      <c r="AC134" s="222">
        <v>11</v>
      </c>
      <c r="AD134" s="222">
        <v>161</v>
      </c>
      <c r="AE134" s="222">
        <v>0.4</v>
      </c>
      <c r="AF134" s="222">
        <v>0</v>
      </c>
      <c r="AG134" s="222">
        <v>1</v>
      </c>
      <c r="BR134" s="180"/>
      <c r="BS134" s="180"/>
      <c r="BT134" s="180"/>
      <c r="BU134" s="180"/>
      <c r="BV134" s="180"/>
      <c r="BW134" s="180"/>
      <c r="BX134" s="379"/>
      <c r="BY134" s="250"/>
      <c r="BZ134" s="253"/>
      <c r="CA134" s="253"/>
      <c r="CB134" s="253"/>
      <c r="CC134" s="251"/>
      <c r="CD134" s="180"/>
      <c r="CE134" s="180"/>
      <c r="CF134" s="180"/>
      <c r="CG134" s="180"/>
      <c r="CH134" s="180"/>
      <c r="CI134" s="180"/>
    </row>
    <row r="135" spans="1:87">
      <c r="B135" s="254"/>
      <c r="C135" s="254">
        <f t="shared" si="26"/>
        <v>45.9</v>
      </c>
      <c r="D135" s="137" t="s">
        <v>418</v>
      </c>
      <c r="E135" s="185">
        <v>5</v>
      </c>
      <c r="F135" s="185">
        <v>3.1</v>
      </c>
      <c r="G135" s="185">
        <v>1.5</v>
      </c>
      <c r="H135" s="185">
        <v>1</v>
      </c>
      <c r="I135" s="222">
        <v>4</v>
      </c>
      <c r="J135" s="222">
        <v>0.9</v>
      </c>
      <c r="K135" s="222">
        <v>0.06</v>
      </c>
      <c r="L135" s="222">
        <v>0</v>
      </c>
      <c r="M135" s="222">
        <v>44</v>
      </c>
      <c r="N135" s="222">
        <v>8</v>
      </c>
      <c r="O135" s="222">
        <v>62</v>
      </c>
      <c r="P135" s="222">
        <v>124</v>
      </c>
      <c r="Q135" s="222">
        <v>0</v>
      </c>
      <c r="R135" s="222">
        <v>16</v>
      </c>
      <c r="S135" s="222">
        <v>1</v>
      </c>
      <c r="T135" s="222">
        <v>0</v>
      </c>
      <c r="U135" s="222">
        <v>0.04</v>
      </c>
      <c r="V135" s="185">
        <v>0.03</v>
      </c>
      <c r="W135" s="185">
        <v>0.23</v>
      </c>
      <c r="X135" s="185">
        <v>0.1</v>
      </c>
      <c r="Y135" s="222">
        <v>0</v>
      </c>
      <c r="Z135" s="222">
        <v>8</v>
      </c>
      <c r="AA135" s="185">
        <v>0.14000000000000001</v>
      </c>
      <c r="AB135" s="222">
        <v>0.1</v>
      </c>
      <c r="AC135" s="222">
        <v>11</v>
      </c>
      <c r="AD135" s="222">
        <v>161</v>
      </c>
      <c r="AE135" s="222">
        <v>0</v>
      </c>
      <c r="AF135" s="222">
        <v>0</v>
      </c>
      <c r="AG135" s="222">
        <v>1</v>
      </c>
      <c r="BR135" s="180"/>
      <c r="BS135" s="180"/>
      <c r="BT135" s="180"/>
      <c r="BU135" s="180"/>
      <c r="BV135" s="180"/>
      <c r="BW135" s="180"/>
      <c r="BX135" s="379"/>
      <c r="BY135" s="250"/>
      <c r="BZ135" s="251"/>
      <c r="CA135" s="380"/>
      <c r="CB135" s="380"/>
      <c r="CC135" s="380"/>
      <c r="CD135" s="180"/>
      <c r="CE135" s="180"/>
      <c r="CF135" s="180"/>
      <c r="CG135" s="180"/>
      <c r="CH135" s="180"/>
      <c r="CI135" s="180"/>
    </row>
    <row r="136" spans="1:87">
      <c r="B136" s="254"/>
      <c r="C136" s="254">
        <f t="shared" si="26"/>
        <v>36.700000000000003</v>
      </c>
      <c r="D136" s="137" t="s">
        <v>419</v>
      </c>
      <c r="E136" s="185">
        <v>5.0999999999999996</v>
      </c>
      <c r="F136" s="185">
        <v>3.4</v>
      </c>
      <c r="G136" s="185">
        <v>0.3</v>
      </c>
      <c r="H136" s="185">
        <v>0.2</v>
      </c>
      <c r="I136" s="222">
        <v>2</v>
      </c>
      <c r="J136" s="222">
        <v>0.1</v>
      </c>
      <c r="K136" s="222">
        <v>0</v>
      </c>
      <c r="L136" s="222">
        <v>0</v>
      </c>
      <c r="M136" s="222">
        <v>44</v>
      </c>
      <c r="N136" s="222">
        <v>2</v>
      </c>
      <c r="O136" s="222">
        <v>15</v>
      </c>
      <c r="P136" s="222">
        <v>124</v>
      </c>
      <c r="Q136" s="222">
        <v>0</v>
      </c>
      <c r="R136" s="222">
        <v>2</v>
      </c>
      <c r="S136" s="222">
        <v>0.3</v>
      </c>
      <c r="T136" s="222">
        <v>0</v>
      </c>
      <c r="U136" s="222">
        <v>0</v>
      </c>
      <c r="V136" s="185">
        <v>0.03</v>
      </c>
      <c r="W136" s="185">
        <v>0.23</v>
      </c>
      <c r="X136" s="185">
        <v>0.1</v>
      </c>
      <c r="Y136" s="222">
        <v>0</v>
      </c>
      <c r="Z136" s="222">
        <v>8</v>
      </c>
      <c r="AA136" s="185">
        <v>0.14000000000000001</v>
      </c>
      <c r="AB136" s="222">
        <v>0.1</v>
      </c>
      <c r="AC136" s="222">
        <v>11</v>
      </c>
      <c r="AD136" s="222">
        <v>161</v>
      </c>
      <c r="AE136" s="222">
        <v>0.1</v>
      </c>
      <c r="AF136" s="222">
        <v>0</v>
      </c>
      <c r="AG136" s="222">
        <v>0.6</v>
      </c>
      <c r="BR136" s="180"/>
      <c r="BS136" s="180"/>
      <c r="BT136" s="180"/>
      <c r="BU136" s="180"/>
      <c r="BV136" s="180"/>
      <c r="BW136" s="180"/>
      <c r="BX136" s="379"/>
      <c r="BY136" s="250"/>
      <c r="BZ136" s="251"/>
      <c r="CA136" s="251"/>
      <c r="CB136" s="251"/>
      <c r="CC136" s="256"/>
      <c r="CD136" s="180"/>
      <c r="CE136" s="180"/>
      <c r="CF136" s="180"/>
      <c r="CG136" s="180"/>
      <c r="CH136" s="180"/>
      <c r="CI136" s="180"/>
    </row>
    <row r="137" spans="1:87">
      <c r="A137" s="132"/>
      <c r="B137" s="254"/>
      <c r="C137" s="254">
        <f t="shared" si="26"/>
        <v>69.699999999999989</v>
      </c>
      <c r="D137" s="137" t="s">
        <v>249</v>
      </c>
      <c r="E137" s="185">
        <v>5</v>
      </c>
      <c r="F137" s="185">
        <v>3.2</v>
      </c>
      <c r="G137" s="185">
        <v>4.0999999999999996</v>
      </c>
      <c r="H137" s="185">
        <v>2.6</v>
      </c>
      <c r="I137" s="222">
        <v>16</v>
      </c>
      <c r="J137" s="222">
        <v>1.1000000000000001</v>
      </c>
      <c r="K137" s="222">
        <v>0.2</v>
      </c>
      <c r="L137" s="222">
        <v>0</v>
      </c>
      <c r="M137" s="222">
        <v>44</v>
      </c>
      <c r="N137" s="222">
        <v>40</v>
      </c>
      <c r="O137" s="222">
        <v>160</v>
      </c>
      <c r="P137" s="222">
        <v>120</v>
      </c>
      <c r="Q137" s="222">
        <v>0</v>
      </c>
      <c r="R137" s="222">
        <v>44</v>
      </c>
      <c r="S137" s="222">
        <v>2</v>
      </c>
      <c r="T137" s="222">
        <v>0</v>
      </c>
      <c r="U137" s="222">
        <v>0</v>
      </c>
      <c r="V137" s="222">
        <v>0.05</v>
      </c>
      <c r="W137" s="222">
        <v>0.2</v>
      </c>
      <c r="X137" s="222">
        <v>0.1</v>
      </c>
      <c r="Y137" s="222">
        <v>0</v>
      </c>
      <c r="Z137" s="222">
        <v>8.5</v>
      </c>
      <c r="AA137" s="185">
        <v>0.14000000000000001</v>
      </c>
      <c r="AB137" s="222">
        <v>0.2</v>
      </c>
      <c r="AC137" s="222">
        <v>11</v>
      </c>
      <c r="AD137" s="222">
        <v>140</v>
      </c>
      <c r="AE137" s="222">
        <v>0</v>
      </c>
      <c r="AF137" s="222">
        <v>0</v>
      </c>
      <c r="AG137" s="222">
        <v>1</v>
      </c>
      <c r="BR137" s="180"/>
      <c r="BS137" s="180"/>
      <c r="BT137" s="180"/>
      <c r="BU137" s="180"/>
      <c r="BV137" s="180"/>
      <c r="BW137" s="180"/>
      <c r="BX137" s="253"/>
      <c r="BY137" s="250"/>
      <c r="BZ137" s="251"/>
      <c r="CA137" s="251"/>
      <c r="CB137" s="251"/>
      <c r="CC137" s="256"/>
      <c r="CD137" s="180"/>
      <c r="CE137" s="180"/>
      <c r="CF137" s="180"/>
      <c r="CG137" s="180"/>
      <c r="CH137" s="180"/>
      <c r="CI137" s="180"/>
    </row>
    <row r="138" spans="1:87">
      <c r="A138" s="132"/>
      <c r="B138" s="254"/>
      <c r="C138" s="254">
        <f t="shared" si="26"/>
        <v>101.7</v>
      </c>
      <c r="D138" s="137" t="s">
        <v>248</v>
      </c>
      <c r="E138" s="185">
        <v>6.5</v>
      </c>
      <c r="F138" s="185">
        <v>4.3</v>
      </c>
      <c r="G138" s="185">
        <v>6.5</v>
      </c>
      <c r="H138" s="185">
        <v>4.5999999999999996</v>
      </c>
      <c r="I138" s="222">
        <v>16</v>
      </c>
      <c r="J138" s="222">
        <v>2.2000000000000002</v>
      </c>
      <c r="K138" s="222">
        <v>0.2</v>
      </c>
      <c r="L138" s="222">
        <v>0</v>
      </c>
      <c r="M138" s="222">
        <v>19</v>
      </c>
      <c r="N138" s="222">
        <v>40</v>
      </c>
      <c r="O138" s="222">
        <v>160</v>
      </c>
      <c r="P138" s="222">
        <v>210</v>
      </c>
      <c r="Q138" s="222">
        <v>0</v>
      </c>
      <c r="R138" s="222">
        <v>40</v>
      </c>
      <c r="S138" s="222">
        <v>1</v>
      </c>
      <c r="T138" s="222">
        <v>0</v>
      </c>
      <c r="U138" s="222">
        <v>0</v>
      </c>
      <c r="V138" s="222">
        <v>0.04</v>
      </c>
      <c r="W138" s="222">
        <v>0.1</v>
      </c>
      <c r="X138" s="222">
        <v>0.1</v>
      </c>
      <c r="Y138" s="222">
        <v>0</v>
      </c>
      <c r="Z138" s="222">
        <v>5.6</v>
      </c>
      <c r="AA138" s="185">
        <v>0.14000000000000001</v>
      </c>
      <c r="AB138" s="222">
        <v>0.2</v>
      </c>
      <c r="AC138" s="222">
        <v>11</v>
      </c>
      <c r="AD138" s="222">
        <v>90</v>
      </c>
      <c r="AE138" s="222">
        <v>0</v>
      </c>
      <c r="AF138" s="222">
        <v>0</v>
      </c>
      <c r="AG138" s="222">
        <v>1</v>
      </c>
      <c r="BR138" s="180"/>
      <c r="BS138" s="180"/>
      <c r="BT138" s="180"/>
      <c r="BU138" s="180"/>
      <c r="BV138" s="180"/>
      <c r="BW138" s="180"/>
      <c r="BX138" s="253"/>
      <c r="BY138" s="250"/>
      <c r="BZ138" s="251"/>
      <c r="CA138" s="251"/>
      <c r="CB138" s="251"/>
      <c r="CC138" s="256"/>
      <c r="CD138" s="180"/>
      <c r="CE138" s="180"/>
      <c r="CF138" s="180"/>
      <c r="CG138" s="180"/>
      <c r="CH138" s="180"/>
      <c r="CI138" s="180"/>
    </row>
    <row r="139" spans="1:87" ht="30">
      <c r="A139" s="132"/>
      <c r="B139" s="254"/>
      <c r="C139" s="254">
        <f t="shared" si="26"/>
        <v>61.900000000000006</v>
      </c>
      <c r="D139" s="137" t="s">
        <v>420</v>
      </c>
      <c r="E139" s="185">
        <v>4.4000000000000004</v>
      </c>
      <c r="F139" s="185">
        <v>4.0999999999999996</v>
      </c>
      <c r="G139" s="185">
        <v>3.1</v>
      </c>
      <c r="H139" s="185">
        <v>1.9</v>
      </c>
      <c r="I139" s="222">
        <v>8</v>
      </c>
      <c r="J139" s="222">
        <v>0.7</v>
      </c>
      <c r="K139" s="222">
        <v>0.2</v>
      </c>
      <c r="L139" s="222">
        <v>0</v>
      </c>
      <c r="M139" s="222">
        <v>61</v>
      </c>
      <c r="N139" s="222">
        <v>40</v>
      </c>
      <c r="O139" s="222">
        <v>160</v>
      </c>
      <c r="P139" s="222">
        <v>183</v>
      </c>
      <c r="Q139" s="222"/>
      <c r="R139" s="222">
        <v>65</v>
      </c>
      <c r="S139" s="222">
        <v>0</v>
      </c>
      <c r="T139" s="222">
        <v>0</v>
      </c>
      <c r="U139" s="222">
        <v>0</v>
      </c>
      <c r="V139" s="222">
        <v>0.05</v>
      </c>
      <c r="W139" s="222">
        <v>0.14000000000000001</v>
      </c>
      <c r="X139" s="222">
        <v>0.12</v>
      </c>
      <c r="Y139" s="222">
        <v>0</v>
      </c>
      <c r="Z139" s="222">
        <v>8</v>
      </c>
      <c r="AA139" s="185">
        <v>0.1</v>
      </c>
      <c r="AB139" s="222">
        <v>0</v>
      </c>
      <c r="AC139" s="222">
        <v>11</v>
      </c>
      <c r="AD139" s="222">
        <v>200</v>
      </c>
      <c r="AE139" s="222">
        <v>0</v>
      </c>
      <c r="AF139" s="222">
        <v>0</v>
      </c>
      <c r="AG139" s="222">
        <v>1</v>
      </c>
      <c r="BR139" s="180"/>
      <c r="BS139" s="180"/>
      <c r="BT139" s="180"/>
      <c r="BU139" s="180"/>
      <c r="BV139" s="180"/>
      <c r="BW139" s="180"/>
      <c r="BX139" s="253"/>
      <c r="BY139" s="250"/>
      <c r="BZ139" s="251"/>
      <c r="CA139" s="251"/>
      <c r="CB139" s="251"/>
      <c r="CC139" s="256"/>
      <c r="CD139" s="180"/>
      <c r="CE139" s="180"/>
      <c r="CF139" s="180"/>
      <c r="CG139" s="180"/>
      <c r="CH139" s="180"/>
      <c r="CI139" s="180"/>
    </row>
    <row r="140" spans="1:87">
      <c r="A140" s="132"/>
      <c r="B140" s="254"/>
      <c r="C140" s="254">
        <f t="shared" si="26"/>
        <v>24.499999999999996</v>
      </c>
      <c r="D140" s="137" t="s">
        <v>421</v>
      </c>
      <c r="E140" s="222">
        <v>5.0999999999999996</v>
      </c>
      <c r="F140" s="222">
        <v>0.8</v>
      </c>
      <c r="G140" s="222">
        <v>0.1</v>
      </c>
      <c r="H140" s="222">
        <v>0.1</v>
      </c>
      <c r="I140" s="222">
        <v>4</v>
      </c>
      <c r="J140" s="222">
        <v>0</v>
      </c>
      <c r="K140" s="222">
        <v>0</v>
      </c>
      <c r="L140" s="222">
        <v>0</v>
      </c>
      <c r="M140" s="222">
        <v>48</v>
      </c>
      <c r="N140" s="222">
        <v>0</v>
      </c>
      <c r="O140" s="222">
        <v>0</v>
      </c>
      <c r="P140" s="222">
        <v>103</v>
      </c>
      <c r="Q140" s="222"/>
      <c r="R140" s="222">
        <v>4</v>
      </c>
      <c r="S140" s="222">
        <v>0</v>
      </c>
      <c r="T140" s="222">
        <v>0</v>
      </c>
      <c r="U140" s="222">
        <v>0</v>
      </c>
      <c r="V140" s="222">
        <v>0</v>
      </c>
      <c r="W140" s="222">
        <v>0.1</v>
      </c>
      <c r="X140" s="222">
        <v>0.1</v>
      </c>
      <c r="Y140" s="222">
        <v>0</v>
      </c>
      <c r="Z140" s="222">
        <v>2</v>
      </c>
      <c r="AA140" s="185">
        <v>0.05</v>
      </c>
      <c r="AB140" s="222">
        <v>0.1</v>
      </c>
      <c r="AC140" s="222">
        <v>10</v>
      </c>
      <c r="AD140" s="222">
        <v>143</v>
      </c>
      <c r="AE140" s="222">
        <v>0.4</v>
      </c>
      <c r="AF140" s="222">
        <v>0</v>
      </c>
      <c r="AG140" s="222">
        <v>1</v>
      </c>
      <c r="BR140" s="180"/>
      <c r="BS140" s="180"/>
      <c r="BT140" s="180"/>
      <c r="BU140" s="180"/>
      <c r="BV140" s="180"/>
      <c r="BW140" s="180"/>
      <c r="BX140" s="253"/>
      <c r="BY140" s="250"/>
      <c r="BZ140" s="251"/>
      <c r="CA140" s="251"/>
      <c r="CB140" s="251"/>
      <c r="CC140" s="256"/>
      <c r="CD140" s="180"/>
      <c r="CE140" s="180"/>
      <c r="CF140" s="180"/>
      <c r="CG140" s="180"/>
      <c r="CH140" s="180"/>
      <c r="CI140" s="180"/>
    </row>
    <row r="141" spans="1:87">
      <c r="A141" s="132"/>
      <c r="B141" s="254"/>
      <c r="C141" s="254">
        <f t="shared" si="26"/>
        <v>37.5</v>
      </c>
      <c r="D141" s="201" t="s">
        <v>422</v>
      </c>
      <c r="E141" s="222">
        <v>4.3</v>
      </c>
      <c r="F141" s="222">
        <v>1.7</v>
      </c>
      <c r="G141" s="222">
        <v>1.5</v>
      </c>
      <c r="H141" s="222">
        <v>0.92</v>
      </c>
      <c r="I141" s="222">
        <v>4</v>
      </c>
      <c r="J141" s="222">
        <v>0.5</v>
      </c>
      <c r="K141" s="222">
        <v>0</v>
      </c>
      <c r="L141" s="222">
        <v>0</v>
      </c>
      <c r="M141" s="222">
        <v>25</v>
      </c>
      <c r="N141" s="222">
        <v>0</v>
      </c>
      <c r="O141" s="222">
        <v>0</v>
      </c>
      <c r="P141" s="222">
        <v>143</v>
      </c>
      <c r="Q141" s="222"/>
      <c r="R141" s="222">
        <f>58*0.3</f>
        <v>17.399999999999999</v>
      </c>
      <c r="S141" s="222">
        <v>0</v>
      </c>
      <c r="T141" s="222">
        <v>0</v>
      </c>
      <c r="U141" s="222">
        <v>0</v>
      </c>
      <c r="V141" s="222">
        <v>0.1</v>
      </c>
      <c r="W141" s="222">
        <v>0.2</v>
      </c>
      <c r="X141" s="222">
        <v>0.1</v>
      </c>
      <c r="Y141" s="222">
        <v>0</v>
      </c>
      <c r="Z141" s="222">
        <v>6</v>
      </c>
      <c r="AA141" s="185">
        <v>0.1</v>
      </c>
      <c r="AB141" s="222">
        <v>0.1</v>
      </c>
      <c r="AC141" s="222">
        <v>11</v>
      </c>
      <c r="AD141" s="222">
        <v>180</v>
      </c>
      <c r="AE141" s="222">
        <v>0.2</v>
      </c>
      <c r="AF141" s="222">
        <v>0.2</v>
      </c>
      <c r="AG141" s="222">
        <v>1</v>
      </c>
      <c r="BR141" s="180"/>
      <c r="BS141" s="180"/>
      <c r="BT141" s="180"/>
      <c r="BU141" s="180"/>
      <c r="BV141" s="180"/>
      <c r="BW141" s="180"/>
      <c r="BX141" s="253"/>
      <c r="BY141" s="250"/>
      <c r="BZ141" s="251"/>
      <c r="CA141" s="251"/>
      <c r="CB141" s="251"/>
      <c r="CC141" s="256"/>
      <c r="CD141" s="180"/>
      <c r="CE141" s="180"/>
      <c r="CF141" s="180"/>
      <c r="CG141" s="180"/>
      <c r="CH141" s="180"/>
      <c r="CI141" s="180"/>
    </row>
    <row r="142" spans="1:87" s="257" customFormat="1">
      <c r="B142" s="258"/>
      <c r="C142" s="258"/>
      <c r="D142" s="219" t="s">
        <v>363</v>
      </c>
      <c r="E142" s="259">
        <f>SUMPRODUCT($E$125:$E$130,E133:E138)</f>
        <v>4.7</v>
      </c>
      <c r="F142" s="259">
        <f t="shared" ref="F142:AG142" si="27">SUMPRODUCT($E$125:$E$130,F133:F138)</f>
        <v>3.1</v>
      </c>
      <c r="G142" s="259">
        <f t="shared" si="27"/>
        <v>3</v>
      </c>
      <c r="H142" s="259">
        <f t="shared" si="27"/>
        <v>1.9</v>
      </c>
      <c r="I142" s="259">
        <f t="shared" si="27"/>
        <v>8</v>
      </c>
      <c r="J142" s="259">
        <f t="shared" si="27"/>
        <v>1.89</v>
      </c>
      <c r="K142" s="259">
        <f t="shared" si="27"/>
        <v>0.1</v>
      </c>
      <c r="L142" s="259">
        <f t="shared" si="27"/>
        <v>0</v>
      </c>
      <c r="M142" s="259">
        <f t="shared" si="27"/>
        <v>44</v>
      </c>
      <c r="N142" s="259">
        <f t="shared" si="27"/>
        <v>75</v>
      </c>
      <c r="O142" s="259">
        <f t="shared" si="27"/>
        <v>120</v>
      </c>
      <c r="P142" s="259">
        <f t="shared" si="27"/>
        <v>120</v>
      </c>
      <c r="Q142" s="259">
        <f t="shared" si="27"/>
        <v>0</v>
      </c>
      <c r="R142" s="259">
        <f t="shared" si="27"/>
        <v>32</v>
      </c>
      <c r="S142" s="259">
        <f t="shared" si="27"/>
        <v>2</v>
      </c>
      <c r="T142" s="259">
        <f t="shared" si="27"/>
        <v>0</v>
      </c>
      <c r="U142" s="259">
        <f t="shared" si="27"/>
        <v>0.04</v>
      </c>
      <c r="V142" s="259">
        <f t="shared" si="27"/>
        <v>0.03</v>
      </c>
      <c r="W142" s="259">
        <f t="shared" si="27"/>
        <v>0.23</v>
      </c>
      <c r="X142" s="259">
        <f t="shared" si="27"/>
        <v>0.1</v>
      </c>
      <c r="Y142" s="259">
        <f t="shared" si="27"/>
        <v>0</v>
      </c>
      <c r="Z142" s="259">
        <f t="shared" si="27"/>
        <v>7.5</v>
      </c>
      <c r="AA142" s="259">
        <f t="shared" si="27"/>
        <v>0.14000000000000001</v>
      </c>
      <c r="AB142" s="259">
        <f t="shared" si="27"/>
        <v>0.1</v>
      </c>
      <c r="AC142" s="259">
        <f t="shared" si="27"/>
        <v>11</v>
      </c>
      <c r="AD142" s="259">
        <f t="shared" si="27"/>
        <v>161</v>
      </c>
      <c r="AE142" s="259">
        <f t="shared" si="27"/>
        <v>0.4</v>
      </c>
      <c r="AF142" s="259">
        <f t="shared" si="27"/>
        <v>0</v>
      </c>
      <c r="AG142" s="259">
        <f t="shared" si="27"/>
        <v>1</v>
      </c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BR142" s="260"/>
      <c r="BS142" s="260"/>
      <c r="BT142" s="260"/>
      <c r="BU142" s="260"/>
      <c r="BV142" s="260"/>
      <c r="BW142" s="260"/>
      <c r="BX142" s="379"/>
      <c r="BY142" s="261"/>
      <c r="BZ142" s="379"/>
      <c r="CA142" s="379"/>
      <c r="CB142" s="379"/>
      <c r="CC142" s="262"/>
      <c r="CD142" s="260"/>
      <c r="CE142" s="260"/>
      <c r="CF142" s="260"/>
      <c r="CG142" s="260"/>
      <c r="CH142" s="260"/>
      <c r="CI142" s="260"/>
    </row>
    <row r="143" spans="1:87">
      <c r="A143" s="132"/>
      <c r="D143" s="219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BR143" s="180"/>
      <c r="BS143" s="180"/>
      <c r="BT143" s="180"/>
      <c r="BU143" s="180"/>
      <c r="BV143" s="180"/>
      <c r="BW143" s="180"/>
      <c r="BX143" s="379"/>
      <c r="BY143" s="250"/>
      <c r="BZ143" s="379"/>
      <c r="CA143" s="379"/>
      <c r="CB143" s="379"/>
      <c r="CC143" s="251"/>
      <c r="CD143" s="180"/>
      <c r="CE143" s="180"/>
      <c r="CF143" s="180"/>
      <c r="CG143" s="180"/>
      <c r="CH143" s="180"/>
      <c r="CI143" s="180"/>
    </row>
    <row r="144" spans="1:87">
      <c r="A144" s="132"/>
      <c r="D144" s="221" t="s">
        <v>423</v>
      </c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BR144" s="180"/>
      <c r="BS144" s="180"/>
      <c r="BT144" s="180"/>
      <c r="BU144" s="180"/>
      <c r="BV144" s="180"/>
      <c r="BW144" s="180"/>
      <c r="BX144" s="379"/>
      <c r="BY144" s="250"/>
      <c r="BZ144" s="379"/>
      <c r="CA144" s="379"/>
      <c r="CB144" s="379"/>
      <c r="CC144" s="251"/>
      <c r="CD144" s="180"/>
      <c r="CE144" s="180"/>
      <c r="CF144" s="180"/>
      <c r="CG144" s="180"/>
      <c r="CH144" s="180"/>
      <c r="CI144" s="180"/>
    </row>
    <row r="145" spans="1:81" s="260" customFormat="1" ht="30">
      <c r="B145" s="264"/>
      <c r="C145" s="264"/>
      <c r="D145" s="223"/>
      <c r="E145" s="257" t="s">
        <v>335</v>
      </c>
      <c r="F145" s="265" t="s">
        <v>297</v>
      </c>
      <c r="G145" s="265" t="s">
        <v>337</v>
      </c>
      <c r="H145" s="265" t="s">
        <v>74</v>
      </c>
      <c r="I145" s="265" t="s">
        <v>414</v>
      </c>
      <c r="J145" s="266" t="s">
        <v>78</v>
      </c>
      <c r="K145" s="257" t="s">
        <v>79</v>
      </c>
      <c r="L145" s="257" t="s">
        <v>83</v>
      </c>
      <c r="M145" s="260" t="s">
        <v>84</v>
      </c>
      <c r="N145" s="260" t="s">
        <v>76</v>
      </c>
      <c r="O145" s="260" t="s">
        <v>404</v>
      </c>
      <c r="P145" s="265" t="s">
        <v>415</v>
      </c>
      <c r="Q145" s="257" t="s">
        <v>300</v>
      </c>
      <c r="R145" s="257" t="s">
        <v>80</v>
      </c>
      <c r="S145" s="257" t="s">
        <v>252</v>
      </c>
      <c r="T145" s="257" t="s">
        <v>301</v>
      </c>
      <c r="U145" s="267" t="s">
        <v>302</v>
      </c>
      <c r="V145" s="267" t="s">
        <v>303</v>
      </c>
      <c r="W145" s="267" t="s">
        <v>304</v>
      </c>
      <c r="X145" s="267" t="s">
        <v>305</v>
      </c>
      <c r="Y145" s="267" t="s">
        <v>306</v>
      </c>
      <c r="Z145" s="267" t="s">
        <v>81</v>
      </c>
      <c r="AA145" s="267" t="s">
        <v>307</v>
      </c>
      <c r="AB145" s="267" t="s">
        <v>308</v>
      </c>
      <c r="AC145" s="267" t="s">
        <v>309</v>
      </c>
      <c r="AD145" s="267" t="s">
        <v>310</v>
      </c>
      <c r="AE145" s="268" t="s">
        <v>311</v>
      </c>
      <c r="AF145" s="260" t="s">
        <v>312</v>
      </c>
      <c r="AG145" s="260" t="s">
        <v>313</v>
      </c>
      <c r="BX145" s="379"/>
      <c r="BY145" s="261"/>
      <c r="BZ145" s="379"/>
      <c r="CA145" s="379"/>
      <c r="CB145" s="379"/>
      <c r="CC145" s="262"/>
    </row>
    <row r="146" spans="1:81" s="180" customFormat="1" ht="30">
      <c r="A146" s="119" t="s">
        <v>424</v>
      </c>
      <c r="B146" s="254"/>
      <c r="C146" s="254">
        <f>(E146+F146)*4+G146*9</f>
        <v>80.920000000000016</v>
      </c>
      <c r="D146" s="269" t="s">
        <v>425</v>
      </c>
      <c r="E146" s="270">
        <v>0.56000000000000005</v>
      </c>
      <c r="F146" s="270">
        <v>3.9200000000000004</v>
      </c>
      <c r="G146" s="270">
        <v>7.0000000000000009</v>
      </c>
      <c r="H146" s="270">
        <v>4.2</v>
      </c>
      <c r="I146" s="270">
        <v>18.48</v>
      </c>
      <c r="J146" s="270">
        <v>2.5</v>
      </c>
      <c r="K146" s="270">
        <v>0.3</v>
      </c>
      <c r="L146" s="270">
        <v>0</v>
      </c>
      <c r="M146" s="270">
        <v>50</v>
      </c>
      <c r="N146" s="270">
        <v>80</v>
      </c>
      <c r="O146" s="270">
        <v>120</v>
      </c>
      <c r="P146" s="270">
        <v>134.4</v>
      </c>
      <c r="Q146" s="270">
        <v>0</v>
      </c>
      <c r="R146" s="270">
        <v>65</v>
      </c>
      <c r="S146" s="270">
        <v>2</v>
      </c>
      <c r="T146" s="270">
        <v>0</v>
      </c>
      <c r="U146" s="270">
        <v>0</v>
      </c>
      <c r="V146" s="270">
        <v>0.1</v>
      </c>
      <c r="W146" s="270">
        <v>0.1</v>
      </c>
      <c r="X146" s="270">
        <v>0.1</v>
      </c>
      <c r="Y146" s="270">
        <v>0</v>
      </c>
      <c r="Z146" s="270">
        <v>8</v>
      </c>
      <c r="AA146" s="270">
        <v>0.1</v>
      </c>
      <c r="AB146" s="270">
        <v>0.1</v>
      </c>
      <c r="AC146" s="270">
        <v>12</v>
      </c>
      <c r="AD146" s="270">
        <v>160</v>
      </c>
      <c r="AE146" s="270">
        <v>0.5</v>
      </c>
      <c r="AF146" s="270">
        <v>0</v>
      </c>
      <c r="AG146" s="270">
        <v>3</v>
      </c>
      <c r="BX146" s="379"/>
      <c r="BY146" s="250"/>
      <c r="BZ146" s="379"/>
      <c r="CA146" s="379"/>
      <c r="CB146" s="379"/>
      <c r="CC146" s="251"/>
    </row>
    <row r="147" spans="1:81" s="180" customFormat="1" ht="30">
      <c r="A147" s="119" t="s">
        <v>426</v>
      </c>
      <c r="B147" s="254"/>
      <c r="C147" s="254">
        <f>(E147+F147)*4+G147*9</f>
        <v>63.4</v>
      </c>
      <c r="D147" s="269" t="s">
        <v>427</v>
      </c>
      <c r="E147" s="270">
        <v>5.5</v>
      </c>
      <c r="F147" s="270">
        <v>3.6</v>
      </c>
      <c r="G147" s="270">
        <v>3</v>
      </c>
      <c r="H147" s="270">
        <v>1.8</v>
      </c>
      <c r="I147" s="270">
        <v>14</v>
      </c>
      <c r="J147" s="270">
        <v>1</v>
      </c>
      <c r="K147" s="270">
        <v>0.1</v>
      </c>
      <c r="L147" s="270">
        <v>0</v>
      </c>
      <c r="M147" s="270">
        <v>47.5</v>
      </c>
      <c r="N147" s="270">
        <v>12</v>
      </c>
      <c r="O147" s="270">
        <v>81</v>
      </c>
      <c r="P147" s="270">
        <v>127</v>
      </c>
      <c r="Q147" s="270"/>
      <c r="R147" s="270">
        <f>174*0.3</f>
        <v>52.199999999999996</v>
      </c>
      <c r="S147" s="270">
        <v>0.1</v>
      </c>
      <c r="T147" s="270">
        <v>0</v>
      </c>
      <c r="U147" s="270">
        <v>0</v>
      </c>
      <c r="V147" s="270">
        <v>0</v>
      </c>
      <c r="W147" s="270">
        <v>0.2</v>
      </c>
      <c r="X147" s="270">
        <v>0.1</v>
      </c>
      <c r="Y147" s="270">
        <v>0</v>
      </c>
      <c r="Z147" s="270">
        <v>5.8</v>
      </c>
      <c r="AA147" s="270">
        <v>0.1</v>
      </c>
      <c r="AB147" s="270">
        <v>0.1</v>
      </c>
      <c r="AC147" s="270">
        <v>12</v>
      </c>
      <c r="AD147" s="270">
        <v>161</v>
      </c>
      <c r="AE147" s="270">
        <v>0.5</v>
      </c>
      <c r="AF147" s="270">
        <v>0</v>
      </c>
      <c r="AG147" s="270">
        <v>3.3</v>
      </c>
      <c r="BX147" s="379"/>
      <c r="BY147" s="250"/>
      <c r="BZ147" s="379"/>
      <c r="CA147" s="379"/>
      <c r="CB147" s="379"/>
      <c r="CC147" s="251"/>
    </row>
    <row r="148" spans="1:81" s="180" customFormat="1">
      <c r="A148" s="119" t="s">
        <v>428</v>
      </c>
      <c r="B148" s="254"/>
      <c r="C148" s="254">
        <f>(E148+F148)*4+G148*9</f>
        <v>109</v>
      </c>
      <c r="D148" s="269" t="s">
        <v>429</v>
      </c>
      <c r="E148" s="270">
        <v>0</v>
      </c>
      <c r="F148" s="270">
        <v>7</v>
      </c>
      <c r="G148" s="270">
        <v>9</v>
      </c>
      <c r="H148" s="270">
        <v>6</v>
      </c>
      <c r="I148" s="180">
        <v>30</v>
      </c>
      <c r="J148" s="270">
        <v>2.7</v>
      </c>
      <c r="K148" s="270">
        <v>0.3</v>
      </c>
      <c r="L148" s="270">
        <v>0</v>
      </c>
      <c r="M148" s="270">
        <v>176</v>
      </c>
      <c r="N148" s="270">
        <v>50</v>
      </c>
      <c r="O148" s="270">
        <v>250</v>
      </c>
      <c r="P148" s="270">
        <v>204</v>
      </c>
      <c r="Q148" s="270"/>
      <c r="R148" s="270">
        <v>70</v>
      </c>
      <c r="S148" s="270">
        <v>0.2</v>
      </c>
      <c r="T148" s="270">
        <v>0</v>
      </c>
      <c r="U148" s="270">
        <v>0</v>
      </c>
      <c r="V148" s="270">
        <v>0</v>
      </c>
      <c r="W148" s="270">
        <v>0</v>
      </c>
      <c r="X148" s="270">
        <v>0.01</v>
      </c>
      <c r="Y148" s="270">
        <v>0</v>
      </c>
      <c r="Z148" s="270">
        <v>5</v>
      </c>
      <c r="AA148" s="270">
        <v>0.1</v>
      </c>
      <c r="AB148" s="270">
        <v>0.1</v>
      </c>
      <c r="AC148" s="270">
        <v>8</v>
      </c>
      <c r="AD148" s="270">
        <v>28</v>
      </c>
      <c r="AE148" s="270">
        <v>0.9</v>
      </c>
      <c r="AF148" s="270">
        <v>0</v>
      </c>
      <c r="AG148" s="270">
        <v>4</v>
      </c>
      <c r="BX148" s="379"/>
      <c r="BY148" s="250"/>
      <c r="BZ148" s="379"/>
      <c r="CA148" s="379"/>
      <c r="CB148" s="379"/>
      <c r="CC148" s="251"/>
    </row>
    <row r="149" spans="1:81" s="180" customFormat="1">
      <c r="A149" s="119" t="s">
        <v>430</v>
      </c>
      <c r="B149" s="254"/>
      <c r="C149" s="254">
        <f>(E149+F149)*4+G149*9</f>
        <v>64.599999999999994</v>
      </c>
      <c r="D149" s="269" t="s">
        <v>431</v>
      </c>
      <c r="E149" s="270">
        <v>0</v>
      </c>
      <c r="F149" s="270">
        <v>4</v>
      </c>
      <c r="G149" s="270">
        <v>5.4</v>
      </c>
      <c r="H149" s="270">
        <v>3.6</v>
      </c>
      <c r="I149" s="270">
        <v>18</v>
      </c>
      <c r="J149" s="270">
        <v>1.6</v>
      </c>
      <c r="K149" s="270">
        <v>0.2</v>
      </c>
      <c r="L149" s="270">
        <v>0</v>
      </c>
      <c r="M149" s="270">
        <v>106</v>
      </c>
      <c r="N149" s="270">
        <v>30</v>
      </c>
      <c r="O149" s="270">
        <v>180</v>
      </c>
      <c r="P149" s="270">
        <v>123</v>
      </c>
      <c r="Q149" s="270"/>
      <c r="R149" s="270">
        <v>46</v>
      </c>
      <c r="S149" s="270">
        <v>0</v>
      </c>
      <c r="T149" s="270">
        <v>0</v>
      </c>
      <c r="U149" s="270">
        <v>0</v>
      </c>
      <c r="V149" s="270">
        <v>0</v>
      </c>
      <c r="W149" s="270">
        <v>0.2</v>
      </c>
      <c r="X149" s="270">
        <v>0</v>
      </c>
      <c r="Y149" s="270">
        <v>0</v>
      </c>
      <c r="Z149" s="270">
        <v>3</v>
      </c>
      <c r="AA149" s="270">
        <v>0.1</v>
      </c>
      <c r="AB149" s="270">
        <v>0.1</v>
      </c>
      <c r="AC149" s="270">
        <v>8</v>
      </c>
      <c r="AD149" s="270">
        <v>28</v>
      </c>
      <c r="AE149" s="270">
        <v>0.9</v>
      </c>
      <c r="AF149" s="270">
        <v>0</v>
      </c>
      <c r="AG149" s="270">
        <v>3</v>
      </c>
      <c r="BX149" s="379"/>
      <c r="BY149" s="250"/>
      <c r="BZ149" s="379"/>
      <c r="CA149" s="379"/>
      <c r="CB149" s="379"/>
      <c r="CC149" s="251"/>
    </row>
    <row r="150" spans="1:81" s="180" customFormat="1" ht="30">
      <c r="A150" s="119" t="s">
        <v>432</v>
      </c>
      <c r="B150" s="254"/>
      <c r="C150" s="254">
        <f>(E150+F150)*4+G150*9</f>
        <v>33.72</v>
      </c>
      <c r="D150" s="269" t="s">
        <v>433</v>
      </c>
      <c r="E150" s="270">
        <v>0</v>
      </c>
      <c r="F150" s="270">
        <v>1.68</v>
      </c>
      <c r="G150" s="270">
        <v>3</v>
      </c>
      <c r="H150" s="270">
        <v>2</v>
      </c>
      <c r="I150" s="270">
        <v>11</v>
      </c>
      <c r="J150" s="270">
        <v>0.9</v>
      </c>
      <c r="K150" s="270">
        <v>0.1</v>
      </c>
      <c r="L150" s="270">
        <v>0</v>
      </c>
      <c r="M150" s="180">
        <v>126</v>
      </c>
      <c r="N150" s="270">
        <v>12</v>
      </c>
      <c r="O150" s="270">
        <v>88</v>
      </c>
      <c r="P150" s="270">
        <v>72</v>
      </c>
      <c r="Q150" s="270"/>
      <c r="R150" s="270">
        <v>5</v>
      </c>
      <c r="S150" s="270">
        <v>0</v>
      </c>
      <c r="T150" s="270">
        <v>0</v>
      </c>
      <c r="U150" s="270">
        <v>0</v>
      </c>
      <c r="V150" s="270">
        <v>0.05</v>
      </c>
      <c r="W150" s="270">
        <v>0.2</v>
      </c>
      <c r="X150" s="270">
        <v>0.03</v>
      </c>
      <c r="Y150" s="270">
        <v>0</v>
      </c>
      <c r="Z150" s="270">
        <v>3</v>
      </c>
      <c r="AA150" s="270">
        <v>0.03</v>
      </c>
      <c r="AB150" s="270">
        <v>0.03</v>
      </c>
      <c r="AC150" s="270">
        <v>4</v>
      </c>
      <c r="AD150" s="270">
        <v>10</v>
      </c>
      <c r="AE150" s="270">
        <v>0.5</v>
      </c>
      <c r="AF150" s="270">
        <v>0</v>
      </c>
      <c r="AG150" s="270">
        <v>3</v>
      </c>
      <c r="BX150" s="379"/>
      <c r="BY150" s="250"/>
      <c r="BZ150" s="379"/>
      <c r="CA150" s="379"/>
      <c r="CB150" s="379"/>
      <c r="CC150" s="251"/>
    </row>
    <row r="151" spans="1:81" s="180" customFormat="1">
      <c r="A151" s="194"/>
      <c r="B151" s="194"/>
      <c r="C151" s="194"/>
      <c r="D151" s="269"/>
      <c r="E151" s="270"/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  <c r="AA151" s="270"/>
      <c r="AB151" s="270"/>
      <c r="AC151" s="270"/>
      <c r="AD151" s="270"/>
      <c r="AE151" s="270"/>
      <c r="AF151" s="270"/>
      <c r="AG151" s="270"/>
      <c r="BX151" s="379"/>
      <c r="BY151" s="250"/>
      <c r="BZ151" s="379"/>
      <c r="CA151" s="379"/>
      <c r="CB151" s="379"/>
      <c r="CC151" s="251"/>
    </row>
    <row r="152" spans="1:81" s="180" customFormat="1">
      <c r="A152" s="194"/>
      <c r="B152" s="194"/>
      <c r="C152" s="194"/>
      <c r="D152" s="269"/>
      <c r="E152" s="270"/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  <c r="AA152" s="270"/>
      <c r="AB152" s="270"/>
      <c r="AC152" s="270"/>
      <c r="AD152" s="270"/>
      <c r="AE152" s="270"/>
      <c r="AF152" s="270"/>
      <c r="AG152" s="270"/>
      <c r="BX152" s="379"/>
      <c r="BY152" s="250"/>
      <c r="BZ152" s="379"/>
      <c r="CA152" s="379"/>
      <c r="CB152" s="379"/>
      <c r="CC152" s="251"/>
    </row>
    <row r="153" spans="1:81" s="260" customFormat="1">
      <c r="A153" s="264"/>
      <c r="B153" s="264"/>
      <c r="C153" s="264"/>
      <c r="D153" s="221" t="s">
        <v>114</v>
      </c>
      <c r="E153" s="271" t="s">
        <v>372</v>
      </c>
      <c r="F153" s="271" t="s">
        <v>336</v>
      </c>
      <c r="G153" s="271" t="s">
        <v>337</v>
      </c>
      <c r="H153" s="271" t="s">
        <v>338</v>
      </c>
      <c r="I153" s="271" t="s">
        <v>339</v>
      </c>
      <c r="J153" s="271" t="s">
        <v>78</v>
      </c>
      <c r="K153" s="271" t="s">
        <v>79</v>
      </c>
      <c r="L153" s="271" t="s">
        <v>83</v>
      </c>
      <c r="M153" s="271" t="s">
        <v>84</v>
      </c>
      <c r="N153" s="271" t="s">
        <v>341</v>
      </c>
      <c r="O153" s="271" t="s">
        <v>342</v>
      </c>
      <c r="P153" s="271" t="s">
        <v>343</v>
      </c>
      <c r="Q153" s="271" t="s">
        <v>300</v>
      </c>
      <c r="R153" s="271" t="s">
        <v>80</v>
      </c>
      <c r="S153" s="271" t="s">
        <v>252</v>
      </c>
      <c r="T153" s="271" t="s">
        <v>301</v>
      </c>
      <c r="U153" s="271" t="s">
        <v>302</v>
      </c>
      <c r="V153" s="271" t="s">
        <v>303</v>
      </c>
      <c r="W153" s="271" t="s">
        <v>304</v>
      </c>
      <c r="X153" s="271" t="s">
        <v>305</v>
      </c>
      <c r="Y153" s="271" t="s">
        <v>306</v>
      </c>
      <c r="Z153" s="271" t="s">
        <v>81</v>
      </c>
      <c r="AA153" s="271" t="s">
        <v>307</v>
      </c>
      <c r="AB153" s="271" t="s">
        <v>308</v>
      </c>
      <c r="AC153" s="271" t="s">
        <v>309</v>
      </c>
      <c r="AD153" s="271" t="s">
        <v>310</v>
      </c>
      <c r="AE153" s="260" t="s">
        <v>311</v>
      </c>
      <c r="AF153" s="260" t="s">
        <v>312</v>
      </c>
      <c r="AG153" s="260" t="s">
        <v>313</v>
      </c>
      <c r="BX153" s="379"/>
      <c r="BY153" s="261"/>
      <c r="BZ153" s="379"/>
      <c r="CA153" s="379"/>
      <c r="CB153" s="379"/>
      <c r="CC153" s="262"/>
    </row>
    <row r="154" spans="1:81" s="180" customFormat="1">
      <c r="A154" s="194"/>
      <c r="B154" s="194"/>
      <c r="C154" s="194"/>
      <c r="D154" s="219" t="s">
        <v>363</v>
      </c>
      <c r="E154" s="272">
        <v>13.532558139534888</v>
      </c>
      <c r="F154" s="272">
        <v>1.1093023255813954</v>
      </c>
      <c r="G154" s="272">
        <v>0.99069767441860468</v>
      </c>
      <c r="H154" s="272">
        <v>0</v>
      </c>
      <c r="I154" s="272">
        <v>0</v>
      </c>
      <c r="J154" s="272">
        <v>0</v>
      </c>
      <c r="K154" s="272">
        <v>0</v>
      </c>
      <c r="L154" s="272">
        <v>3.6599999999999993</v>
      </c>
      <c r="M154" s="272">
        <v>10.476744186046513</v>
      </c>
      <c r="N154" s="272">
        <v>0</v>
      </c>
      <c r="O154" s="272">
        <v>0</v>
      </c>
      <c r="P154" s="272">
        <v>43.930232558139537</v>
      </c>
      <c r="Q154" s="272">
        <v>0</v>
      </c>
      <c r="R154" s="272">
        <v>14.145348837209303</v>
      </c>
      <c r="S154" s="272">
        <v>21.476190476190474</v>
      </c>
      <c r="T154" s="272">
        <v>0</v>
      </c>
      <c r="U154" s="272">
        <v>0</v>
      </c>
      <c r="V154" s="272">
        <v>3.8139534883720939E-2</v>
      </c>
      <c r="W154" s="272">
        <v>5.1627906976744194E-2</v>
      </c>
      <c r="X154" s="272">
        <v>0.42325581395348838</v>
      </c>
      <c r="Y154" s="272">
        <v>0</v>
      </c>
      <c r="Z154" s="272">
        <v>0</v>
      </c>
      <c r="AA154" s="272">
        <v>0</v>
      </c>
      <c r="AB154" s="272">
        <v>1.3771428571428577</v>
      </c>
      <c r="AC154" s="272">
        <v>25.666666666666668</v>
      </c>
      <c r="AD154" s="272">
        <v>121.54390243902439</v>
      </c>
      <c r="AE154" s="272">
        <v>0.24399999999999997</v>
      </c>
      <c r="AF154" s="272">
        <v>0.17655172413793105</v>
      </c>
      <c r="AG154" s="272">
        <v>0</v>
      </c>
      <c r="BX154" s="379"/>
      <c r="BY154" s="250"/>
      <c r="BZ154" s="379"/>
      <c r="CA154" s="379"/>
      <c r="CB154" s="379"/>
      <c r="CC154" s="251"/>
    </row>
    <row r="155" spans="1:81" s="180" customFormat="1">
      <c r="A155" s="194"/>
      <c r="B155" s="194"/>
      <c r="C155" s="194"/>
      <c r="D155" s="219"/>
      <c r="E155" s="272"/>
      <c r="F155" s="272"/>
      <c r="G155" s="272"/>
      <c r="H155" s="272"/>
      <c r="I155" s="272"/>
      <c r="J155" s="272"/>
      <c r="K155" s="272"/>
      <c r="L155" s="272"/>
      <c r="M155" s="272"/>
      <c r="N155" s="273"/>
      <c r="O155" s="273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4"/>
      <c r="AF155" s="274"/>
      <c r="AG155" s="274"/>
      <c r="BX155" s="379"/>
      <c r="BY155" s="250"/>
      <c r="BZ155" s="379"/>
      <c r="CA155" s="379"/>
      <c r="CB155" s="379"/>
      <c r="CC155" s="251"/>
    </row>
    <row r="156" spans="1:81" s="180" customFormat="1">
      <c r="A156" s="194"/>
      <c r="B156" s="194"/>
      <c r="C156" s="194"/>
      <c r="D156" s="221" t="s">
        <v>434</v>
      </c>
      <c r="E156" s="272"/>
      <c r="F156" s="272"/>
      <c r="G156" s="272"/>
      <c r="H156" s="272"/>
      <c r="I156" s="272"/>
      <c r="J156" s="272"/>
      <c r="K156" s="272"/>
      <c r="L156" s="272"/>
      <c r="M156" s="272"/>
      <c r="N156" s="273"/>
      <c r="O156" s="273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4"/>
      <c r="AF156" s="274"/>
      <c r="AG156" s="274"/>
      <c r="BX156" s="379"/>
      <c r="BY156" s="250"/>
      <c r="BZ156" s="379"/>
      <c r="CA156" s="379"/>
      <c r="CB156" s="379"/>
      <c r="CC156" s="251"/>
    </row>
    <row r="157" spans="1:81" s="180" customFormat="1">
      <c r="A157" s="194"/>
      <c r="B157" s="194"/>
      <c r="C157" s="194"/>
      <c r="D157" s="269" t="s">
        <v>435</v>
      </c>
      <c r="E157" s="272">
        <v>5</v>
      </c>
      <c r="F157" s="272">
        <v>0</v>
      </c>
      <c r="G157" s="272">
        <v>0</v>
      </c>
      <c r="H157" s="272">
        <v>0</v>
      </c>
      <c r="I157" s="272">
        <v>0</v>
      </c>
      <c r="J157" s="272">
        <v>0</v>
      </c>
      <c r="K157" s="272">
        <v>0</v>
      </c>
      <c r="L157" s="272">
        <v>0</v>
      </c>
      <c r="M157" s="272">
        <v>0</v>
      </c>
      <c r="N157" s="272">
        <v>0</v>
      </c>
      <c r="O157" s="272">
        <v>0</v>
      </c>
      <c r="P157" s="272">
        <v>0</v>
      </c>
      <c r="Q157" s="272">
        <v>5</v>
      </c>
      <c r="R157" s="272">
        <v>0</v>
      </c>
      <c r="S157" s="272">
        <v>0</v>
      </c>
      <c r="T157" s="272">
        <v>0</v>
      </c>
      <c r="U157" s="272">
        <v>0</v>
      </c>
      <c r="V157" s="272">
        <v>0</v>
      </c>
      <c r="W157" s="272">
        <v>0</v>
      </c>
      <c r="X157" s="272">
        <v>0</v>
      </c>
      <c r="Y157" s="272">
        <v>0</v>
      </c>
      <c r="Z157" s="272">
        <v>0</v>
      </c>
      <c r="AA157" s="272">
        <v>0</v>
      </c>
      <c r="AB157" s="272">
        <v>0</v>
      </c>
      <c r="AC157" s="272">
        <v>0</v>
      </c>
      <c r="AD157" s="272">
        <v>0</v>
      </c>
      <c r="AE157" s="272">
        <v>0</v>
      </c>
      <c r="AF157" s="272">
        <v>0</v>
      </c>
      <c r="AG157" s="272">
        <v>0</v>
      </c>
      <c r="BX157" s="379"/>
      <c r="BY157" s="250"/>
      <c r="BZ157" s="379"/>
      <c r="CA157" s="379"/>
      <c r="CB157" s="379"/>
      <c r="CC157" s="251"/>
    </row>
    <row r="158" spans="1:81" s="180" customFormat="1">
      <c r="A158" s="194"/>
      <c r="B158" s="194"/>
      <c r="C158" s="194"/>
      <c r="D158" s="269" t="s">
        <v>436</v>
      </c>
      <c r="E158" s="272">
        <f>14.2/3</f>
        <v>4.7333333333333334</v>
      </c>
      <c r="F158" s="272">
        <v>0</v>
      </c>
      <c r="G158" s="272">
        <v>0</v>
      </c>
      <c r="H158" s="272">
        <v>0</v>
      </c>
      <c r="I158" s="272">
        <v>0</v>
      </c>
      <c r="J158" s="272">
        <v>0</v>
      </c>
      <c r="K158" s="272">
        <v>0</v>
      </c>
      <c r="L158" s="272">
        <v>0</v>
      </c>
      <c r="M158" s="272">
        <v>0</v>
      </c>
      <c r="N158" s="272">
        <v>0</v>
      </c>
      <c r="O158" s="272">
        <v>0</v>
      </c>
      <c r="P158" s="272">
        <v>0</v>
      </c>
      <c r="Q158" s="272">
        <f>12.6/3</f>
        <v>4.2</v>
      </c>
      <c r="R158" s="272">
        <v>0</v>
      </c>
      <c r="S158" s="272">
        <f>1.8/3</f>
        <v>0.6</v>
      </c>
      <c r="T158" s="272">
        <v>0</v>
      </c>
      <c r="U158" s="272">
        <v>0</v>
      </c>
      <c r="V158" s="272">
        <v>0</v>
      </c>
      <c r="W158" s="272">
        <f>0.1/3</f>
        <v>3.3333333333333333E-2</v>
      </c>
      <c r="X158" s="272">
        <v>0</v>
      </c>
      <c r="Y158" s="272">
        <v>0</v>
      </c>
      <c r="Z158" s="272">
        <f>2.2/3</f>
        <v>0.73333333333333339</v>
      </c>
      <c r="AA158" s="272">
        <v>0</v>
      </c>
      <c r="AB158" s="272">
        <f>0.1/3</f>
        <v>3.3333333333333333E-2</v>
      </c>
      <c r="AC158" s="272">
        <v>0</v>
      </c>
      <c r="AD158" s="272">
        <f>15/3</f>
        <v>5</v>
      </c>
      <c r="AE158" s="272">
        <v>0</v>
      </c>
      <c r="AF158" s="272">
        <v>0</v>
      </c>
      <c r="AG158" s="272">
        <v>0</v>
      </c>
      <c r="BX158" s="379"/>
      <c r="BY158" s="250"/>
      <c r="BZ158" s="379"/>
      <c r="CA158" s="379"/>
      <c r="CB158" s="379"/>
      <c r="CC158" s="251"/>
    </row>
    <row r="159" spans="1:81" s="180" customFormat="1">
      <c r="A159" s="194"/>
      <c r="B159" s="194"/>
      <c r="C159" s="194"/>
      <c r="D159" s="269" t="s">
        <v>437</v>
      </c>
      <c r="E159" s="272">
        <f>13/3</f>
        <v>4.333333333333333</v>
      </c>
      <c r="F159" s="272">
        <v>0</v>
      </c>
      <c r="G159" s="272">
        <v>0</v>
      </c>
      <c r="H159" s="272">
        <v>0</v>
      </c>
      <c r="I159" s="272">
        <v>0</v>
      </c>
      <c r="J159" s="272">
        <v>0</v>
      </c>
      <c r="K159" s="272">
        <v>0</v>
      </c>
      <c r="L159" s="272">
        <v>0</v>
      </c>
      <c r="M159" s="272">
        <f>6/3</f>
        <v>2</v>
      </c>
      <c r="N159" s="272">
        <v>0</v>
      </c>
      <c r="O159" s="272">
        <v>0</v>
      </c>
      <c r="P159" s="272">
        <f>1/3</f>
        <v>0.33333333333333331</v>
      </c>
      <c r="Q159" s="272">
        <v>0</v>
      </c>
      <c r="R159" s="272">
        <v>0</v>
      </c>
      <c r="S159" s="272">
        <f>0.2/3</f>
        <v>6.6666666666666666E-2</v>
      </c>
      <c r="T159" s="272">
        <v>0</v>
      </c>
      <c r="U159" s="272">
        <v>0</v>
      </c>
      <c r="V159" s="272">
        <v>0</v>
      </c>
      <c r="W159" s="272">
        <v>0</v>
      </c>
      <c r="X159" s="272">
        <v>0</v>
      </c>
      <c r="Y159" s="272">
        <v>0</v>
      </c>
      <c r="Z159" s="272">
        <f>0.4/3</f>
        <v>0.13333333333333333</v>
      </c>
      <c r="AA159" s="272">
        <v>0</v>
      </c>
      <c r="AB159" s="272">
        <f>0.03/3</f>
        <v>0.01</v>
      </c>
      <c r="AC159" s="272">
        <v>0</v>
      </c>
      <c r="AD159" s="272">
        <f>10/3</f>
        <v>3.3333333333333335</v>
      </c>
      <c r="AE159" s="272">
        <v>0</v>
      </c>
      <c r="AF159" s="272">
        <v>0</v>
      </c>
      <c r="AG159" s="272">
        <v>0</v>
      </c>
      <c r="BX159" s="379"/>
      <c r="BY159" s="250"/>
      <c r="BZ159" s="379"/>
      <c r="CA159" s="379"/>
      <c r="CB159" s="379"/>
      <c r="CC159" s="251"/>
    </row>
    <row r="160" spans="1:81" s="180" customFormat="1">
      <c r="A160" s="194"/>
      <c r="B160" s="194"/>
      <c r="C160" s="194"/>
      <c r="D160" s="219" t="s">
        <v>363</v>
      </c>
      <c r="E160" s="270">
        <f>E157</f>
        <v>5</v>
      </c>
      <c r="F160" s="270">
        <f t="shared" ref="F160:AG160" si="28">F157</f>
        <v>0</v>
      </c>
      <c r="G160" s="270">
        <f t="shared" si="28"/>
        <v>0</v>
      </c>
      <c r="H160" s="270">
        <f t="shared" si="28"/>
        <v>0</v>
      </c>
      <c r="I160" s="270">
        <f t="shared" si="28"/>
        <v>0</v>
      </c>
      <c r="J160" s="270">
        <f t="shared" si="28"/>
        <v>0</v>
      </c>
      <c r="K160" s="270">
        <f t="shared" si="28"/>
        <v>0</v>
      </c>
      <c r="L160" s="270">
        <f t="shared" si="28"/>
        <v>0</v>
      </c>
      <c r="M160" s="270">
        <f t="shared" si="28"/>
        <v>0</v>
      </c>
      <c r="N160" s="270">
        <f t="shared" si="28"/>
        <v>0</v>
      </c>
      <c r="O160" s="270">
        <f t="shared" si="28"/>
        <v>0</v>
      </c>
      <c r="P160" s="270">
        <f t="shared" si="28"/>
        <v>0</v>
      </c>
      <c r="Q160" s="270">
        <f t="shared" si="28"/>
        <v>5</v>
      </c>
      <c r="R160" s="270">
        <f t="shared" si="28"/>
        <v>0</v>
      </c>
      <c r="S160" s="270">
        <f t="shared" si="28"/>
        <v>0</v>
      </c>
      <c r="T160" s="270">
        <f t="shared" si="28"/>
        <v>0</v>
      </c>
      <c r="U160" s="270">
        <f t="shared" si="28"/>
        <v>0</v>
      </c>
      <c r="V160" s="270">
        <f t="shared" si="28"/>
        <v>0</v>
      </c>
      <c r="W160" s="270">
        <f t="shared" si="28"/>
        <v>0</v>
      </c>
      <c r="X160" s="270">
        <f t="shared" si="28"/>
        <v>0</v>
      </c>
      <c r="Y160" s="270">
        <f t="shared" si="28"/>
        <v>0</v>
      </c>
      <c r="Z160" s="270">
        <f t="shared" si="28"/>
        <v>0</v>
      </c>
      <c r="AA160" s="270">
        <f t="shared" si="28"/>
        <v>0</v>
      </c>
      <c r="AB160" s="270">
        <f t="shared" si="28"/>
        <v>0</v>
      </c>
      <c r="AC160" s="270">
        <f t="shared" si="28"/>
        <v>0</v>
      </c>
      <c r="AD160" s="270">
        <f t="shared" si="28"/>
        <v>0</v>
      </c>
      <c r="AE160" s="270">
        <f t="shared" si="28"/>
        <v>0</v>
      </c>
      <c r="AF160" s="270">
        <f t="shared" si="28"/>
        <v>0</v>
      </c>
      <c r="AG160" s="270">
        <f t="shared" si="28"/>
        <v>0</v>
      </c>
      <c r="BX160" s="379"/>
      <c r="BY160" s="250"/>
      <c r="BZ160" s="379"/>
      <c r="CA160" s="379"/>
      <c r="CB160" s="379"/>
      <c r="CC160" s="251"/>
    </row>
    <row r="161" spans="1:87" s="180" customFormat="1">
      <c r="A161" s="194"/>
      <c r="B161" s="194"/>
      <c r="C161" s="194"/>
      <c r="D161" s="219"/>
      <c r="E161" s="270"/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  <c r="AA161" s="270"/>
      <c r="AB161" s="270"/>
      <c r="AC161" s="270"/>
      <c r="AD161" s="270"/>
      <c r="AE161" s="270"/>
      <c r="AF161" s="270"/>
      <c r="AG161" s="270"/>
      <c r="BX161" s="379"/>
      <c r="BY161" s="250"/>
      <c r="BZ161" s="379"/>
      <c r="CA161" s="379"/>
      <c r="CB161" s="379"/>
      <c r="CC161" s="251"/>
    </row>
    <row r="162" spans="1:87" s="180" customFormat="1">
      <c r="A162" s="194"/>
      <c r="B162" s="194"/>
      <c r="C162" s="194"/>
      <c r="D162" s="219"/>
      <c r="E162" s="270"/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  <c r="AA162" s="270"/>
      <c r="AB162" s="270"/>
      <c r="AC162" s="270"/>
      <c r="AD162" s="270"/>
      <c r="AE162" s="270"/>
      <c r="AF162" s="270"/>
      <c r="AG162" s="270"/>
      <c r="BX162" s="379"/>
      <c r="BY162" s="250"/>
      <c r="BZ162" s="379"/>
      <c r="CA162" s="379"/>
      <c r="CB162" s="379"/>
      <c r="CC162" s="251"/>
    </row>
    <row r="163" spans="1:87" s="257" customFormat="1">
      <c r="A163" s="258"/>
      <c r="B163" s="258"/>
      <c r="C163" s="258"/>
      <c r="D163" s="221" t="s">
        <v>438</v>
      </c>
      <c r="E163" s="260" t="s">
        <v>372</v>
      </c>
      <c r="F163" s="260" t="s">
        <v>336</v>
      </c>
      <c r="G163" s="260" t="s">
        <v>337</v>
      </c>
      <c r="H163" s="260" t="s">
        <v>338</v>
      </c>
      <c r="I163" s="260" t="s">
        <v>339</v>
      </c>
      <c r="J163" s="266" t="s">
        <v>78</v>
      </c>
      <c r="K163" s="257" t="s">
        <v>79</v>
      </c>
      <c r="L163" s="257" t="s">
        <v>83</v>
      </c>
      <c r="M163" s="257" t="s">
        <v>84</v>
      </c>
      <c r="N163" s="260" t="s">
        <v>341</v>
      </c>
      <c r="O163" s="260" t="s">
        <v>342</v>
      </c>
      <c r="P163" s="260" t="s">
        <v>343</v>
      </c>
      <c r="Q163" s="257" t="s">
        <v>300</v>
      </c>
      <c r="R163" s="257" t="s">
        <v>80</v>
      </c>
      <c r="S163" s="257" t="s">
        <v>252</v>
      </c>
      <c r="T163" s="257" t="s">
        <v>301</v>
      </c>
      <c r="U163" s="267" t="s">
        <v>302</v>
      </c>
      <c r="V163" s="267" t="s">
        <v>303</v>
      </c>
      <c r="W163" s="267" t="s">
        <v>304</v>
      </c>
      <c r="X163" s="267" t="s">
        <v>305</v>
      </c>
      <c r="Y163" s="267" t="s">
        <v>306</v>
      </c>
      <c r="Z163" s="267" t="s">
        <v>81</v>
      </c>
      <c r="AA163" s="267" t="s">
        <v>307</v>
      </c>
      <c r="AB163" s="267" t="s">
        <v>308</v>
      </c>
      <c r="AC163" s="267" t="s">
        <v>309</v>
      </c>
      <c r="AD163" s="267" t="s">
        <v>310</v>
      </c>
      <c r="AE163" s="268" t="s">
        <v>311</v>
      </c>
      <c r="AF163" s="260" t="s">
        <v>312</v>
      </c>
      <c r="AG163" s="260" t="s">
        <v>313</v>
      </c>
      <c r="AH163" s="260"/>
      <c r="AI163" s="260"/>
      <c r="AJ163" s="260"/>
      <c r="AK163" s="260"/>
      <c r="AL163" s="260"/>
      <c r="AM163" s="260"/>
      <c r="AN163" s="260"/>
      <c r="AO163" s="260"/>
      <c r="AP163" s="260"/>
      <c r="AQ163" s="260"/>
      <c r="AR163" s="260"/>
      <c r="AS163" s="260"/>
      <c r="BR163" s="260"/>
      <c r="BS163" s="260"/>
      <c r="BT163" s="260"/>
      <c r="BU163" s="260"/>
      <c r="BV163" s="260"/>
      <c r="BW163" s="260"/>
      <c r="BX163" s="379"/>
      <c r="BY163" s="260"/>
      <c r="BZ163" s="379"/>
      <c r="CA163" s="379"/>
      <c r="CB163" s="379"/>
      <c r="CC163" s="260"/>
      <c r="CD163" s="260"/>
      <c r="CE163" s="260"/>
      <c r="CF163" s="260"/>
      <c r="CG163" s="260"/>
      <c r="CH163" s="260"/>
      <c r="CI163" s="260"/>
    </row>
    <row r="164" spans="1:87">
      <c r="D164" s="120" t="s">
        <v>439</v>
      </c>
      <c r="E164" s="180">
        <v>4.3</v>
      </c>
      <c r="F164" s="132">
        <v>7</v>
      </c>
      <c r="G164" s="132">
        <v>14</v>
      </c>
      <c r="H164" s="132">
        <v>2.1</v>
      </c>
      <c r="I164" s="132">
        <v>0</v>
      </c>
      <c r="J164" s="202">
        <v>6.8</v>
      </c>
      <c r="K164" s="132">
        <v>4.5</v>
      </c>
      <c r="L164" s="132">
        <v>2.6</v>
      </c>
      <c r="M164" s="132">
        <v>3</v>
      </c>
      <c r="N164" s="132">
        <v>0</v>
      </c>
      <c r="O164" s="132">
        <v>4250</v>
      </c>
      <c r="P164" s="132">
        <v>17</v>
      </c>
      <c r="Q164" s="132">
        <v>1.2</v>
      </c>
      <c r="R164" s="132">
        <v>0</v>
      </c>
      <c r="S164" s="132">
        <v>0.2</v>
      </c>
      <c r="T164" s="132">
        <v>0</v>
      </c>
      <c r="U164" s="132">
        <v>1.9</v>
      </c>
      <c r="V164" s="204">
        <v>0</v>
      </c>
      <c r="W164" s="204">
        <v>0</v>
      </c>
      <c r="X164" s="204">
        <v>3.9</v>
      </c>
      <c r="Y164" s="204">
        <v>0.1</v>
      </c>
      <c r="Z164" s="132">
        <v>33.6</v>
      </c>
      <c r="AA164" s="132"/>
      <c r="AB164" s="204"/>
      <c r="AC164" s="204">
        <v>49</v>
      </c>
      <c r="AD164" s="204">
        <v>203</v>
      </c>
      <c r="AE164" s="205">
        <v>0.9</v>
      </c>
      <c r="AF164" s="180">
        <v>0.1</v>
      </c>
      <c r="AG164" s="180">
        <v>0.9</v>
      </c>
      <c r="BR164" s="180"/>
      <c r="BS164" s="180"/>
      <c r="BT164" s="180"/>
      <c r="BU164" s="180"/>
      <c r="BV164" s="180"/>
      <c r="BW164" s="180"/>
      <c r="BX164" s="379"/>
      <c r="BY164" s="180"/>
      <c r="BZ164" s="379"/>
      <c r="CA164" s="379"/>
      <c r="CB164" s="379"/>
      <c r="CC164" s="180"/>
      <c r="CD164" s="180"/>
      <c r="CE164" s="180"/>
      <c r="CF164" s="180"/>
      <c r="CG164" s="180"/>
      <c r="CH164" s="180"/>
      <c r="CI164" s="180"/>
    </row>
    <row r="165" spans="1:87">
      <c r="D165" s="120" t="s">
        <v>440</v>
      </c>
      <c r="E165" s="180">
        <v>5</v>
      </c>
      <c r="F165" s="132">
        <v>6</v>
      </c>
      <c r="G165" s="132">
        <v>14.9</v>
      </c>
      <c r="H165" s="132">
        <v>1.2</v>
      </c>
      <c r="I165" s="132">
        <v>0</v>
      </c>
      <c r="J165" s="202">
        <v>9.9</v>
      </c>
      <c r="K165" s="132">
        <v>3.8</v>
      </c>
      <c r="L165" s="132">
        <v>3</v>
      </c>
      <c r="M165" s="132">
        <v>0</v>
      </c>
      <c r="N165" s="132">
        <v>0</v>
      </c>
      <c r="O165" s="132">
        <v>3819</v>
      </c>
      <c r="P165" s="132">
        <v>82</v>
      </c>
      <c r="Q165" s="132"/>
      <c r="R165" s="132"/>
      <c r="S165" s="132"/>
      <c r="T165" s="132">
        <v>0</v>
      </c>
      <c r="U165" s="132">
        <v>7.3</v>
      </c>
      <c r="V165" s="204"/>
      <c r="W165" s="204"/>
      <c r="X165" s="204"/>
      <c r="Y165" s="204"/>
      <c r="Z165" s="132"/>
      <c r="AA165" s="132"/>
      <c r="AB165" s="204">
        <v>1.03</v>
      </c>
      <c r="AC165" s="204">
        <v>77</v>
      </c>
      <c r="AD165" s="204">
        <v>198</v>
      </c>
      <c r="AE165" s="205">
        <v>0.9</v>
      </c>
      <c r="AF165" s="180">
        <v>0.3</v>
      </c>
      <c r="AG165" s="180">
        <v>0.8</v>
      </c>
      <c r="BR165" s="180"/>
      <c r="BS165" s="180"/>
      <c r="BT165" s="180"/>
      <c r="BU165" s="180"/>
      <c r="BV165" s="180"/>
      <c r="BW165" s="180"/>
      <c r="BX165" s="379"/>
      <c r="BY165" s="180"/>
      <c r="BZ165" s="379"/>
      <c r="CA165" s="379"/>
      <c r="CB165" s="379"/>
      <c r="CC165" s="180"/>
      <c r="CD165" s="180"/>
      <c r="CE165" s="180"/>
      <c r="CF165" s="180"/>
      <c r="CG165" s="180"/>
      <c r="CH165" s="180"/>
      <c r="CI165" s="180"/>
    </row>
    <row r="166" spans="1:87">
      <c r="D166" s="120" t="s">
        <v>441</v>
      </c>
      <c r="E166" s="180">
        <v>8</v>
      </c>
      <c r="F166" s="132">
        <v>5</v>
      </c>
      <c r="G166" s="132">
        <v>13.4</v>
      </c>
      <c r="H166" s="132">
        <v>2.4</v>
      </c>
      <c r="I166" s="132">
        <v>0</v>
      </c>
      <c r="J166" s="202">
        <v>7.8</v>
      </c>
      <c r="K166" s="132">
        <v>2.4</v>
      </c>
      <c r="L166" s="132">
        <v>0.9</v>
      </c>
      <c r="M166" s="132">
        <v>4</v>
      </c>
      <c r="N166" s="132">
        <v>19</v>
      </c>
      <c r="O166" s="132">
        <v>2374</v>
      </c>
      <c r="P166" s="132">
        <v>12</v>
      </c>
      <c r="Q166" s="132">
        <v>1</v>
      </c>
      <c r="R166" s="132"/>
      <c r="S166" s="132"/>
      <c r="T166" s="132">
        <v>0</v>
      </c>
      <c r="U166" s="132"/>
      <c r="V166" s="204"/>
      <c r="W166" s="204"/>
      <c r="X166" s="204"/>
      <c r="Y166" s="204">
        <v>0.1</v>
      </c>
      <c r="Z166" s="204">
        <v>7</v>
      </c>
      <c r="AA166" s="204"/>
      <c r="AB166" s="204">
        <v>1.7</v>
      </c>
      <c r="AC166" s="204">
        <v>76</v>
      </c>
      <c r="AD166" s="204">
        <v>177</v>
      </c>
      <c r="AE166" s="205">
        <v>1.5</v>
      </c>
      <c r="AF166" s="180">
        <v>0.6</v>
      </c>
      <c r="AG166" s="180">
        <v>5.7</v>
      </c>
      <c r="BR166" s="180"/>
      <c r="BS166" s="180"/>
      <c r="BT166" s="180"/>
      <c r="BU166" s="180"/>
      <c r="BV166" s="180"/>
      <c r="BW166" s="180"/>
      <c r="BX166" s="379"/>
      <c r="BY166" s="180"/>
      <c r="BZ166" s="379"/>
      <c r="CA166" s="379"/>
      <c r="CB166" s="379"/>
      <c r="CC166" s="180"/>
      <c r="CD166" s="180"/>
      <c r="CE166" s="180"/>
      <c r="CF166" s="180"/>
      <c r="CG166" s="180"/>
      <c r="CH166" s="180"/>
      <c r="CI166" s="180"/>
    </row>
    <row r="167" spans="1:87">
      <c r="D167" s="120" t="s">
        <v>442</v>
      </c>
      <c r="E167" s="180">
        <v>8</v>
      </c>
      <c r="F167" s="132">
        <v>6</v>
      </c>
      <c r="G167" s="132">
        <v>13</v>
      </c>
      <c r="H167" s="201">
        <v>1.6</v>
      </c>
      <c r="I167" s="132">
        <v>0</v>
      </c>
      <c r="J167" s="202">
        <v>6.8</v>
      </c>
      <c r="K167" s="132">
        <v>3.9</v>
      </c>
      <c r="L167" s="132">
        <v>2.9</v>
      </c>
      <c r="M167" s="132">
        <v>3</v>
      </c>
      <c r="N167" s="132">
        <v>74</v>
      </c>
      <c r="O167" s="132">
        <v>3852</v>
      </c>
      <c r="P167" s="132">
        <v>31</v>
      </c>
      <c r="Q167" s="203">
        <v>2.2000000000000002</v>
      </c>
      <c r="R167" s="204"/>
      <c r="S167" s="204"/>
      <c r="T167" s="204">
        <v>0</v>
      </c>
      <c r="U167" s="204"/>
      <c r="V167" s="204">
        <v>0.2</v>
      </c>
      <c r="W167" s="204"/>
      <c r="X167" s="204"/>
      <c r="Y167" s="204">
        <v>0.4</v>
      </c>
      <c r="Z167" s="204"/>
      <c r="AA167" s="204"/>
      <c r="AB167" s="204">
        <v>1.2</v>
      </c>
      <c r="AC167" s="204">
        <v>34</v>
      </c>
      <c r="AD167" s="204">
        <v>294</v>
      </c>
      <c r="AE167" s="205">
        <v>0.6</v>
      </c>
      <c r="AF167" s="180">
        <v>0.4</v>
      </c>
      <c r="AG167" s="180">
        <v>2.6</v>
      </c>
      <c r="BR167" s="180"/>
      <c r="BS167" s="180"/>
      <c r="BT167" s="180"/>
      <c r="BU167" s="180"/>
      <c r="BV167" s="180"/>
      <c r="BW167" s="180"/>
      <c r="BX167" s="379"/>
      <c r="BY167" s="180"/>
      <c r="BZ167" s="379"/>
      <c r="CA167" s="379"/>
      <c r="CB167" s="379"/>
      <c r="CC167" s="180"/>
      <c r="CD167" s="180"/>
      <c r="CE167" s="180"/>
      <c r="CF167" s="180"/>
      <c r="CG167" s="180"/>
      <c r="CH167" s="180"/>
      <c r="CI167" s="180"/>
    </row>
    <row r="168" spans="1:87">
      <c r="D168" s="120" t="s">
        <v>443</v>
      </c>
      <c r="E168" s="180">
        <v>2.8</v>
      </c>
      <c r="F168" s="132">
        <v>6</v>
      </c>
      <c r="G168" s="132">
        <v>16</v>
      </c>
      <c r="H168" s="132">
        <v>0.94</v>
      </c>
      <c r="I168" s="132">
        <v>0</v>
      </c>
      <c r="J168" s="202">
        <v>4.2</v>
      </c>
      <c r="K168" s="132">
        <v>9.8000000000000007</v>
      </c>
      <c r="L168" s="132">
        <v>1.9</v>
      </c>
      <c r="M168" s="132">
        <v>0.6</v>
      </c>
      <c r="N168" s="132">
        <v>562</v>
      </c>
      <c r="O168" s="132">
        <v>9260</v>
      </c>
      <c r="P168" s="132">
        <v>17.100000000000001</v>
      </c>
      <c r="Q168" s="203">
        <v>0.3</v>
      </c>
      <c r="R168" s="204" t="s">
        <v>444</v>
      </c>
      <c r="S168" s="204" t="s">
        <v>444</v>
      </c>
      <c r="T168" s="204">
        <v>0</v>
      </c>
      <c r="U168" s="204" t="s">
        <v>444</v>
      </c>
      <c r="V168" s="204" t="s">
        <v>444</v>
      </c>
      <c r="W168" s="204" t="s">
        <v>444</v>
      </c>
      <c r="X168" s="204" t="s">
        <v>444</v>
      </c>
      <c r="Y168" s="204">
        <v>0.2</v>
      </c>
      <c r="Z168" s="204" t="s">
        <v>444</v>
      </c>
      <c r="AA168" s="204" t="s">
        <v>444</v>
      </c>
      <c r="AB168" s="204"/>
      <c r="AC168" s="204">
        <v>56.3</v>
      </c>
      <c r="AD168" s="204">
        <v>146</v>
      </c>
      <c r="AE168" s="205">
        <v>0.9</v>
      </c>
      <c r="AF168" s="180">
        <v>0.4</v>
      </c>
      <c r="AG168" s="180">
        <v>4.8</v>
      </c>
      <c r="BR168" s="180"/>
      <c r="BS168" s="180"/>
      <c r="BT168" s="180"/>
      <c r="BU168" s="180"/>
      <c r="BV168" s="180"/>
      <c r="BW168" s="180"/>
      <c r="BX168" s="379"/>
      <c r="BY168" s="180"/>
      <c r="BZ168" s="379"/>
      <c r="CA168" s="379"/>
      <c r="CB168" s="379"/>
      <c r="CC168" s="180"/>
      <c r="CD168" s="180"/>
      <c r="CE168" s="180"/>
      <c r="CF168" s="180"/>
      <c r="CG168" s="180"/>
      <c r="CH168" s="180"/>
      <c r="CI168" s="180"/>
    </row>
    <row r="169" spans="1:87" s="257" customFormat="1">
      <c r="A169" s="258"/>
      <c r="B169" s="258"/>
      <c r="C169" s="258"/>
      <c r="D169" s="258" t="s">
        <v>363</v>
      </c>
      <c r="E169" s="275">
        <f>AVERAGE(E164:E168)</f>
        <v>5.62</v>
      </c>
      <c r="F169" s="275">
        <f t="shared" ref="F169:AG169" si="29">AVERAGE(F164:F168)</f>
        <v>6</v>
      </c>
      <c r="G169" s="275">
        <f t="shared" si="29"/>
        <v>14.26</v>
      </c>
      <c r="H169" s="275">
        <f t="shared" si="29"/>
        <v>1.6479999999999997</v>
      </c>
      <c r="I169" s="275">
        <f t="shared" si="29"/>
        <v>0</v>
      </c>
      <c r="J169" s="275">
        <f t="shared" si="29"/>
        <v>7.1</v>
      </c>
      <c r="K169" s="275">
        <f t="shared" si="29"/>
        <v>4.8800000000000008</v>
      </c>
      <c r="L169" s="275">
        <f t="shared" si="29"/>
        <v>2.2600000000000002</v>
      </c>
      <c r="M169" s="275">
        <f t="shared" si="29"/>
        <v>2.12</v>
      </c>
      <c r="N169" s="275">
        <f t="shared" si="29"/>
        <v>131</v>
      </c>
      <c r="O169" s="275">
        <f t="shared" si="29"/>
        <v>4711</v>
      </c>
      <c r="P169" s="275">
        <f t="shared" si="29"/>
        <v>31.82</v>
      </c>
      <c r="Q169" s="260">
        <f t="shared" si="29"/>
        <v>1.175</v>
      </c>
      <c r="R169" s="260">
        <f t="shared" si="29"/>
        <v>0</v>
      </c>
      <c r="S169" s="260">
        <f t="shared" si="29"/>
        <v>0.2</v>
      </c>
      <c r="T169" s="260">
        <f t="shared" si="29"/>
        <v>0</v>
      </c>
      <c r="U169" s="260">
        <f t="shared" si="29"/>
        <v>4.5999999999999996</v>
      </c>
      <c r="V169" s="260">
        <f t="shared" si="29"/>
        <v>0.1</v>
      </c>
      <c r="W169" s="260">
        <f t="shared" si="29"/>
        <v>0</v>
      </c>
      <c r="X169" s="260">
        <f t="shared" si="29"/>
        <v>3.9</v>
      </c>
      <c r="Y169" s="260">
        <f t="shared" si="29"/>
        <v>0.2</v>
      </c>
      <c r="Z169" s="260">
        <f t="shared" si="29"/>
        <v>20.3</v>
      </c>
      <c r="AA169" s="260">
        <v>0</v>
      </c>
      <c r="AB169" s="260">
        <f t="shared" si="29"/>
        <v>1.3099999999999998</v>
      </c>
      <c r="AC169" s="260">
        <f t="shared" si="29"/>
        <v>58.46</v>
      </c>
      <c r="AD169" s="260">
        <f t="shared" si="29"/>
        <v>203.6</v>
      </c>
      <c r="AE169" s="260">
        <f t="shared" si="29"/>
        <v>0.96</v>
      </c>
      <c r="AF169" s="260">
        <f t="shared" si="29"/>
        <v>0.36</v>
      </c>
      <c r="AG169" s="260">
        <f t="shared" si="29"/>
        <v>2.96</v>
      </c>
      <c r="AH169" s="260"/>
      <c r="AI169" s="260"/>
      <c r="AJ169" s="260"/>
      <c r="AK169" s="260"/>
      <c r="AL169" s="260"/>
      <c r="AM169" s="260"/>
      <c r="AN169" s="260"/>
      <c r="AO169" s="260"/>
      <c r="AP169" s="260"/>
      <c r="AQ169" s="260"/>
      <c r="AR169" s="260"/>
      <c r="AS169" s="260"/>
      <c r="BR169" s="260"/>
      <c r="BS169" s="260"/>
      <c r="BT169" s="260"/>
      <c r="BU169" s="260"/>
      <c r="BV169" s="260"/>
      <c r="BW169" s="260"/>
      <c r="BX169" s="379"/>
      <c r="BY169" s="260"/>
      <c r="BZ169" s="379"/>
      <c r="CA169" s="379"/>
      <c r="CB169" s="379"/>
      <c r="CC169" s="260"/>
      <c r="CD169" s="260"/>
      <c r="CE169" s="260"/>
      <c r="CF169" s="260"/>
      <c r="CG169" s="260"/>
      <c r="CH169" s="260"/>
      <c r="CI169" s="260"/>
    </row>
    <row r="170" spans="1:87">
      <c r="D170" s="120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BR170" s="180"/>
      <c r="BS170" s="180"/>
      <c r="BT170" s="180"/>
      <c r="BU170" s="180"/>
      <c r="BV170" s="180"/>
      <c r="BW170" s="180"/>
      <c r="BX170" s="379"/>
      <c r="BY170" s="180"/>
      <c r="BZ170" s="379"/>
      <c r="CA170" s="379"/>
      <c r="CB170" s="379"/>
      <c r="CC170" s="180"/>
      <c r="CD170" s="180"/>
      <c r="CE170" s="180"/>
      <c r="CF170" s="180"/>
      <c r="CG170" s="180"/>
      <c r="CH170" s="180"/>
      <c r="CI170" s="180"/>
    </row>
    <row r="171" spans="1:87">
      <c r="D171" s="276" t="s">
        <v>115</v>
      </c>
      <c r="F171" s="277"/>
      <c r="G171" s="277"/>
      <c r="H171" s="277"/>
      <c r="I171" s="277"/>
      <c r="J171" s="180"/>
      <c r="K171" s="180"/>
      <c r="L171" s="180"/>
      <c r="M171" s="180"/>
      <c r="N171" s="180"/>
      <c r="O171" s="180"/>
      <c r="P171" s="180"/>
      <c r="BR171" s="180"/>
      <c r="BS171" s="180"/>
      <c r="BT171" s="180"/>
      <c r="BU171" s="180"/>
      <c r="BV171" s="180"/>
      <c r="BW171" s="180"/>
      <c r="BX171" s="379"/>
      <c r="BY171" s="250"/>
      <c r="BZ171" s="379"/>
      <c r="CA171" s="379"/>
      <c r="CB171" s="379"/>
      <c r="CC171" s="251"/>
      <c r="CD171" s="180"/>
      <c r="CE171" s="180"/>
      <c r="CF171" s="180"/>
      <c r="CG171" s="180"/>
      <c r="CH171" s="180"/>
      <c r="CI171" s="180"/>
    </row>
    <row r="172" spans="1:87">
      <c r="D172" s="137" t="s">
        <v>445</v>
      </c>
      <c r="E172" s="135" t="s">
        <v>446</v>
      </c>
      <c r="F172" s="277"/>
      <c r="H172" s="277"/>
      <c r="I172" s="277"/>
      <c r="J172" s="180"/>
      <c r="K172" s="180"/>
      <c r="L172" s="180"/>
      <c r="M172" s="180"/>
      <c r="N172" s="180"/>
      <c r="O172" s="180"/>
      <c r="P172" s="180"/>
      <c r="BR172" s="180"/>
      <c r="BS172" s="180"/>
      <c r="BT172" s="180"/>
      <c r="BU172" s="180"/>
      <c r="BV172" s="180"/>
      <c r="BW172" s="180"/>
      <c r="BX172" s="379"/>
      <c r="BY172" s="250"/>
      <c r="BZ172" s="379"/>
      <c r="CA172" s="379"/>
      <c r="CB172" s="379"/>
      <c r="CC172" s="251"/>
      <c r="CD172" s="180"/>
      <c r="CE172" s="180"/>
      <c r="CF172" s="180"/>
      <c r="CG172" s="180"/>
      <c r="CH172" s="180"/>
      <c r="CI172" s="180"/>
    </row>
    <row r="173" spans="1:87">
      <c r="D173" s="137" t="s">
        <v>447</v>
      </c>
      <c r="E173" s="138">
        <v>0</v>
      </c>
      <c r="F173" s="277"/>
      <c r="G173" s="277"/>
      <c r="H173" s="277"/>
      <c r="I173" s="277"/>
      <c r="J173" s="180"/>
      <c r="K173" s="180"/>
      <c r="L173" s="180"/>
      <c r="M173" s="180"/>
      <c r="N173" s="180"/>
      <c r="O173" s="180"/>
      <c r="P173" s="180"/>
      <c r="BR173" s="180"/>
      <c r="BS173" s="180"/>
      <c r="BT173" s="180"/>
      <c r="BU173" s="180"/>
      <c r="BV173" s="180"/>
      <c r="BW173" s="180"/>
      <c r="BX173" s="379"/>
      <c r="BY173" s="250"/>
      <c r="BZ173" s="379"/>
      <c r="CA173" s="379"/>
      <c r="CB173" s="379"/>
      <c r="CC173" s="251"/>
      <c r="CD173" s="180"/>
      <c r="CE173" s="180"/>
      <c r="CF173" s="180"/>
      <c r="CG173" s="180"/>
      <c r="CH173" s="180"/>
      <c r="CI173" s="180"/>
    </row>
    <row r="174" spans="1:87">
      <c r="D174" s="137" t="s">
        <v>448</v>
      </c>
      <c r="E174" s="138">
        <v>0</v>
      </c>
      <c r="F174" s="277"/>
      <c r="G174" s="277"/>
      <c r="H174" s="277"/>
      <c r="I174" s="277"/>
      <c r="J174" s="180"/>
      <c r="K174" s="180"/>
      <c r="L174" s="180"/>
      <c r="M174" s="180"/>
      <c r="N174" s="180"/>
      <c r="O174" s="180"/>
      <c r="P174" s="180"/>
      <c r="BR174" s="180"/>
      <c r="BS174" s="180"/>
      <c r="BT174" s="180"/>
      <c r="BU174" s="180"/>
      <c r="BV174" s="180"/>
      <c r="BW174" s="180"/>
      <c r="BX174" s="379"/>
      <c r="BY174" s="250"/>
      <c r="BZ174" s="379"/>
      <c r="CA174" s="379"/>
      <c r="CB174" s="379"/>
      <c r="CC174" s="251"/>
      <c r="CD174" s="180"/>
      <c r="CE174" s="180"/>
      <c r="CF174" s="180"/>
      <c r="CG174" s="180"/>
      <c r="CH174" s="180"/>
      <c r="CI174" s="180"/>
    </row>
    <row r="175" spans="1:87">
      <c r="D175" s="137" t="s">
        <v>449</v>
      </c>
      <c r="E175" s="138">
        <v>0</v>
      </c>
      <c r="F175" s="277"/>
      <c r="G175" s="277"/>
      <c r="H175" s="277"/>
      <c r="I175" s="277"/>
      <c r="J175" s="180"/>
      <c r="K175" s="180"/>
      <c r="L175" s="180"/>
      <c r="M175" s="180"/>
      <c r="N175" s="180"/>
      <c r="O175" s="180"/>
      <c r="P175" s="180"/>
      <c r="BR175" s="180"/>
      <c r="BS175" s="180"/>
      <c r="BT175" s="180"/>
      <c r="BU175" s="180"/>
      <c r="BV175" s="180"/>
      <c r="BW175" s="180"/>
      <c r="BX175" s="253"/>
      <c r="BY175" s="250"/>
      <c r="BZ175" s="379"/>
      <c r="CA175" s="379"/>
      <c r="CB175" s="379"/>
      <c r="CC175" s="251"/>
      <c r="CD175" s="180"/>
      <c r="CE175" s="180"/>
      <c r="CF175" s="180"/>
      <c r="CG175" s="180"/>
      <c r="CH175" s="180"/>
      <c r="CI175" s="180"/>
    </row>
    <row r="176" spans="1:87">
      <c r="D176" s="137" t="s">
        <v>450</v>
      </c>
      <c r="E176" s="138">
        <v>0</v>
      </c>
      <c r="F176" s="277"/>
      <c r="G176" s="277"/>
      <c r="H176" s="277"/>
      <c r="I176" s="277"/>
      <c r="J176" s="180"/>
      <c r="K176" s="180"/>
      <c r="L176" s="180"/>
      <c r="M176" s="180"/>
      <c r="N176" s="180"/>
      <c r="O176" s="180"/>
      <c r="P176" s="180"/>
      <c r="BR176" s="180"/>
      <c r="BS176" s="180"/>
      <c r="BT176" s="180"/>
      <c r="BU176" s="180"/>
      <c r="BV176" s="180"/>
      <c r="BW176" s="180"/>
      <c r="BX176" s="379"/>
      <c r="BY176" s="250"/>
      <c r="BZ176" s="379"/>
      <c r="CA176" s="379"/>
      <c r="CB176" s="379"/>
      <c r="CC176" s="251"/>
      <c r="CD176" s="180"/>
      <c r="CE176" s="180"/>
      <c r="CF176" s="180"/>
      <c r="CG176" s="180"/>
      <c r="CH176" s="180"/>
      <c r="CI176" s="180"/>
    </row>
    <row r="177" spans="1:87">
      <c r="D177" s="120" t="s">
        <v>451</v>
      </c>
      <c r="E177" s="138">
        <v>0</v>
      </c>
      <c r="F177" s="277"/>
      <c r="G177" s="277"/>
      <c r="H177" s="277"/>
      <c r="I177" s="277"/>
      <c r="J177" s="180"/>
      <c r="K177" s="180"/>
      <c r="L177" s="180"/>
      <c r="M177" s="180"/>
      <c r="N177" s="180"/>
      <c r="O177" s="180"/>
      <c r="P177" s="180"/>
      <c r="BR177" s="180"/>
      <c r="BS177" s="180"/>
      <c r="BT177" s="180"/>
      <c r="BU177" s="180"/>
      <c r="BV177" s="180"/>
      <c r="BW177" s="180"/>
      <c r="BX177" s="379"/>
      <c r="BY177" s="250"/>
      <c r="BZ177" s="379"/>
      <c r="CA177" s="379"/>
      <c r="CB177" s="379"/>
      <c r="CC177" s="251"/>
      <c r="CD177" s="180"/>
      <c r="CE177" s="180"/>
      <c r="CF177" s="180"/>
      <c r="CG177" s="180"/>
      <c r="CH177" s="180"/>
      <c r="CI177" s="180"/>
    </row>
    <row r="178" spans="1:87" ht="45">
      <c r="D178" s="120" t="s">
        <v>452</v>
      </c>
      <c r="E178" s="138">
        <v>0</v>
      </c>
      <c r="F178" s="277"/>
      <c r="G178" s="277"/>
      <c r="H178" s="277"/>
      <c r="I178" s="277"/>
      <c r="J178" s="180"/>
      <c r="K178" s="180"/>
      <c r="L178" s="180"/>
      <c r="M178" s="180"/>
      <c r="N178" s="180"/>
      <c r="O178" s="180"/>
      <c r="P178" s="180"/>
      <c r="BR178" s="180"/>
      <c r="BS178" s="180"/>
      <c r="BT178" s="180"/>
      <c r="BU178" s="180"/>
      <c r="BV178" s="180"/>
      <c r="BW178" s="180"/>
      <c r="BX178" s="379"/>
      <c r="BY178" s="250"/>
      <c r="BZ178" s="379"/>
      <c r="CA178" s="379"/>
      <c r="CB178" s="379"/>
      <c r="CC178" s="251"/>
      <c r="CD178" s="180"/>
      <c r="CE178" s="180"/>
      <c r="CF178" s="180"/>
      <c r="CG178" s="180"/>
      <c r="CH178" s="180"/>
      <c r="CI178" s="180"/>
    </row>
    <row r="179" spans="1:87" ht="30">
      <c r="D179" s="120" t="s">
        <v>453</v>
      </c>
      <c r="E179" s="138">
        <v>0</v>
      </c>
      <c r="F179" s="277"/>
      <c r="G179" s="277"/>
      <c r="H179" s="277"/>
      <c r="I179" s="277"/>
      <c r="J179" s="180"/>
      <c r="K179" s="180"/>
      <c r="L179" s="180"/>
      <c r="M179" s="180"/>
      <c r="N179" s="180"/>
      <c r="O179" s="180"/>
      <c r="P179" s="180"/>
      <c r="BR179" s="180"/>
      <c r="BS179" s="180"/>
      <c r="BT179" s="180"/>
      <c r="BU179" s="180"/>
      <c r="BV179" s="180"/>
      <c r="BW179" s="180"/>
      <c r="BX179" s="379"/>
      <c r="BY179" s="250"/>
      <c r="BZ179" s="379"/>
      <c r="CA179" s="379"/>
      <c r="CB179" s="379"/>
      <c r="CC179" s="251"/>
      <c r="CD179" s="180"/>
      <c r="CE179" s="180"/>
      <c r="CF179" s="180"/>
      <c r="CG179" s="180"/>
      <c r="CH179" s="180"/>
      <c r="CI179" s="180"/>
    </row>
    <row r="180" spans="1:87" ht="30">
      <c r="D180" s="120" t="s">
        <v>454</v>
      </c>
      <c r="E180" s="138">
        <v>0</v>
      </c>
      <c r="F180" s="277"/>
      <c r="G180" s="277"/>
      <c r="H180" s="277"/>
      <c r="I180" s="277"/>
      <c r="J180" s="180"/>
      <c r="K180" s="180"/>
      <c r="L180" s="180"/>
      <c r="M180" s="180"/>
      <c r="N180" s="180"/>
      <c r="O180" s="180"/>
      <c r="P180" s="180"/>
      <c r="BR180" s="180"/>
      <c r="BS180" s="180"/>
      <c r="BT180" s="180"/>
      <c r="BU180" s="180"/>
      <c r="BV180" s="180"/>
      <c r="BW180" s="180"/>
      <c r="BX180" s="379"/>
      <c r="BY180" s="250"/>
      <c r="BZ180" s="379"/>
      <c r="CA180" s="379"/>
      <c r="CB180" s="379"/>
      <c r="CC180" s="251"/>
      <c r="CD180" s="180"/>
      <c r="CE180" s="180"/>
      <c r="CF180" s="180"/>
      <c r="CG180" s="180"/>
      <c r="CH180" s="180"/>
      <c r="CI180" s="180"/>
    </row>
    <row r="181" spans="1:87">
      <c r="D181" s="120" t="s">
        <v>455</v>
      </c>
      <c r="E181" s="138">
        <v>0</v>
      </c>
      <c r="F181" s="277"/>
      <c r="G181" s="277"/>
      <c r="H181" s="277"/>
      <c r="I181" s="277"/>
      <c r="J181" s="180"/>
      <c r="K181" s="180"/>
      <c r="L181" s="180"/>
      <c r="M181" s="180"/>
      <c r="N181" s="180"/>
      <c r="O181" s="180"/>
      <c r="P181" s="180"/>
      <c r="BR181" s="180"/>
      <c r="BS181" s="180"/>
      <c r="BT181" s="180"/>
      <c r="BU181" s="180"/>
      <c r="BV181" s="180"/>
      <c r="BW181" s="180"/>
      <c r="BX181" s="379"/>
      <c r="BY181" s="250"/>
      <c r="BZ181" s="379"/>
      <c r="CA181" s="379"/>
      <c r="CB181" s="379"/>
      <c r="CC181" s="251"/>
      <c r="CD181" s="180"/>
      <c r="CE181" s="180"/>
      <c r="CF181" s="180"/>
      <c r="CG181" s="180"/>
      <c r="CH181" s="180"/>
      <c r="CI181" s="180"/>
    </row>
    <row r="182" spans="1:87">
      <c r="D182" s="278" t="s">
        <v>456</v>
      </c>
      <c r="E182" s="339">
        <f>'I&amp;O'!D130</f>
        <v>1</v>
      </c>
      <c r="F182" s="279"/>
      <c r="G182" s="277"/>
      <c r="H182" s="277"/>
      <c r="I182" s="277"/>
      <c r="J182" s="180"/>
      <c r="K182" s="180"/>
      <c r="L182" s="180"/>
      <c r="M182" s="180"/>
      <c r="N182" s="180"/>
      <c r="O182" s="180"/>
      <c r="P182" s="180"/>
      <c r="BR182" s="180"/>
      <c r="BS182" s="180"/>
      <c r="BT182" s="180"/>
      <c r="BU182" s="180"/>
      <c r="BV182" s="180"/>
      <c r="BW182" s="180"/>
      <c r="BX182" s="379"/>
      <c r="BY182" s="250"/>
      <c r="BZ182" s="379"/>
      <c r="CA182" s="379"/>
      <c r="CB182" s="379"/>
      <c r="CC182" s="251"/>
      <c r="CD182" s="180"/>
      <c r="CE182" s="180"/>
      <c r="CF182" s="180"/>
      <c r="CG182" s="180"/>
      <c r="CH182" s="180"/>
      <c r="CI182" s="180"/>
    </row>
    <row r="183" spans="1:87">
      <c r="D183" s="278" t="s">
        <v>457</v>
      </c>
      <c r="E183" s="339">
        <f>'I&amp;O'!D131</f>
        <v>0</v>
      </c>
      <c r="F183" s="279"/>
      <c r="G183" s="277"/>
      <c r="H183" s="277"/>
      <c r="I183" s="277"/>
      <c r="J183" s="180"/>
      <c r="K183" s="180"/>
      <c r="L183" s="180"/>
      <c r="M183" s="180"/>
      <c r="N183" s="180"/>
      <c r="O183" s="180"/>
      <c r="P183" s="180"/>
      <c r="BR183" s="180"/>
      <c r="BS183" s="180"/>
      <c r="BT183" s="180"/>
      <c r="BU183" s="180"/>
      <c r="BV183" s="180"/>
      <c r="BW183" s="180"/>
      <c r="BX183" s="379"/>
      <c r="BY183" s="250"/>
      <c r="BZ183" s="379"/>
      <c r="CA183" s="379"/>
      <c r="CB183" s="379"/>
      <c r="CC183" s="251"/>
      <c r="CD183" s="180"/>
      <c r="CE183" s="180"/>
      <c r="CF183" s="180"/>
      <c r="CG183" s="180"/>
      <c r="CH183" s="180"/>
      <c r="CI183" s="180"/>
    </row>
    <row r="184" spans="1:87">
      <c r="D184" s="278" t="s">
        <v>458</v>
      </c>
      <c r="E184" s="339">
        <f>'I&amp;O'!D132</f>
        <v>0</v>
      </c>
      <c r="F184" s="279"/>
      <c r="G184" s="277"/>
      <c r="H184" s="277"/>
      <c r="I184" s="277"/>
      <c r="J184" s="180"/>
      <c r="K184" s="180"/>
      <c r="L184" s="180"/>
      <c r="M184" s="180"/>
      <c r="N184" s="180"/>
      <c r="O184" s="180"/>
      <c r="P184" s="180"/>
      <c r="BR184" s="180"/>
      <c r="BS184" s="180"/>
      <c r="BT184" s="180"/>
      <c r="BU184" s="180"/>
      <c r="BV184" s="180"/>
      <c r="BW184" s="180"/>
      <c r="BX184" s="379"/>
      <c r="BY184" s="250"/>
      <c r="BZ184" s="379"/>
      <c r="CA184" s="379"/>
      <c r="CB184" s="379"/>
      <c r="CC184" s="251"/>
      <c r="CD184" s="180"/>
      <c r="CE184" s="180"/>
      <c r="CF184" s="180"/>
      <c r="CG184" s="180"/>
      <c r="CH184" s="180"/>
      <c r="CI184" s="180"/>
    </row>
    <row r="185" spans="1:87">
      <c r="D185" s="278" t="s">
        <v>524</v>
      </c>
      <c r="E185" s="339">
        <f>'I&amp;O'!D133</f>
        <v>0</v>
      </c>
      <c r="F185" s="277"/>
      <c r="G185" s="277"/>
      <c r="H185" s="277"/>
      <c r="I185" s="277"/>
      <c r="J185" s="180"/>
      <c r="K185" s="180"/>
      <c r="L185" s="180"/>
      <c r="M185" s="180"/>
      <c r="N185" s="180"/>
      <c r="O185" s="180"/>
      <c r="P185" s="180"/>
      <c r="BR185" s="180"/>
      <c r="BS185" s="180"/>
      <c r="BT185" s="180"/>
      <c r="BU185" s="180"/>
      <c r="BV185" s="180"/>
      <c r="BW185" s="180"/>
      <c r="BX185" s="379"/>
      <c r="BY185" s="250"/>
      <c r="BZ185" s="379"/>
      <c r="CA185" s="379"/>
      <c r="CB185" s="379"/>
      <c r="CC185" s="251"/>
      <c r="CD185" s="180"/>
      <c r="CE185" s="180"/>
      <c r="CF185" s="180"/>
      <c r="CG185" s="180"/>
      <c r="CH185" s="180"/>
      <c r="CI185" s="180"/>
    </row>
    <row r="186" spans="1:87">
      <c r="D186" s="278" t="s">
        <v>525</v>
      </c>
      <c r="E186" s="339">
        <f>'I&amp;O'!D134</f>
        <v>0</v>
      </c>
      <c r="F186" s="277"/>
      <c r="G186" s="277"/>
      <c r="H186" s="277"/>
      <c r="I186" s="277"/>
      <c r="J186" s="180"/>
      <c r="K186" s="180"/>
      <c r="L186" s="180"/>
      <c r="M186" s="180"/>
      <c r="N186" s="180"/>
      <c r="O186" s="180"/>
      <c r="P186" s="180"/>
      <c r="BR186" s="180"/>
      <c r="BS186" s="180"/>
      <c r="BT186" s="180"/>
      <c r="BU186" s="180"/>
      <c r="BV186" s="180"/>
      <c r="BW186" s="180"/>
      <c r="BX186" s="379"/>
      <c r="BY186" s="250"/>
      <c r="BZ186" s="379"/>
      <c r="CA186" s="379"/>
      <c r="CB186" s="379"/>
      <c r="CC186" s="251"/>
      <c r="CD186" s="180"/>
      <c r="CE186" s="180"/>
      <c r="CF186" s="180"/>
      <c r="CG186" s="180"/>
      <c r="CH186" s="180"/>
      <c r="CI186" s="180"/>
    </row>
    <row r="187" spans="1:87" s="257" customFormat="1" ht="30">
      <c r="A187" s="258"/>
      <c r="B187" s="258"/>
      <c r="C187" s="258"/>
      <c r="D187" s="136"/>
      <c r="E187" s="257" t="s">
        <v>335</v>
      </c>
      <c r="F187" s="265" t="s">
        <v>297</v>
      </c>
      <c r="G187" s="265" t="s">
        <v>337</v>
      </c>
      <c r="H187" s="265" t="s">
        <v>74</v>
      </c>
      <c r="I187" s="265" t="s">
        <v>414</v>
      </c>
      <c r="J187" s="266" t="s">
        <v>78</v>
      </c>
      <c r="K187" s="257" t="s">
        <v>79</v>
      </c>
      <c r="L187" s="257" t="s">
        <v>83</v>
      </c>
      <c r="M187" s="260" t="s">
        <v>84</v>
      </c>
      <c r="N187" s="260" t="s">
        <v>76</v>
      </c>
      <c r="O187" s="260" t="s">
        <v>404</v>
      </c>
      <c r="P187" s="265" t="s">
        <v>415</v>
      </c>
      <c r="Q187" s="257" t="s">
        <v>300</v>
      </c>
      <c r="R187" s="257" t="s">
        <v>80</v>
      </c>
      <c r="S187" s="257" t="s">
        <v>252</v>
      </c>
      <c r="T187" s="257" t="s">
        <v>301</v>
      </c>
      <c r="U187" s="267" t="s">
        <v>302</v>
      </c>
      <c r="V187" s="267" t="s">
        <v>303</v>
      </c>
      <c r="W187" s="267" t="s">
        <v>304</v>
      </c>
      <c r="X187" s="267" t="s">
        <v>305</v>
      </c>
      <c r="Y187" s="267" t="s">
        <v>306</v>
      </c>
      <c r="Z187" s="267" t="s">
        <v>81</v>
      </c>
      <c r="AA187" s="267" t="s">
        <v>307</v>
      </c>
      <c r="AB187" s="267" t="s">
        <v>308</v>
      </c>
      <c r="AC187" s="267" t="s">
        <v>309</v>
      </c>
      <c r="AD187" s="267" t="s">
        <v>310</v>
      </c>
      <c r="AE187" s="268" t="s">
        <v>311</v>
      </c>
      <c r="AF187" s="260" t="s">
        <v>312</v>
      </c>
      <c r="AG187" s="260" t="s">
        <v>313</v>
      </c>
      <c r="AH187" s="260" t="s">
        <v>523</v>
      </c>
      <c r="AI187" s="260"/>
      <c r="AJ187" s="260"/>
      <c r="AK187" s="260"/>
      <c r="AL187" s="260"/>
      <c r="AM187" s="260"/>
      <c r="AN187" s="260"/>
      <c r="AO187" s="260"/>
      <c r="AP187" s="260"/>
      <c r="AQ187" s="260"/>
      <c r="AR187" s="260"/>
      <c r="AS187" s="260"/>
      <c r="BR187" s="260"/>
      <c r="BS187" s="260"/>
      <c r="BT187" s="260"/>
      <c r="BU187" s="260"/>
      <c r="BV187" s="260"/>
      <c r="BW187" s="260"/>
      <c r="BX187" s="379"/>
      <c r="BY187" s="261"/>
      <c r="BZ187" s="379"/>
      <c r="CA187" s="379"/>
      <c r="CB187" s="379"/>
      <c r="CC187" s="262"/>
      <c r="CD187" s="260"/>
      <c r="CE187" s="260"/>
      <c r="CF187" s="260"/>
      <c r="CG187" s="260"/>
      <c r="CH187" s="260"/>
      <c r="CI187" s="260"/>
    </row>
    <row r="188" spans="1:87">
      <c r="D188" s="137" t="s">
        <v>459</v>
      </c>
      <c r="E188" s="135"/>
      <c r="F188" s="277"/>
      <c r="G188" s="277"/>
      <c r="H188" s="277"/>
      <c r="I188" s="180"/>
      <c r="J188" s="180"/>
      <c r="K188" s="180"/>
      <c r="L188" s="180"/>
      <c r="M188" s="180"/>
      <c r="N188" s="180"/>
      <c r="O188" s="180"/>
      <c r="P188" s="180"/>
      <c r="BR188" s="180"/>
      <c r="BS188" s="180"/>
      <c r="BT188" s="180"/>
      <c r="BU188" s="180"/>
      <c r="BV188" s="180"/>
      <c r="BW188" s="180"/>
      <c r="BX188" s="379"/>
      <c r="BY188" s="250"/>
      <c r="BZ188" s="379"/>
      <c r="CA188" s="379"/>
      <c r="CB188" s="379"/>
      <c r="CC188" s="251"/>
      <c r="CD188" s="180"/>
      <c r="CE188" s="180"/>
      <c r="CF188" s="180"/>
      <c r="CG188" s="180"/>
      <c r="CH188" s="180"/>
      <c r="CI188" s="180"/>
    </row>
    <row r="189" spans="1:87">
      <c r="D189" s="137" t="s">
        <v>447</v>
      </c>
      <c r="E189" s="234">
        <v>0</v>
      </c>
      <c r="F189" s="234">
        <v>0</v>
      </c>
      <c r="G189" s="234">
        <v>12.8</v>
      </c>
      <c r="H189" s="234">
        <v>8</v>
      </c>
      <c r="I189" s="234">
        <v>33</v>
      </c>
      <c r="J189" s="234">
        <v>3.7</v>
      </c>
      <c r="K189" s="234">
        <v>0.48</v>
      </c>
      <c r="L189" s="234">
        <v>0</v>
      </c>
      <c r="M189" s="234">
        <v>0</v>
      </c>
      <c r="N189" s="234">
        <v>0</v>
      </c>
      <c r="O189" s="234">
        <v>0</v>
      </c>
      <c r="P189" s="234">
        <v>0</v>
      </c>
      <c r="Q189" s="234">
        <v>0</v>
      </c>
      <c r="R189" s="234">
        <v>393</v>
      </c>
      <c r="S189" s="234">
        <v>0</v>
      </c>
      <c r="T189" s="234">
        <v>9</v>
      </c>
      <c r="U189" s="234">
        <v>0.36</v>
      </c>
      <c r="V189" s="234">
        <v>0</v>
      </c>
      <c r="W189" s="234">
        <v>0</v>
      </c>
      <c r="X189" s="234">
        <v>0</v>
      </c>
      <c r="Y189" s="234">
        <v>0</v>
      </c>
      <c r="Z189" s="234">
        <v>0</v>
      </c>
      <c r="AA189" s="234">
        <v>0</v>
      </c>
      <c r="AB189" s="234">
        <v>0</v>
      </c>
      <c r="AC189" s="234">
        <v>0</v>
      </c>
      <c r="AD189" s="234">
        <v>0</v>
      </c>
      <c r="AE189" s="234">
        <v>0</v>
      </c>
      <c r="AF189" s="234">
        <v>0</v>
      </c>
      <c r="AG189" s="234">
        <v>0</v>
      </c>
      <c r="AH189" s="180">
        <v>0</v>
      </c>
      <c r="BR189" s="180"/>
      <c r="BS189" s="180"/>
      <c r="BT189" s="180"/>
      <c r="BU189" s="180"/>
      <c r="BV189" s="180"/>
      <c r="BW189" s="180"/>
      <c r="BX189" s="180"/>
      <c r="BY189" s="180"/>
      <c r="BZ189" s="180"/>
      <c r="CA189" s="180"/>
      <c r="CB189" s="180"/>
      <c r="CC189" s="180"/>
      <c r="CD189" s="180"/>
      <c r="CE189" s="180"/>
      <c r="CF189" s="180"/>
      <c r="CG189" s="180"/>
      <c r="CH189" s="180"/>
      <c r="CI189" s="180"/>
    </row>
    <row r="190" spans="1:87">
      <c r="D190" s="269" t="s">
        <v>460</v>
      </c>
      <c r="E190" s="234">
        <v>0</v>
      </c>
      <c r="F190" s="234">
        <v>6.7500000000000004E-2</v>
      </c>
      <c r="G190" s="234">
        <v>10.8</v>
      </c>
      <c r="H190" s="234">
        <v>6.8850000000000007</v>
      </c>
      <c r="I190" s="234">
        <v>24.3</v>
      </c>
      <c r="J190" s="234">
        <v>0</v>
      </c>
      <c r="K190" s="234">
        <v>0</v>
      </c>
      <c r="L190" s="234">
        <v>0</v>
      </c>
      <c r="M190" s="234">
        <v>112.86000000000001</v>
      </c>
      <c r="N190" s="234">
        <v>0</v>
      </c>
      <c r="O190" s="234">
        <v>0</v>
      </c>
      <c r="P190" s="234">
        <v>0</v>
      </c>
      <c r="Q190" s="234">
        <v>0</v>
      </c>
      <c r="R190" s="234">
        <v>350</v>
      </c>
      <c r="S190" s="234">
        <v>0</v>
      </c>
      <c r="T190" s="234">
        <v>0</v>
      </c>
      <c r="U190" s="234">
        <v>0</v>
      </c>
      <c r="V190" s="234">
        <v>0</v>
      </c>
      <c r="W190" s="234">
        <v>0</v>
      </c>
      <c r="X190" s="234">
        <v>0</v>
      </c>
      <c r="Y190" s="234">
        <v>0</v>
      </c>
      <c r="Z190" s="234">
        <v>0</v>
      </c>
      <c r="AA190" s="234">
        <v>0</v>
      </c>
      <c r="AB190" s="234">
        <v>0</v>
      </c>
      <c r="AC190" s="234">
        <v>0</v>
      </c>
      <c r="AD190" s="234">
        <v>0</v>
      </c>
      <c r="AE190" s="234">
        <v>0</v>
      </c>
      <c r="AF190" s="234">
        <v>0</v>
      </c>
      <c r="AG190" s="234">
        <v>0</v>
      </c>
      <c r="AH190" s="180">
        <v>0</v>
      </c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  <c r="CF190" s="180"/>
      <c r="CG190" s="180"/>
      <c r="CH190" s="180"/>
      <c r="CI190" s="180"/>
    </row>
    <row r="191" spans="1:87">
      <c r="D191" s="269" t="s">
        <v>461</v>
      </c>
      <c r="E191" s="234">
        <v>1</v>
      </c>
      <c r="F191" s="234">
        <v>0</v>
      </c>
      <c r="G191" s="234">
        <v>11.2</v>
      </c>
      <c r="H191" s="234">
        <v>2</v>
      </c>
      <c r="I191" s="234">
        <v>0</v>
      </c>
      <c r="J191" s="234">
        <v>5.0999999999999996</v>
      </c>
      <c r="K191" s="234">
        <v>3.7</v>
      </c>
      <c r="L191" s="234">
        <v>0</v>
      </c>
      <c r="M191" s="234">
        <v>4</v>
      </c>
      <c r="N191" s="234">
        <v>0</v>
      </c>
      <c r="O191" s="234">
        <v>0</v>
      </c>
      <c r="P191" s="234">
        <v>0.4</v>
      </c>
      <c r="Q191" s="234">
        <v>0</v>
      </c>
      <c r="R191" s="234">
        <v>501</v>
      </c>
      <c r="S191" s="234">
        <v>0</v>
      </c>
      <c r="T191" s="234">
        <v>0</v>
      </c>
      <c r="U191" s="234">
        <v>2.2000000000000002</v>
      </c>
      <c r="V191" s="234">
        <v>0</v>
      </c>
      <c r="W191" s="234">
        <v>0.01</v>
      </c>
      <c r="X191" s="234">
        <v>0</v>
      </c>
      <c r="Y191" s="234">
        <v>0</v>
      </c>
      <c r="Z191" s="234">
        <v>0</v>
      </c>
      <c r="AA191" s="234">
        <v>0</v>
      </c>
      <c r="AB191" s="234">
        <v>0.01</v>
      </c>
      <c r="AC191" s="234">
        <v>0</v>
      </c>
      <c r="AD191" s="234">
        <v>2.4</v>
      </c>
      <c r="AE191" s="234">
        <v>0</v>
      </c>
      <c r="AF191" s="234">
        <v>0</v>
      </c>
      <c r="AG191" s="234">
        <v>0</v>
      </c>
      <c r="AH191" s="180">
        <v>0</v>
      </c>
      <c r="BR191" s="180"/>
      <c r="BS191" s="180"/>
      <c r="BT191" s="180"/>
      <c r="BU191" s="180"/>
      <c r="BV191" s="180"/>
      <c r="BW191" s="180"/>
      <c r="BX191" s="180"/>
      <c r="BY191" s="180"/>
      <c r="BZ191" s="180"/>
      <c r="CA191" s="180"/>
      <c r="CB191" s="180"/>
      <c r="CC191" s="180"/>
      <c r="CD191" s="180"/>
      <c r="CE191" s="180"/>
      <c r="CF191" s="180"/>
      <c r="CG191" s="180"/>
      <c r="CH191" s="180"/>
      <c r="CI191" s="180"/>
    </row>
    <row r="192" spans="1:87">
      <c r="D192" s="269" t="s">
        <v>449</v>
      </c>
      <c r="E192" s="234">
        <v>0</v>
      </c>
      <c r="F192" s="234">
        <v>0</v>
      </c>
      <c r="G192" s="234">
        <v>0</v>
      </c>
      <c r="H192" s="234">
        <v>0</v>
      </c>
      <c r="I192" s="234">
        <v>0</v>
      </c>
      <c r="J192" s="234">
        <v>0</v>
      </c>
      <c r="K192" s="234">
        <v>0</v>
      </c>
      <c r="L192" s="234">
        <v>0</v>
      </c>
      <c r="M192" s="234">
        <v>0</v>
      </c>
      <c r="N192" s="234">
        <v>0</v>
      </c>
      <c r="O192" s="234">
        <v>0</v>
      </c>
      <c r="P192" s="234">
        <v>0</v>
      </c>
      <c r="Q192" s="234">
        <v>0</v>
      </c>
      <c r="R192" s="234">
        <v>0</v>
      </c>
      <c r="S192" s="234">
        <v>0</v>
      </c>
      <c r="T192" s="234">
        <v>0</v>
      </c>
      <c r="U192" s="234">
        <v>0</v>
      </c>
      <c r="V192" s="234">
        <v>0</v>
      </c>
      <c r="W192" s="234">
        <v>0</v>
      </c>
      <c r="X192" s="234">
        <v>0</v>
      </c>
      <c r="Y192" s="234">
        <v>0</v>
      </c>
      <c r="Z192" s="234">
        <v>0</v>
      </c>
      <c r="AA192" s="234">
        <v>0</v>
      </c>
      <c r="AB192" s="234">
        <v>0</v>
      </c>
      <c r="AC192" s="234">
        <v>0</v>
      </c>
      <c r="AD192" s="234">
        <v>0</v>
      </c>
      <c r="AE192" s="234">
        <v>0</v>
      </c>
      <c r="AF192" s="234">
        <v>0</v>
      </c>
      <c r="AG192" s="234">
        <v>0</v>
      </c>
      <c r="BR192" s="180"/>
      <c r="BS192" s="180"/>
      <c r="BT192" s="180"/>
      <c r="BU192" s="180"/>
      <c r="BV192" s="180"/>
      <c r="BW192" s="180"/>
      <c r="BX192" s="180"/>
      <c r="BY192" s="180"/>
      <c r="BZ192" s="180"/>
      <c r="CA192" s="180"/>
      <c r="CB192" s="180"/>
      <c r="CC192" s="180"/>
      <c r="CD192" s="180"/>
      <c r="CE192" s="180"/>
      <c r="CF192" s="180"/>
      <c r="CG192" s="180"/>
      <c r="CH192" s="180"/>
      <c r="CI192" s="180"/>
    </row>
    <row r="193" spans="1:87">
      <c r="D193" s="120" t="s">
        <v>451</v>
      </c>
      <c r="E193" s="234">
        <v>0</v>
      </c>
      <c r="F193" s="234">
        <v>0</v>
      </c>
      <c r="G193" s="234">
        <v>13.5</v>
      </c>
      <c r="H193" s="234">
        <v>1.8</v>
      </c>
      <c r="I193" s="234">
        <v>0</v>
      </c>
      <c r="J193" s="234">
        <v>10</v>
      </c>
      <c r="K193" s="234">
        <v>1.4</v>
      </c>
      <c r="L193" s="234">
        <v>0</v>
      </c>
      <c r="M193" s="234">
        <v>0</v>
      </c>
      <c r="N193" s="234">
        <v>113</v>
      </c>
      <c r="O193" s="234">
        <v>1368</v>
      </c>
      <c r="P193" s="234">
        <v>0</v>
      </c>
      <c r="Q193" s="234">
        <v>0</v>
      </c>
      <c r="R193" s="234">
        <v>0</v>
      </c>
      <c r="S193" s="234">
        <v>0</v>
      </c>
      <c r="T193" s="234">
        <v>0</v>
      </c>
      <c r="U193" s="234">
        <v>1.9</v>
      </c>
      <c r="V193" s="234">
        <v>0</v>
      </c>
      <c r="W193" s="234">
        <v>0</v>
      </c>
      <c r="X193" s="234">
        <v>0</v>
      </c>
      <c r="Y193" s="234">
        <v>0</v>
      </c>
      <c r="Z193" s="234">
        <v>0</v>
      </c>
      <c r="AA193" s="234">
        <v>0</v>
      </c>
      <c r="AB193" s="234">
        <v>0</v>
      </c>
      <c r="AC193" s="234">
        <v>0</v>
      </c>
      <c r="AD193" s="234">
        <v>0</v>
      </c>
      <c r="AE193" s="234">
        <v>0</v>
      </c>
      <c r="AF193" s="234">
        <v>0</v>
      </c>
      <c r="AG193" s="234">
        <v>0</v>
      </c>
      <c r="BR193" s="180"/>
      <c r="BS193" s="180"/>
      <c r="BT193" s="180"/>
      <c r="BU193" s="180"/>
      <c r="BV193" s="180"/>
      <c r="BW193" s="180"/>
      <c r="BX193" s="180"/>
      <c r="BY193" s="180"/>
      <c r="BZ193" s="180"/>
      <c r="CA193" s="180"/>
      <c r="CB193" s="180"/>
      <c r="CC193" s="180"/>
      <c r="CD193" s="180"/>
      <c r="CE193" s="180"/>
      <c r="CF193" s="180"/>
      <c r="CG193" s="180"/>
      <c r="CH193" s="180"/>
      <c r="CI193" s="180"/>
    </row>
    <row r="194" spans="1:87" ht="45">
      <c r="D194" s="120" t="s">
        <v>452</v>
      </c>
      <c r="E194" s="234">
        <v>0</v>
      </c>
      <c r="F194" s="234">
        <v>0</v>
      </c>
      <c r="G194" s="234">
        <v>13.5</v>
      </c>
      <c r="H194" s="234">
        <v>2.5133333333333332</v>
      </c>
      <c r="I194" s="234">
        <v>0</v>
      </c>
      <c r="J194" s="234">
        <v>5.8533333333333326</v>
      </c>
      <c r="K194" s="234">
        <v>4.833333333333333</v>
      </c>
      <c r="L194" s="234">
        <v>0</v>
      </c>
      <c r="M194" s="234">
        <v>0</v>
      </c>
      <c r="N194" s="234">
        <v>128</v>
      </c>
      <c r="O194" s="234">
        <v>4711.666666666667</v>
      </c>
      <c r="P194" s="234">
        <v>0</v>
      </c>
      <c r="Q194" s="234">
        <v>0</v>
      </c>
      <c r="R194" s="234">
        <v>0</v>
      </c>
      <c r="S194" s="234">
        <v>0</v>
      </c>
      <c r="T194" s="234">
        <v>0</v>
      </c>
      <c r="U194" s="234">
        <v>2.2333333333333338</v>
      </c>
      <c r="V194" s="234">
        <v>0</v>
      </c>
      <c r="W194" s="234">
        <v>0</v>
      </c>
      <c r="X194" s="234">
        <v>0</v>
      </c>
      <c r="Y194" s="234">
        <v>0</v>
      </c>
      <c r="Z194" s="234">
        <v>0</v>
      </c>
      <c r="AA194" s="234">
        <v>0</v>
      </c>
      <c r="AB194" s="234">
        <v>0</v>
      </c>
      <c r="AC194" s="234">
        <v>0</v>
      </c>
      <c r="AD194" s="234">
        <v>0</v>
      </c>
      <c r="AE194" s="234">
        <v>0</v>
      </c>
      <c r="AF194" s="234">
        <v>0</v>
      </c>
      <c r="AG194" s="234">
        <v>0</v>
      </c>
      <c r="AH194" s="180">
        <v>29.8</v>
      </c>
      <c r="BR194" s="180"/>
      <c r="BS194" s="180"/>
      <c r="BT194" s="180"/>
      <c r="BU194" s="180"/>
      <c r="BV194" s="180"/>
      <c r="BW194" s="180"/>
      <c r="BX194" s="180"/>
      <c r="BY194" s="180"/>
      <c r="BZ194" s="180"/>
      <c r="CA194" s="180"/>
      <c r="CB194" s="180"/>
      <c r="CC194" s="180"/>
      <c r="CD194" s="180"/>
      <c r="CE194" s="180"/>
      <c r="CF194" s="180"/>
      <c r="CG194" s="180"/>
      <c r="CH194" s="180"/>
      <c r="CI194" s="180"/>
    </row>
    <row r="195" spans="1:87" ht="30">
      <c r="D195" s="120" t="s">
        <v>453</v>
      </c>
      <c r="E195" s="234">
        <v>0</v>
      </c>
      <c r="F195" s="234">
        <v>0</v>
      </c>
      <c r="G195" s="234">
        <v>13.5</v>
      </c>
      <c r="H195" s="234">
        <v>1.33</v>
      </c>
      <c r="I195" s="234">
        <v>0</v>
      </c>
      <c r="J195" s="234">
        <v>2.9400000000000004</v>
      </c>
      <c r="K195" s="234">
        <v>9.4499999999999993</v>
      </c>
      <c r="L195" s="234">
        <v>0</v>
      </c>
      <c r="M195" s="234">
        <v>0</v>
      </c>
      <c r="N195" s="234">
        <v>0</v>
      </c>
      <c r="O195" s="234">
        <v>9112.5</v>
      </c>
      <c r="P195" s="234">
        <v>0</v>
      </c>
      <c r="Q195" s="234">
        <v>0</v>
      </c>
      <c r="R195" s="234">
        <v>0</v>
      </c>
      <c r="S195" s="234">
        <v>0</v>
      </c>
      <c r="T195" s="234">
        <v>0</v>
      </c>
      <c r="U195" s="234">
        <v>5.05</v>
      </c>
      <c r="V195" s="234">
        <v>0</v>
      </c>
      <c r="W195" s="234">
        <v>0</v>
      </c>
      <c r="X195" s="234">
        <v>0</v>
      </c>
      <c r="Y195" s="234">
        <v>0</v>
      </c>
      <c r="Z195" s="234">
        <v>0</v>
      </c>
      <c r="AA195" s="234">
        <v>0</v>
      </c>
      <c r="AB195" s="234">
        <v>0</v>
      </c>
      <c r="AC195" s="234">
        <v>0</v>
      </c>
      <c r="AD195" s="234">
        <v>0</v>
      </c>
      <c r="AE195" s="234">
        <v>0</v>
      </c>
      <c r="AF195" s="234">
        <v>0</v>
      </c>
      <c r="AG195" s="234">
        <v>0</v>
      </c>
      <c r="AH195" s="180">
        <v>101.96666666666665</v>
      </c>
      <c r="BR195" s="180"/>
      <c r="BS195" s="180"/>
      <c r="BT195" s="180"/>
      <c r="BU195" s="180"/>
      <c r="BV195" s="180"/>
      <c r="BW195" s="180"/>
      <c r="BX195" s="180"/>
      <c r="BY195" s="180"/>
      <c r="BZ195" s="180"/>
      <c r="CA195" s="180"/>
      <c r="CB195" s="180"/>
      <c r="CC195" s="180"/>
      <c r="CD195" s="180"/>
      <c r="CE195" s="180"/>
      <c r="CF195" s="180"/>
      <c r="CG195" s="180"/>
      <c r="CH195" s="180"/>
      <c r="CI195" s="180"/>
    </row>
    <row r="196" spans="1:87" ht="30">
      <c r="D196" s="120" t="s">
        <v>454</v>
      </c>
      <c r="E196" s="234">
        <v>0</v>
      </c>
      <c r="F196" s="234">
        <v>0</v>
      </c>
      <c r="G196" s="234">
        <v>13.75</v>
      </c>
      <c r="H196" s="234">
        <v>1.27</v>
      </c>
      <c r="I196" s="234">
        <v>0</v>
      </c>
      <c r="J196" s="234">
        <v>8.370000000000001</v>
      </c>
      <c r="K196" s="234">
        <v>4.26</v>
      </c>
      <c r="L196" s="234">
        <v>0</v>
      </c>
      <c r="M196" s="234">
        <v>0</v>
      </c>
      <c r="N196" s="234">
        <v>1618.25</v>
      </c>
      <c r="O196" s="234">
        <v>2526.75</v>
      </c>
      <c r="P196" s="234">
        <v>0</v>
      </c>
      <c r="Q196" s="234">
        <v>0</v>
      </c>
      <c r="R196" s="234">
        <v>0</v>
      </c>
      <c r="S196" s="234">
        <v>0</v>
      </c>
      <c r="T196" s="234">
        <v>0</v>
      </c>
      <c r="U196" s="234">
        <v>1.2</v>
      </c>
      <c r="V196" s="234">
        <v>0</v>
      </c>
      <c r="W196" s="234">
        <v>0</v>
      </c>
      <c r="X196" s="234">
        <v>0</v>
      </c>
      <c r="Y196" s="234">
        <v>0</v>
      </c>
      <c r="Z196" s="234">
        <v>0</v>
      </c>
      <c r="AA196" s="234">
        <v>0</v>
      </c>
      <c r="AB196" s="234">
        <v>0</v>
      </c>
      <c r="AC196" s="234">
        <v>0</v>
      </c>
      <c r="AD196" s="234">
        <v>0</v>
      </c>
      <c r="AE196" s="234">
        <v>0</v>
      </c>
      <c r="AF196" s="234">
        <v>0</v>
      </c>
      <c r="AG196" s="234">
        <v>0</v>
      </c>
      <c r="AH196" s="180">
        <v>36.75</v>
      </c>
      <c r="BR196" s="180"/>
      <c r="BS196" s="180"/>
      <c r="BT196" s="180"/>
      <c r="BU196" s="180"/>
      <c r="BV196" s="180"/>
      <c r="BW196" s="180"/>
      <c r="BX196" s="180"/>
      <c r="BY196" s="180"/>
      <c r="BZ196" s="180"/>
      <c r="CA196" s="180"/>
      <c r="CB196" s="180"/>
      <c r="CC196" s="180"/>
      <c r="CD196" s="180"/>
      <c r="CE196" s="180"/>
      <c r="CF196" s="180"/>
      <c r="CG196" s="180"/>
      <c r="CH196" s="180"/>
      <c r="CI196" s="180"/>
    </row>
    <row r="197" spans="1:87">
      <c r="D197" s="120" t="s">
        <v>455</v>
      </c>
      <c r="E197" s="234">
        <v>0</v>
      </c>
      <c r="F197" s="234">
        <v>0</v>
      </c>
      <c r="G197" s="234">
        <v>13.5</v>
      </c>
      <c r="H197" s="234">
        <v>1.8340000000000001</v>
      </c>
      <c r="I197" s="234">
        <v>0</v>
      </c>
      <c r="J197" s="234">
        <v>1.8340000000000001</v>
      </c>
      <c r="K197" s="234">
        <v>1.8340000000000001</v>
      </c>
      <c r="L197" s="234">
        <v>0</v>
      </c>
      <c r="M197" s="234">
        <v>0</v>
      </c>
      <c r="N197" s="234">
        <v>877.50000000000011</v>
      </c>
      <c r="O197" s="234">
        <v>7722.0000000000009</v>
      </c>
      <c r="P197" s="234">
        <v>0</v>
      </c>
      <c r="Q197" s="234">
        <v>0</v>
      </c>
      <c r="R197" s="234">
        <v>0</v>
      </c>
      <c r="S197" s="234">
        <v>0</v>
      </c>
      <c r="T197" s="234">
        <v>0</v>
      </c>
      <c r="U197" s="234">
        <v>1.1000000000000001</v>
      </c>
      <c r="V197" s="234">
        <v>0</v>
      </c>
      <c r="W197" s="234">
        <v>0</v>
      </c>
      <c r="X197" s="234">
        <v>0</v>
      </c>
      <c r="Y197" s="234">
        <v>0</v>
      </c>
      <c r="Z197" s="234">
        <v>0</v>
      </c>
      <c r="AA197" s="234">
        <v>0</v>
      </c>
      <c r="AB197" s="234">
        <v>0</v>
      </c>
      <c r="AC197" s="234">
        <v>0</v>
      </c>
      <c r="AD197" s="234">
        <v>0</v>
      </c>
      <c r="AE197" s="234">
        <v>0</v>
      </c>
      <c r="AF197" s="234">
        <v>0</v>
      </c>
      <c r="AG197" s="234">
        <v>0</v>
      </c>
      <c r="AH197" s="180">
        <v>0</v>
      </c>
    </row>
    <row r="198" spans="1:87">
      <c r="D198" s="120" t="s">
        <v>456</v>
      </c>
      <c r="E198" s="234">
        <v>0</v>
      </c>
      <c r="F198" s="234">
        <v>0</v>
      </c>
      <c r="G198" s="234">
        <v>13.5</v>
      </c>
      <c r="H198" s="234">
        <v>2.2400000000000002</v>
      </c>
      <c r="I198" s="234">
        <v>0</v>
      </c>
      <c r="J198" s="234">
        <v>7.35</v>
      </c>
      <c r="K198" s="234">
        <v>4.41</v>
      </c>
      <c r="L198" s="234">
        <v>0</v>
      </c>
      <c r="M198" s="234">
        <v>0</v>
      </c>
      <c r="N198" s="234">
        <v>978.74999999999989</v>
      </c>
      <c r="O198" s="234">
        <v>3246.75</v>
      </c>
      <c r="P198" s="234">
        <v>0</v>
      </c>
      <c r="Q198" s="234">
        <v>0</v>
      </c>
      <c r="R198" s="234">
        <v>0</v>
      </c>
      <c r="S198" s="234">
        <v>0</v>
      </c>
      <c r="T198" s="234">
        <v>0</v>
      </c>
      <c r="U198" s="234">
        <v>1.05</v>
      </c>
      <c r="V198" s="234">
        <v>0</v>
      </c>
      <c r="W198" s="234">
        <v>0</v>
      </c>
      <c r="X198" s="234">
        <v>0</v>
      </c>
      <c r="Y198" s="234">
        <v>0</v>
      </c>
      <c r="Z198" s="234">
        <v>0</v>
      </c>
      <c r="AA198" s="234">
        <v>0</v>
      </c>
      <c r="AB198" s="234">
        <v>0</v>
      </c>
      <c r="AC198" s="234">
        <v>0</v>
      </c>
      <c r="AD198" s="234">
        <v>0</v>
      </c>
      <c r="AE198" s="234">
        <v>0</v>
      </c>
      <c r="AF198" s="234">
        <v>0</v>
      </c>
      <c r="AG198" s="234">
        <v>0</v>
      </c>
      <c r="AH198" s="180">
        <v>0</v>
      </c>
    </row>
    <row r="199" spans="1:87">
      <c r="D199" s="120" t="s">
        <v>457</v>
      </c>
      <c r="E199" s="234">
        <v>0</v>
      </c>
      <c r="F199" s="234">
        <v>0</v>
      </c>
      <c r="G199" s="234">
        <v>13.5</v>
      </c>
      <c r="H199" s="234">
        <v>3.22</v>
      </c>
      <c r="I199" s="234">
        <v>0</v>
      </c>
      <c r="J199" s="234">
        <v>5.32</v>
      </c>
      <c r="K199" s="234">
        <v>5.46</v>
      </c>
      <c r="L199" s="234">
        <v>0</v>
      </c>
      <c r="M199" s="234">
        <v>0</v>
      </c>
      <c r="N199" s="234">
        <v>652.50099999999986</v>
      </c>
      <c r="O199" s="234">
        <v>4099.5343333333331</v>
      </c>
      <c r="P199" s="234">
        <v>0</v>
      </c>
      <c r="Q199" s="234">
        <v>0</v>
      </c>
      <c r="R199" s="234">
        <v>0</v>
      </c>
      <c r="S199" s="234">
        <v>0</v>
      </c>
      <c r="T199" s="234">
        <v>0</v>
      </c>
      <c r="U199" s="234">
        <v>2.2666666666666666</v>
      </c>
      <c r="V199" s="234">
        <v>0</v>
      </c>
      <c r="W199" s="234">
        <v>0</v>
      </c>
      <c r="X199" s="234">
        <v>0</v>
      </c>
      <c r="Y199" s="234">
        <v>0</v>
      </c>
      <c r="Z199" s="234">
        <v>0</v>
      </c>
      <c r="AA199" s="234">
        <v>0</v>
      </c>
      <c r="AB199" s="234">
        <v>0</v>
      </c>
      <c r="AC199" s="234">
        <v>0</v>
      </c>
      <c r="AD199" s="234">
        <v>0</v>
      </c>
      <c r="AE199" s="234">
        <v>0</v>
      </c>
      <c r="AF199" s="234">
        <v>0</v>
      </c>
      <c r="AG199" s="234">
        <v>0</v>
      </c>
      <c r="AH199" s="180">
        <v>13.95</v>
      </c>
    </row>
    <row r="200" spans="1:87">
      <c r="D200" s="120" t="s">
        <v>458</v>
      </c>
      <c r="E200" s="234">
        <v>0</v>
      </c>
      <c r="F200" s="234">
        <v>0</v>
      </c>
      <c r="G200" s="234">
        <v>13.5</v>
      </c>
      <c r="H200" s="234">
        <v>2.387</v>
      </c>
      <c r="I200" s="234">
        <v>0</v>
      </c>
      <c r="J200" s="234">
        <v>4.3469999999999995</v>
      </c>
      <c r="K200" s="234">
        <v>3.0170000000000003</v>
      </c>
      <c r="L200" s="234">
        <v>0</v>
      </c>
      <c r="M200" s="234">
        <v>0</v>
      </c>
      <c r="N200" s="234">
        <v>438.75000000000006</v>
      </c>
      <c r="O200" s="234">
        <v>5886</v>
      </c>
      <c r="P200" s="234">
        <v>0</v>
      </c>
      <c r="Q200" s="234">
        <v>0</v>
      </c>
      <c r="R200" s="234">
        <v>0</v>
      </c>
      <c r="S200" s="234">
        <v>0</v>
      </c>
      <c r="T200" s="234">
        <v>0</v>
      </c>
      <c r="U200" s="234">
        <v>1.6</v>
      </c>
      <c r="V200" s="234">
        <v>0</v>
      </c>
      <c r="W200" s="234">
        <v>0</v>
      </c>
      <c r="X200" s="234">
        <v>0</v>
      </c>
      <c r="Y200" s="234">
        <v>0</v>
      </c>
      <c r="Z200" s="234">
        <v>0</v>
      </c>
      <c r="AA200" s="234">
        <v>0</v>
      </c>
      <c r="AB200" s="234">
        <v>0</v>
      </c>
      <c r="AC200" s="234">
        <v>0</v>
      </c>
      <c r="AD200" s="234">
        <v>0</v>
      </c>
      <c r="AE200" s="234">
        <v>0</v>
      </c>
      <c r="AF200" s="234">
        <v>0</v>
      </c>
      <c r="AG200" s="234">
        <v>0</v>
      </c>
      <c r="AH200" s="180">
        <v>20</v>
      </c>
    </row>
    <row r="201" spans="1:87">
      <c r="A201" s="132"/>
      <c r="B201" s="132"/>
      <c r="C201" s="132"/>
      <c r="D201" s="171" t="s">
        <v>524</v>
      </c>
      <c r="E201" s="323">
        <v>0</v>
      </c>
      <c r="F201" s="323">
        <v>0</v>
      </c>
      <c r="G201" s="324">
        <v>13.5</v>
      </c>
      <c r="H201" s="234">
        <v>1.6</v>
      </c>
      <c r="I201" s="234">
        <v>0</v>
      </c>
      <c r="J201" s="234">
        <v>6.19</v>
      </c>
      <c r="K201" s="234">
        <v>5.81</v>
      </c>
      <c r="L201" s="234">
        <v>0</v>
      </c>
      <c r="M201" s="234">
        <v>0</v>
      </c>
      <c r="N201" s="234">
        <v>56.5</v>
      </c>
      <c r="O201" s="234">
        <v>5611.5</v>
      </c>
      <c r="P201" s="325">
        <v>0</v>
      </c>
      <c r="Q201" s="188">
        <v>0</v>
      </c>
      <c r="R201" s="188">
        <v>0</v>
      </c>
      <c r="S201" s="188">
        <v>0</v>
      </c>
      <c r="T201" s="188">
        <v>0</v>
      </c>
      <c r="U201" s="188">
        <v>3.25</v>
      </c>
      <c r="V201" s="188">
        <v>4.55</v>
      </c>
      <c r="W201" s="188">
        <v>0</v>
      </c>
      <c r="X201" s="188">
        <v>0</v>
      </c>
      <c r="Y201" s="188">
        <v>0</v>
      </c>
      <c r="Z201" s="188">
        <v>0</v>
      </c>
      <c r="AA201" s="188">
        <v>0</v>
      </c>
      <c r="AB201" s="188">
        <v>0</v>
      </c>
      <c r="AC201" s="188">
        <v>0</v>
      </c>
      <c r="AD201" s="188">
        <v>0</v>
      </c>
      <c r="AE201" s="188">
        <v>0</v>
      </c>
      <c r="AF201" s="188">
        <v>0</v>
      </c>
      <c r="AG201" s="188">
        <v>0</v>
      </c>
      <c r="AH201" s="188">
        <v>13.95</v>
      </c>
      <c r="AI201" s="132"/>
      <c r="AJ201" s="132"/>
    </row>
    <row r="202" spans="1:87">
      <c r="A202" s="132"/>
      <c r="B202" s="132"/>
      <c r="C202" s="132"/>
      <c r="D202" s="171" t="s">
        <v>525</v>
      </c>
      <c r="E202" s="323">
        <v>0</v>
      </c>
      <c r="F202" s="323">
        <v>0</v>
      </c>
      <c r="G202" s="324">
        <v>13.5</v>
      </c>
      <c r="H202" s="234">
        <v>2.17</v>
      </c>
      <c r="I202" s="234">
        <v>0</v>
      </c>
      <c r="J202" s="234">
        <v>4.62</v>
      </c>
      <c r="K202" s="234">
        <v>7.2099999999999991</v>
      </c>
      <c r="L202" s="234">
        <v>0</v>
      </c>
      <c r="M202" s="234">
        <v>0</v>
      </c>
      <c r="N202" s="234">
        <v>0</v>
      </c>
      <c r="O202" s="234">
        <v>6952.5</v>
      </c>
      <c r="P202" s="325">
        <v>0</v>
      </c>
      <c r="Q202" s="188">
        <v>0</v>
      </c>
      <c r="R202" s="188">
        <v>0</v>
      </c>
      <c r="S202" s="188">
        <v>0</v>
      </c>
      <c r="T202" s="188">
        <v>0</v>
      </c>
      <c r="U202" s="188">
        <v>3.3499999999999996</v>
      </c>
      <c r="V202" s="188">
        <v>0.55000000000000004</v>
      </c>
      <c r="W202" s="188">
        <v>0</v>
      </c>
      <c r="X202" s="188">
        <v>0</v>
      </c>
      <c r="Y202" s="188">
        <v>0</v>
      </c>
      <c r="Z202" s="188">
        <v>0</v>
      </c>
      <c r="AA202" s="188">
        <v>0</v>
      </c>
      <c r="AB202" s="188">
        <v>0</v>
      </c>
      <c r="AC202" s="188">
        <v>0</v>
      </c>
      <c r="AD202" s="188">
        <v>0</v>
      </c>
      <c r="AE202" s="188">
        <v>0</v>
      </c>
      <c r="AF202" s="188">
        <v>0</v>
      </c>
      <c r="AG202" s="188">
        <v>0</v>
      </c>
      <c r="AH202" s="188">
        <v>44.9</v>
      </c>
      <c r="AI202" s="132"/>
      <c r="AJ202" s="132"/>
    </row>
    <row r="203" spans="1:87">
      <c r="D203" s="136" t="s">
        <v>363</v>
      </c>
      <c r="E203" s="135">
        <f>SUMPRODUCT($E$173:$E$186,E189:E202)</f>
        <v>0</v>
      </c>
      <c r="F203" s="135">
        <f t="shared" ref="F203:AH203" si="30">SUMPRODUCT($E$173:$E$186,F189:F202)</f>
        <v>0</v>
      </c>
      <c r="G203" s="135">
        <f t="shared" si="30"/>
        <v>13.5</v>
      </c>
      <c r="H203" s="135">
        <f t="shared" si="30"/>
        <v>2.2400000000000002</v>
      </c>
      <c r="I203" s="135">
        <f t="shared" si="30"/>
        <v>0</v>
      </c>
      <c r="J203" s="135">
        <f t="shared" si="30"/>
        <v>7.35</v>
      </c>
      <c r="K203" s="135">
        <f t="shared" si="30"/>
        <v>4.41</v>
      </c>
      <c r="L203" s="135">
        <f t="shared" si="30"/>
        <v>0</v>
      </c>
      <c r="M203" s="135">
        <f t="shared" si="30"/>
        <v>0</v>
      </c>
      <c r="N203" s="135">
        <f t="shared" si="30"/>
        <v>978.74999999999989</v>
      </c>
      <c r="O203" s="135">
        <f t="shared" si="30"/>
        <v>3246.75</v>
      </c>
      <c r="P203" s="135">
        <f t="shared" si="30"/>
        <v>0</v>
      </c>
      <c r="Q203" s="135">
        <f t="shared" si="30"/>
        <v>0</v>
      </c>
      <c r="R203" s="135">
        <f t="shared" si="30"/>
        <v>0</v>
      </c>
      <c r="S203" s="135">
        <f t="shared" si="30"/>
        <v>0</v>
      </c>
      <c r="T203" s="135">
        <f t="shared" si="30"/>
        <v>0</v>
      </c>
      <c r="U203" s="135">
        <f t="shared" si="30"/>
        <v>1.05</v>
      </c>
      <c r="V203" s="135">
        <f t="shared" si="30"/>
        <v>0</v>
      </c>
      <c r="W203" s="135">
        <f t="shared" si="30"/>
        <v>0</v>
      </c>
      <c r="X203" s="135">
        <f t="shared" si="30"/>
        <v>0</v>
      </c>
      <c r="Y203" s="135">
        <f t="shared" si="30"/>
        <v>0</v>
      </c>
      <c r="Z203" s="135">
        <f t="shared" si="30"/>
        <v>0</v>
      </c>
      <c r="AA203" s="135">
        <f t="shared" si="30"/>
        <v>0</v>
      </c>
      <c r="AB203" s="135">
        <f t="shared" si="30"/>
        <v>0</v>
      </c>
      <c r="AC203" s="135">
        <f t="shared" si="30"/>
        <v>0</v>
      </c>
      <c r="AD203" s="135">
        <f t="shared" si="30"/>
        <v>0</v>
      </c>
      <c r="AE203" s="135">
        <f t="shared" si="30"/>
        <v>0</v>
      </c>
      <c r="AF203" s="135">
        <f t="shared" si="30"/>
        <v>0</v>
      </c>
      <c r="AG203" s="135">
        <f t="shared" si="30"/>
        <v>0</v>
      </c>
      <c r="AH203" s="135">
        <f t="shared" si="30"/>
        <v>0</v>
      </c>
    </row>
    <row r="204" spans="1:87">
      <c r="J204" s="180"/>
      <c r="K204" s="180"/>
      <c r="L204" s="180"/>
      <c r="M204" s="180"/>
      <c r="N204" s="180"/>
      <c r="O204" s="180"/>
      <c r="P204" s="180"/>
    </row>
    <row r="205" spans="1:87">
      <c r="D205" s="280" t="s">
        <v>462</v>
      </c>
      <c r="J205" s="180"/>
      <c r="K205" s="180"/>
      <c r="L205" s="180"/>
      <c r="M205" s="180"/>
      <c r="N205" s="180"/>
      <c r="O205" s="180"/>
      <c r="P205" s="180"/>
    </row>
    <row r="206" spans="1:87" s="218" customFormat="1">
      <c r="A206" s="219"/>
      <c r="B206" s="219"/>
      <c r="C206" s="219"/>
      <c r="D206" s="219" t="s">
        <v>463</v>
      </c>
      <c r="E206" s="218" t="s">
        <v>372</v>
      </c>
      <c r="F206" s="218" t="s">
        <v>464</v>
      </c>
      <c r="G206" s="218" t="s">
        <v>337</v>
      </c>
      <c r="H206" s="281" t="s">
        <v>74</v>
      </c>
      <c r="I206" s="218" t="s">
        <v>75</v>
      </c>
      <c r="J206" s="281" t="s">
        <v>78</v>
      </c>
      <c r="K206" s="218" t="s">
        <v>79</v>
      </c>
      <c r="L206" s="218" t="s">
        <v>83</v>
      </c>
      <c r="M206" s="218" t="s">
        <v>84</v>
      </c>
      <c r="N206" s="218" t="s">
        <v>76</v>
      </c>
      <c r="O206" s="218" t="s">
        <v>77</v>
      </c>
      <c r="P206" s="218" t="s">
        <v>82</v>
      </c>
      <c r="Q206" s="282"/>
      <c r="R206" s="267"/>
      <c r="S206" s="267"/>
      <c r="T206" s="267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131"/>
    </row>
    <row r="207" spans="1:87">
      <c r="D207" s="120" t="s">
        <v>465</v>
      </c>
      <c r="E207" s="222">
        <v>15.791666666666666</v>
      </c>
      <c r="F207" s="222">
        <v>2.4166666666666665</v>
      </c>
      <c r="G207" s="222">
        <v>0.38333333333333336</v>
      </c>
      <c r="H207" s="222">
        <v>9.1363636363636355E-2</v>
      </c>
      <c r="I207" s="222">
        <v>0</v>
      </c>
      <c r="J207" s="222">
        <v>0.15055555555555558</v>
      </c>
      <c r="K207" s="222">
        <v>0.19890909090909092</v>
      </c>
      <c r="L207" s="222">
        <v>2.25</v>
      </c>
      <c r="M207" s="222">
        <v>5.583333333333333</v>
      </c>
      <c r="N207" s="222">
        <v>0</v>
      </c>
      <c r="O207" s="222">
        <v>0</v>
      </c>
      <c r="P207" s="222">
        <v>9.4</v>
      </c>
      <c r="Q207" s="222">
        <v>0</v>
      </c>
      <c r="R207" s="222">
        <v>18.600000000000001</v>
      </c>
      <c r="S207" s="222">
        <v>7.8791666666666673</v>
      </c>
      <c r="T207" s="222">
        <v>0</v>
      </c>
      <c r="U207" s="222">
        <v>0</v>
      </c>
      <c r="V207" s="222">
        <v>0.12400000000000003</v>
      </c>
      <c r="W207" s="222">
        <v>5.0500000000000003E-2</v>
      </c>
      <c r="X207" s="222">
        <v>1.0609999999999999</v>
      </c>
      <c r="Y207" s="222">
        <v>0</v>
      </c>
      <c r="Z207" s="222">
        <v>31.254999999999995</v>
      </c>
      <c r="AA207" s="222">
        <v>0</v>
      </c>
      <c r="AB207" s="222">
        <v>0.59458333333333335</v>
      </c>
      <c r="AC207" s="222">
        <v>0</v>
      </c>
      <c r="AD207" s="222">
        <v>312</v>
      </c>
      <c r="AE207" s="222">
        <v>0.45</v>
      </c>
      <c r="AF207" s="222">
        <v>0</v>
      </c>
      <c r="AG207" s="222">
        <v>0</v>
      </c>
    </row>
    <row r="208" spans="1:87">
      <c r="D208" s="120" t="s">
        <v>466</v>
      </c>
      <c r="E208" s="222">
        <v>3.8</v>
      </c>
      <c r="F208" s="222">
        <v>2.2000000000000002</v>
      </c>
      <c r="G208" s="222">
        <v>0.16</v>
      </c>
      <c r="H208" s="222">
        <v>0.02</v>
      </c>
      <c r="I208" s="222">
        <v>0</v>
      </c>
      <c r="J208" s="222">
        <v>0.04</v>
      </c>
      <c r="K208" s="222">
        <v>0.1</v>
      </c>
      <c r="L208" s="222">
        <v>2.7</v>
      </c>
      <c r="M208" s="222">
        <v>22</v>
      </c>
      <c r="N208" s="222">
        <v>0</v>
      </c>
      <c r="O208" s="222">
        <v>0</v>
      </c>
      <c r="P208" s="222">
        <v>93.6</v>
      </c>
      <c r="Q208" s="222">
        <v>0</v>
      </c>
      <c r="R208" s="222">
        <v>636</v>
      </c>
      <c r="S208" s="222">
        <v>25.82</v>
      </c>
      <c r="T208" s="222">
        <v>0</v>
      </c>
      <c r="U208" s="222">
        <v>3.7</v>
      </c>
      <c r="V208" s="222">
        <v>4.5999999999999999E-2</v>
      </c>
      <c r="W208" s="222">
        <v>0.10200000000000001</v>
      </c>
      <c r="X208" s="222">
        <v>0.44600000000000001</v>
      </c>
      <c r="Y208" s="222">
        <v>0.4</v>
      </c>
      <c r="Z208" s="222">
        <v>95.44</v>
      </c>
      <c r="AA208" s="222">
        <v>0</v>
      </c>
      <c r="AB208" s="222">
        <v>1.2399999999999998</v>
      </c>
      <c r="AC208" s="222">
        <v>0</v>
      </c>
      <c r="AD208" s="222">
        <v>0</v>
      </c>
      <c r="AE208" s="222">
        <v>0</v>
      </c>
      <c r="AF208" s="222">
        <v>0</v>
      </c>
      <c r="AG208" s="222">
        <v>0</v>
      </c>
    </row>
    <row r="209" spans="1:33">
      <c r="D209" s="120" t="s">
        <v>467</v>
      </c>
      <c r="E209" s="222">
        <v>5.5333333333333332</v>
      </c>
      <c r="F209" s="222">
        <v>1.4333333333333333</v>
      </c>
      <c r="G209" s="222">
        <v>9.3333333333333338E-2</v>
      </c>
      <c r="H209" s="222">
        <v>2.3333333333333331E-2</v>
      </c>
      <c r="I209" s="222">
        <v>0</v>
      </c>
      <c r="J209" s="222">
        <v>0</v>
      </c>
      <c r="K209" s="222">
        <v>7.4999999999999997E-2</v>
      </c>
      <c r="L209" s="222">
        <v>1.8</v>
      </c>
      <c r="M209" s="222">
        <v>11.3</v>
      </c>
      <c r="N209" s="222">
        <v>0</v>
      </c>
      <c r="O209" s="222">
        <v>0</v>
      </c>
      <c r="P209" s="222">
        <v>26.033333333333335</v>
      </c>
      <c r="Q209" s="222">
        <v>0</v>
      </c>
      <c r="R209" s="222">
        <v>29.1</v>
      </c>
      <c r="S209" s="222">
        <v>15.740000000000002</v>
      </c>
      <c r="T209" s="222">
        <v>0</v>
      </c>
      <c r="U209" s="222">
        <v>0</v>
      </c>
      <c r="V209" s="222">
        <v>5.7666666666666672E-2</v>
      </c>
      <c r="W209" s="222">
        <v>5.1333333333333342E-2</v>
      </c>
      <c r="X209" s="222">
        <v>0.66633333333333333</v>
      </c>
      <c r="Y209" s="222">
        <v>0</v>
      </c>
      <c r="Z209" s="222">
        <v>28.333333333333332</v>
      </c>
      <c r="AA209" s="222">
        <v>0</v>
      </c>
      <c r="AB209" s="222">
        <v>0.6156666666666667</v>
      </c>
      <c r="AC209" s="222">
        <v>0</v>
      </c>
      <c r="AD209" s="222">
        <v>0</v>
      </c>
      <c r="AE209" s="222">
        <v>0</v>
      </c>
      <c r="AF209" s="222">
        <v>0</v>
      </c>
      <c r="AG209" s="222">
        <v>0</v>
      </c>
    </row>
    <row r="210" spans="1:33">
      <c r="D210" s="120" t="s">
        <v>468</v>
      </c>
      <c r="E210" s="222">
        <v>5.5</v>
      </c>
      <c r="F210" s="222">
        <v>1</v>
      </c>
      <c r="G210" s="222">
        <v>6.25E-2</v>
      </c>
      <c r="H210" s="222">
        <v>0</v>
      </c>
      <c r="I210" s="222">
        <v>0</v>
      </c>
      <c r="J210" s="222">
        <v>0</v>
      </c>
      <c r="K210" s="222">
        <v>6.25E-2</v>
      </c>
      <c r="L210" s="222">
        <v>1.625</v>
      </c>
      <c r="M210" s="222">
        <v>11.875</v>
      </c>
      <c r="N210" s="222">
        <v>0</v>
      </c>
      <c r="O210" s="222">
        <v>0</v>
      </c>
      <c r="P210" s="222">
        <v>18</v>
      </c>
      <c r="Q210" s="222">
        <v>0</v>
      </c>
      <c r="R210" s="222">
        <v>601.625</v>
      </c>
      <c r="S210" s="222">
        <v>37.787499999999994</v>
      </c>
      <c r="T210" s="222">
        <v>0</v>
      </c>
      <c r="U210" s="222">
        <v>0</v>
      </c>
      <c r="V210" s="222">
        <v>4.4999999999999998E-2</v>
      </c>
      <c r="W210" s="222">
        <v>2.6249999999999999E-2</v>
      </c>
      <c r="X210" s="222">
        <v>0.48125000000000001</v>
      </c>
      <c r="Y210" s="222">
        <v>0</v>
      </c>
      <c r="Z210" s="222">
        <v>14.1625</v>
      </c>
      <c r="AA210" s="222">
        <v>0</v>
      </c>
      <c r="AB210" s="222">
        <v>0.50124999999999997</v>
      </c>
      <c r="AC210" s="222">
        <v>0</v>
      </c>
      <c r="AD210" s="222">
        <v>0</v>
      </c>
      <c r="AE210" s="222">
        <v>0</v>
      </c>
      <c r="AF210" s="222">
        <v>0</v>
      </c>
      <c r="AG210" s="222">
        <v>0</v>
      </c>
    </row>
    <row r="211" spans="1:33">
      <c r="D211" s="120" t="s">
        <v>469</v>
      </c>
      <c r="E211" s="222">
        <v>2.7766666666666664</v>
      </c>
      <c r="F211" s="222">
        <v>1.7849999999999997</v>
      </c>
      <c r="G211" s="222">
        <v>0.35888888888888881</v>
      </c>
      <c r="H211" s="222">
        <v>0.1</v>
      </c>
      <c r="I211" s="222">
        <v>0</v>
      </c>
      <c r="J211" s="222">
        <v>0.1</v>
      </c>
      <c r="K211" s="222">
        <v>0.1</v>
      </c>
      <c r="L211" s="222">
        <v>2.7624999999999997</v>
      </c>
      <c r="M211" s="222">
        <v>24</v>
      </c>
      <c r="N211" s="222">
        <v>0</v>
      </c>
      <c r="O211" s="222">
        <v>0</v>
      </c>
      <c r="P211" s="222">
        <v>124.9736111111111</v>
      </c>
      <c r="Q211" s="222">
        <v>0</v>
      </c>
      <c r="R211" s="222">
        <v>0</v>
      </c>
      <c r="S211" s="222">
        <v>0</v>
      </c>
      <c r="T211" s="222">
        <v>0</v>
      </c>
      <c r="U211" s="222">
        <v>0</v>
      </c>
      <c r="V211" s="222">
        <v>0</v>
      </c>
      <c r="W211" s="222">
        <v>0</v>
      </c>
      <c r="X211" s="222">
        <v>0</v>
      </c>
      <c r="Y211" s="222">
        <v>0</v>
      </c>
      <c r="Z211" s="222">
        <v>0</v>
      </c>
      <c r="AA211" s="222">
        <v>0</v>
      </c>
      <c r="AB211" s="222">
        <v>0</v>
      </c>
      <c r="AC211" s="222">
        <v>0</v>
      </c>
      <c r="AD211" s="222">
        <v>0</v>
      </c>
      <c r="AE211" s="222">
        <v>0</v>
      </c>
      <c r="AF211" s="222">
        <v>0</v>
      </c>
      <c r="AG211" s="222">
        <v>0</v>
      </c>
    </row>
    <row r="212" spans="1:33">
      <c r="D212" s="120" t="s">
        <v>363</v>
      </c>
      <c r="E212" s="185">
        <f t="shared" ref="E212:AG212" si="31">(E207*$E$216+E208*$E$217+$E$218*E209+E210*$E$219)</f>
        <v>8.7895833333333329</v>
      </c>
      <c r="F212" s="185">
        <f t="shared" si="31"/>
        <v>1.7058333333333335</v>
      </c>
      <c r="G212" s="185">
        <f t="shared" si="31"/>
        <v>0.18645833333333336</v>
      </c>
      <c r="H212" s="185">
        <f t="shared" si="31"/>
        <v>3.7983333333333327E-2</v>
      </c>
      <c r="I212" s="185">
        <f t="shared" si="31"/>
        <v>0</v>
      </c>
      <c r="J212" s="185">
        <f t="shared" si="31"/>
        <v>5.3683333333333347E-2</v>
      </c>
      <c r="K212" s="185">
        <f t="shared" si="31"/>
        <v>0.11501500000000002</v>
      </c>
      <c r="L212" s="185">
        <f t="shared" si="31"/>
        <v>1.9987500000000002</v>
      </c>
      <c r="M212" s="185">
        <v>225</v>
      </c>
      <c r="N212" s="185">
        <f t="shared" si="31"/>
        <v>0</v>
      </c>
      <c r="O212" s="185">
        <f t="shared" si="31"/>
        <v>0</v>
      </c>
      <c r="P212" s="185">
        <f t="shared" si="31"/>
        <v>24.910333333333334</v>
      </c>
      <c r="Q212" s="185">
        <f t="shared" si="31"/>
        <v>0</v>
      </c>
      <c r="R212" s="185">
        <f t="shared" si="31"/>
        <v>275.54925000000003</v>
      </c>
      <c r="S212" s="185">
        <f t="shared" si="31"/>
        <v>21.587</v>
      </c>
      <c r="T212" s="185">
        <f t="shared" si="31"/>
        <v>0</v>
      </c>
      <c r="U212" s="185">
        <f t="shared" si="31"/>
        <v>0.37000000000000005</v>
      </c>
      <c r="V212" s="185">
        <f t="shared" si="31"/>
        <v>7.4786666666666682E-2</v>
      </c>
      <c r="W212" s="185">
        <f t="shared" si="31"/>
        <v>4.8360833333333339E-2</v>
      </c>
      <c r="X212" s="185">
        <f t="shared" si="31"/>
        <v>0.72012583333333335</v>
      </c>
      <c r="Y212" s="185">
        <f t="shared" si="31"/>
        <v>4.0000000000000008E-2</v>
      </c>
      <c r="Z212" s="185">
        <f t="shared" si="31"/>
        <v>31.615108333333335</v>
      </c>
      <c r="AA212" s="185">
        <f t="shared" si="31"/>
        <v>0</v>
      </c>
      <c r="AB212" s="185">
        <f t="shared" si="31"/>
        <v>0.63954166666666667</v>
      </c>
      <c r="AC212" s="185">
        <f t="shared" si="31"/>
        <v>0</v>
      </c>
      <c r="AD212" s="185">
        <f t="shared" si="31"/>
        <v>102.96000000000001</v>
      </c>
      <c r="AE212" s="185">
        <f t="shared" si="31"/>
        <v>0.14850000000000002</v>
      </c>
      <c r="AF212" s="185">
        <f t="shared" si="31"/>
        <v>0</v>
      </c>
      <c r="AG212" s="185">
        <f t="shared" si="31"/>
        <v>0</v>
      </c>
    </row>
    <row r="213" spans="1:33">
      <c r="D213" s="120"/>
      <c r="J213" s="202"/>
      <c r="Q213" s="132"/>
      <c r="R213" s="132"/>
      <c r="S213" s="132"/>
      <c r="T213" s="132"/>
    </row>
    <row r="214" spans="1:33">
      <c r="D214" s="219" t="s">
        <v>250</v>
      </c>
      <c r="J214" s="202"/>
      <c r="Q214" s="132"/>
      <c r="R214" s="132"/>
      <c r="S214" s="132"/>
      <c r="T214" s="132"/>
    </row>
    <row r="215" spans="1:33">
      <c r="D215" s="120"/>
      <c r="J215" s="202"/>
      <c r="Q215" s="132"/>
      <c r="R215" s="132"/>
      <c r="S215" s="132"/>
      <c r="T215" s="132"/>
    </row>
    <row r="216" spans="1:33">
      <c r="D216" s="120" t="s">
        <v>465</v>
      </c>
      <c r="E216" s="133">
        <v>0.33</v>
      </c>
      <c r="J216" s="202"/>
      <c r="Q216" s="132"/>
      <c r="R216" s="132"/>
      <c r="S216" s="132"/>
      <c r="T216" s="132"/>
    </row>
    <row r="217" spans="1:33">
      <c r="D217" s="120" t="s">
        <v>466</v>
      </c>
      <c r="E217" s="133">
        <v>0.1</v>
      </c>
      <c r="J217" s="180"/>
      <c r="K217" s="180"/>
      <c r="L217" s="180"/>
      <c r="M217" s="180"/>
      <c r="N217" s="180"/>
      <c r="O217" s="180"/>
      <c r="P217" s="180"/>
    </row>
    <row r="218" spans="1:33">
      <c r="D218" s="120" t="s">
        <v>467</v>
      </c>
      <c r="E218" s="133">
        <v>0.25</v>
      </c>
      <c r="J218" s="180"/>
      <c r="K218" s="180"/>
      <c r="L218" s="180"/>
      <c r="M218" s="180"/>
      <c r="N218" s="180"/>
      <c r="O218" s="180"/>
      <c r="P218" s="180"/>
    </row>
    <row r="219" spans="1:33">
      <c r="D219" s="120" t="s">
        <v>468</v>
      </c>
      <c r="E219" s="133">
        <v>0.33</v>
      </c>
      <c r="J219" s="180"/>
      <c r="K219" s="180"/>
      <c r="L219" s="180"/>
      <c r="M219" s="180"/>
      <c r="N219" s="180"/>
      <c r="O219" s="180"/>
      <c r="P219" s="180"/>
    </row>
    <row r="220" spans="1:33">
      <c r="J220" s="180"/>
      <c r="K220" s="180"/>
      <c r="L220" s="180"/>
      <c r="M220" s="180"/>
      <c r="N220" s="180"/>
      <c r="O220" s="180"/>
      <c r="P220" s="180"/>
    </row>
    <row r="221" spans="1:33">
      <c r="A221" s="201"/>
      <c r="B221" s="201"/>
      <c r="C221" s="201"/>
      <c r="D221" s="219"/>
      <c r="E221" s="201"/>
      <c r="F221" s="119"/>
      <c r="G221" s="119"/>
      <c r="H221" s="119"/>
      <c r="I221" s="201"/>
      <c r="J221" s="119"/>
      <c r="K221" s="119"/>
      <c r="M221" s="119"/>
      <c r="N221" s="119"/>
    </row>
    <row r="222" spans="1:33">
      <c r="A222" s="132"/>
      <c r="B222" s="132"/>
      <c r="C222" s="132"/>
      <c r="D222" s="120"/>
      <c r="F222" s="180"/>
      <c r="G222" s="180"/>
      <c r="H222" s="180"/>
      <c r="I222" s="180"/>
      <c r="J222" s="180"/>
      <c r="K222" s="180"/>
      <c r="M222" s="180"/>
      <c r="N222" s="180"/>
    </row>
    <row r="223" spans="1:33">
      <c r="A223" s="132"/>
      <c r="B223" s="132"/>
      <c r="C223" s="132"/>
      <c r="D223" s="34"/>
      <c r="F223" s="180"/>
      <c r="G223" s="180"/>
      <c r="H223" s="180"/>
      <c r="I223" s="180"/>
      <c r="J223" s="180"/>
      <c r="K223" s="180"/>
      <c r="M223" s="180"/>
      <c r="N223" s="180"/>
    </row>
    <row r="224" spans="1:33">
      <c r="A224" s="132"/>
      <c r="B224" s="132"/>
      <c r="C224" s="132"/>
      <c r="D224" s="120"/>
      <c r="F224" s="180"/>
      <c r="G224" s="180"/>
      <c r="H224" s="180"/>
      <c r="I224" s="180"/>
      <c r="J224" s="180"/>
      <c r="K224" s="180"/>
      <c r="M224" s="180"/>
      <c r="N224" s="180"/>
    </row>
    <row r="225" spans="1:14">
      <c r="A225" s="132"/>
      <c r="B225" s="132"/>
      <c r="C225" s="132"/>
      <c r="D225" s="120"/>
      <c r="F225" s="180"/>
      <c r="G225" s="180"/>
      <c r="H225" s="180"/>
      <c r="I225" s="180"/>
      <c r="J225" s="180"/>
      <c r="K225" s="180"/>
      <c r="M225" s="180"/>
      <c r="N225" s="180"/>
    </row>
    <row r="226" spans="1:14">
      <c r="A226" s="132"/>
      <c r="B226" s="132"/>
      <c r="C226" s="132"/>
      <c r="D226" s="120"/>
      <c r="F226" s="180"/>
      <c r="G226" s="180"/>
      <c r="H226" s="180"/>
      <c r="I226" s="180"/>
      <c r="J226" s="180"/>
      <c r="K226" s="180"/>
      <c r="M226" s="180"/>
      <c r="N226" s="180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80"/>
      <c r="K241" s="180"/>
      <c r="L241" s="180"/>
      <c r="M241" s="180"/>
      <c r="N241" s="180"/>
      <c r="O241" s="180"/>
      <c r="P241" s="180"/>
    </row>
    <row r="242" spans="10:16">
      <c r="J242" s="180"/>
      <c r="K242" s="180"/>
      <c r="L242" s="180"/>
      <c r="M242" s="180"/>
      <c r="N242" s="180"/>
      <c r="O242" s="180"/>
      <c r="P242" s="180"/>
    </row>
    <row r="243" spans="10:16">
      <c r="J243" s="180"/>
      <c r="K243" s="180"/>
      <c r="L243" s="180"/>
      <c r="M243" s="180"/>
      <c r="N243" s="180"/>
      <c r="O243" s="180"/>
      <c r="P243" s="180"/>
    </row>
    <row r="244" spans="10:16">
      <c r="J244" s="180"/>
      <c r="K244" s="180"/>
      <c r="L244" s="180"/>
      <c r="M244" s="180"/>
      <c r="N244" s="180"/>
      <c r="O244" s="180"/>
      <c r="P244" s="180"/>
    </row>
    <row r="245" spans="10:16">
      <c r="J245" s="180"/>
      <c r="K245" s="180"/>
      <c r="L245" s="180"/>
      <c r="M245" s="180"/>
      <c r="N245" s="180"/>
      <c r="O245" s="180"/>
      <c r="P245" s="180"/>
    </row>
    <row r="246" spans="10:16">
      <c r="J246" s="180"/>
      <c r="K246" s="180"/>
      <c r="L246" s="180"/>
      <c r="M246" s="180"/>
      <c r="N246" s="180"/>
      <c r="O246" s="180"/>
      <c r="P246" s="180"/>
    </row>
    <row r="247" spans="10:16">
      <c r="J247" s="180"/>
      <c r="K247" s="180"/>
      <c r="L247" s="180"/>
      <c r="M247" s="180"/>
      <c r="N247" s="180"/>
      <c r="O247" s="180"/>
      <c r="P247" s="180"/>
    </row>
    <row r="248" spans="10:16">
      <c r="J248" s="180"/>
      <c r="K248" s="180"/>
      <c r="L248" s="180"/>
      <c r="M248" s="180"/>
      <c r="N248" s="180"/>
      <c r="O248" s="180"/>
      <c r="P248" s="180"/>
    </row>
    <row r="249" spans="10:16">
      <c r="J249" s="180"/>
      <c r="K249" s="180"/>
      <c r="L249" s="180"/>
      <c r="M249" s="180"/>
      <c r="N249" s="180"/>
      <c r="O249" s="180"/>
      <c r="P249" s="180"/>
    </row>
    <row r="250" spans="10:16">
      <c r="J250" s="180"/>
      <c r="K250" s="180"/>
      <c r="L250" s="180"/>
      <c r="M250" s="180"/>
      <c r="N250" s="180"/>
      <c r="O250" s="180"/>
      <c r="P250" s="180"/>
    </row>
    <row r="251" spans="10:16">
      <c r="J251" s="180"/>
      <c r="K251" s="180"/>
      <c r="L251" s="180"/>
      <c r="M251" s="180"/>
      <c r="N251" s="180"/>
      <c r="O251" s="180"/>
      <c r="P251" s="180"/>
    </row>
    <row r="252" spans="10:16">
      <c r="J252" s="180"/>
      <c r="K252" s="180"/>
      <c r="L252" s="180"/>
      <c r="M252" s="180"/>
      <c r="N252" s="180"/>
      <c r="O252" s="180"/>
      <c r="P252" s="180"/>
    </row>
    <row r="253" spans="10:16">
      <c r="J253" s="180"/>
      <c r="K253" s="180"/>
      <c r="L253" s="180"/>
      <c r="M253" s="180"/>
      <c r="N253" s="180"/>
      <c r="O253" s="180"/>
      <c r="P253" s="180"/>
    </row>
    <row r="254" spans="10:16">
      <c r="J254" s="180"/>
      <c r="K254" s="180"/>
      <c r="L254" s="180"/>
      <c r="M254" s="180"/>
      <c r="N254" s="180"/>
      <c r="O254" s="180"/>
      <c r="P254" s="180"/>
    </row>
    <row r="255" spans="10:16">
      <c r="J255" s="180"/>
      <c r="K255" s="180"/>
      <c r="L255" s="180"/>
      <c r="M255" s="180"/>
      <c r="N255" s="180"/>
      <c r="O255" s="180"/>
      <c r="P255" s="180"/>
    </row>
    <row r="256" spans="10:16">
      <c r="J256" s="180"/>
      <c r="K256" s="180"/>
      <c r="L256" s="180"/>
      <c r="M256" s="180"/>
      <c r="N256" s="180"/>
      <c r="O256" s="180"/>
      <c r="P256" s="180"/>
    </row>
    <row r="257" spans="10:16">
      <c r="J257" s="180"/>
      <c r="K257" s="180"/>
      <c r="L257" s="180"/>
      <c r="M257" s="180"/>
      <c r="N257" s="180"/>
      <c r="O257" s="180"/>
      <c r="P257" s="180"/>
    </row>
    <row r="258" spans="10:16">
      <c r="J258" s="180"/>
      <c r="K258" s="180"/>
      <c r="L258" s="180"/>
      <c r="M258" s="180"/>
      <c r="N258" s="180"/>
      <c r="O258" s="180"/>
      <c r="P258" s="180"/>
    </row>
    <row r="259" spans="10:16">
      <c r="J259" s="180"/>
      <c r="K259" s="180"/>
      <c r="L259" s="180"/>
      <c r="M259" s="180"/>
      <c r="N259" s="180"/>
      <c r="O259" s="180"/>
      <c r="P259" s="180"/>
    </row>
    <row r="260" spans="10:16">
      <c r="J260" s="180"/>
      <c r="K260" s="180"/>
      <c r="L260" s="180"/>
      <c r="M260" s="180"/>
      <c r="N260" s="180"/>
      <c r="O260" s="180"/>
      <c r="P260" s="180"/>
    </row>
  </sheetData>
  <mergeCells count="16"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I&amp;O</vt:lpstr>
      <vt:lpstr>Diet Chart</vt:lpstr>
      <vt:lpstr>Adults</vt:lpstr>
      <vt:lpstr>Basic diet 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2016-01-22T09:32:39Z</dcterms:modified>
</cp:coreProperties>
</file>