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950" activeTab="3"/>
  </bookViews>
  <sheets>
    <sheet name="BMI child" sheetId="5" r:id="rId1"/>
    <sheet name="child TER" sheetId="6" r:id="rId2"/>
    <sheet name="child" sheetId="7" r:id="rId3"/>
    <sheet name="I&amp;O" sheetId="1" r:id="rId4"/>
    <sheet name="Diet Chart" sheetId="2" r:id="rId5"/>
    <sheet name="Adults" sheetId="3" r:id="rId6"/>
    <sheet name="Basic diet cal" sheetId="4" r:id="rId7"/>
  </sheets>
  <definedNames>
    <definedName name="_xlnm.Database" localSheetId="0">#REF!</definedName>
    <definedName name="_xlnm.Database" localSheetId="1">#REF!</definedName>
    <definedName name="_xlnm.Database">#REF!</definedName>
    <definedName name="import" localSheetId="0">#REF!</definedName>
    <definedName name="import" localSheetId="1">#REF!</definedName>
    <definedName name="import">#REF!</definedName>
    <definedName name="NIN" localSheetId="0">#REF!</definedName>
    <definedName name="NIN" localSheetId="1">#REF!</definedName>
    <definedName name="NIN">#REF!</definedName>
    <definedName name="NSIdata" localSheetId="0">#REF!</definedName>
    <definedName name="NSIdata" localSheetId="1">#REF!</definedName>
    <definedName name="NSIdata">#REF!</definedName>
    <definedName name="_xlnm.Print_Area" localSheetId="0">'BMI child'!$B$1:$S$196</definedName>
  </definedNames>
  <calcPr calcId="124519" iterate="1"/>
</workbook>
</file>

<file path=xl/calcChain.xml><?xml version="1.0" encoding="utf-8"?>
<calcChain xmlns="http://schemas.openxmlformats.org/spreadsheetml/2006/main">
  <c r="B25" i="6"/>
  <c r="B4" i="7"/>
  <c r="F52" i="6" s="1"/>
  <c r="C1" i="7"/>
  <c r="G51" i="6"/>
  <c r="H45"/>
  <c r="F43"/>
  <c r="AL39"/>
  <c r="B33"/>
  <c r="C30"/>
  <c r="B31" s="1"/>
  <c r="B30"/>
  <c r="B27"/>
  <c r="B28" s="1"/>
  <c r="B26"/>
  <c r="D25"/>
  <c r="C25"/>
  <c r="M22"/>
  <c r="N22" s="1"/>
  <c r="K22"/>
  <c r="L22" s="1"/>
  <c r="Q21"/>
  <c r="M21"/>
  <c r="N21" s="1"/>
  <c r="L21"/>
  <c r="K21"/>
  <c r="Q20"/>
  <c r="M20"/>
  <c r="N20" s="1"/>
  <c r="K20"/>
  <c r="L20" s="1"/>
  <c r="Q19"/>
  <c r="N19"/>
  <c r="M19"/>
  <c r="K19"/>
  <c r="L19" s="1"/>
  <c r="Q18"/>
  <c r="M18"/>
  <c r="N18" s="1"/>
  <c r="K18"/>
  <c r="L18" s="1"/>
  <c r="Q17"/>
  <c r="M17"/>
  <c r="N17" s="1"/>
  <c r="L17"/>
  <c r="K17"/>
  <c r="Q16"/>
  <c r="M16"/>
  <c r="N16" s="1"/>
  <c r="K16"/>
  <c r="L16" s="1"/>
  <c r="Q15"/>
  <c r="N15"/>
  <c r="M15"/>
  <c r="K15"/>
  <c r="L15" s="1"/>
  <c r="Q14"/>
  <c r="M14"/>
  <c r="N14" s="1"/>
  <c r="K14"/>
  <c r="L14" s="1"/>
  <c r="Q13"/>
  <c r="M13"/>
  <c r="N13" s="1"/>
  <c r="L13"/>
  <c r="K13"/>
  <c r="Q12"/>
  <c r="M12"/>
  <c r="N12" s="1"/>
  <c r="K12"/>
  <c r="L12" s="1"/>
  <c r="Q11"/>
  <c r="N11"/>
  <c r="M11"/>
  <c r="K11"/>
  <c r="L11" s="1"/>
  <c r="Q10"/>
  <c r="K10"/>
  <c r="L10" s="1"/>
  <c r="J10"/>
  <c r="H10"/>
  <c r="M10" s="1"/>
  <c r="N10" s="1"/>
  <c r="D10"/>
  <c r="E10" s="1"/>
  <c r="Q9"/>
  <c r="L9"/>
  <c r="K9"/>
  <c r="J9"/>
  <c r="H9"/>
  <c r="M9" s="1"/>
  <c r="N9" s="1"/>
  <c r="E9"/>
  <c r="D9"/>
  <c r="Q8"/>
  <c r="K8"/>
  <c r="L8" s="1"/>
  <c r="J8"/>
  <c r="H8"/>
  <c r="M8" s="1"/>
  <c r="N8" s="1"/>
  <c r="D8"/>
  <c r="E8" s="1"/>
  <c r="Q7"/>
  <c r="K7"/>
  <c r="L7" s="1"/>
  <c r="J7"/>
  <c r="H7"/>
  <c r="M7" s="1"/>
  <c r="N7" s="1"/>
  <c r="D7"/>
  <c r="E7" s="1"/>
  <c r="K6"/>
  <c r="L6" s="1"/>
  <c r="J6"/>
  <c r="H6"/>
  <c r="M6" s="1"/>
  <c r="N6" s="1"/>
  <c r="D6"/>
  <c r="E6" s="1"/>
  <c r="G44" l="1"/>
  <c r="I46"/>
  <c r="H52"/>
  <c r="C44"/>
  <c r="E46"/>
  <c r="D52"/>
  <c r="D45"/>
  <c r="C51"/>
  <c r="B32"/>
  <c r="B9" i="7" s="1"/>
  <c r="G43" i="6"/>
  <c r="H44"/>
  <c r="I45"/>
  <c r="B51"/>
  <c r="C52"/>
  <c r="B53" s="1"/>
  <c r="B12" i="7" s="1"/>
  <c r="C43" i="6"/>
  <c r="D44"/>
  <c r="E45"/>
  <c r="F46"/>
  <c r="F51"/>
  <c r="G52"/>
  <c r="C36"/>
  <c r="B37" s="1"/>
  <c r="D36"/>
  <c r="D43"/>
  <c r="H43"/>
  <c r="E44"/>
  <c r="I44"/>
  <c r="F45"/>
  <c r="C46"/>
  <c r="G46"/>
  <c r="D51"/>
  <c r="H51"/>
  <c r="E52"/>
  <c r="B36"/>
  <c r="E43"/>
  <c r="I43"/>
  <c r="F44"/>
  <c r="C45"/>
  <c r="G45"/>
  <c r="D46"/>
  <c r="H46"/>
  <c r="E51"/>
  <c r="B52"/>
  <c r="C71" i="1"/>
  <c r="AA48" i="2" s="1"/>
  <c r="G48" s="1"/>
  <c r="M49"/>
  <c r="L49"/>
  <c r="K49"/>
  <c r="J49"/>
  <c r="I49"/>
  <c r="H49"/>
  <c r="G49"/>
  <c r="F49"/>
  <c r="E49"/>
  <c r="D49"/>
  <c r="C49"/>
  <c r="B49"/>
  <c r="M46"/>
  <c r="L46"/>
  <c r="K46"/>
  <c r="J46"/>
  <c r="I46"/>
  <c r="H46"/>
  <c r="G46"/>
  <c r="F46"/>
  <c r="E46"/>
  <c r="D46"/>
  <c r="C46"/>
  <c r="B46"/>
  <c r="M45"/>
  <c r="L45"/>
  <c r="K45"/>
  <c r="J45"/>
  <c r="I45"/>
  <c r="H45"/>
  <c r="G45"/>
  <c r="F45"/>
  <c r="E45"/>
  <c r="D45"/>
  <c r="C45"/>
  <c r="B45"/>
  <c r="M44"/>
  <c r="L44"/>
  <c r="K44"/>
  <c r="J44"/>
  <c r="I44"/>
  <c r="H44"/>
  <c r="G44"/>
  <c r="F44"/>
  <c r="E44"/>
  <c r="D44"/>
  <c r="C44"/>
  <c r="B44"/>
  <c r="M43"/>
  <c r="L43"/>
  <c r="K43"/>
  <c r="J43"/>
  <c r="I43"/>
  <c r="H43"/>
  <c r="G43"/>
  <c r="F43"/>
  <c r="E43"/>
  <c r="D43"/>
  <c r="C43"/>
  <c r="B43"/>
  <c r="M42"/>
  <c r="L42"/>
  <c r="K42"/>
  <c r="J42"/>
  <c r="I42"/>
  <c r="H42"/>
  <c r="G42"/>
  <c r="F42"/>
  <c r="E42"/>
  <c r="D42"/>
  <c r="C42"/>
  <c r="B42"/>
  <c r="M41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B38"/>
  <c r="M37"/>
  <c r="L37"/>
  <c r="K37"/>
  <c r="J37"/>
  <c r="I37"/>
  <c r="H37"/>
  <c r="G37"/>
  <c r="F37"/>
  <c r="E37"/>
  <c r="D37"/>
  <c r="C37"/>
  <c r="B37"/>
  <c r="M36"/>
  <c r="L36"/>
  <c r="K36"/>
  <c r="J36"/>
  <c r="I36"/>
  <c r="H36"/>
  <c r="G36"/>
  <c r="F36"/>
  <c r="E36"/>
  <c r="D36"/>
  <c r="C36"/>
  <c r="B36"/>
  <c r="M35"/>
  <c r="L35"/>
  <c r="K35"/>
  <c r="J35"/>
  <c r="I35"/>
  <c r="H35"/>
  <c r="G35"/>
  <c r="F35"/>
  <c r="E35"/>
  <c r="D35"/>
  <c r="C35"/>
  <c r="B35"/>
  <c r="M34"/>
  <c r="L34"/>
  <c r="K34"/>
  <c r="J34"/>
  <c r="I34"/>
  <c r="H34"/>
  <c r="G34"/>
  <c r="F34"/>
  <c r="E34"/>
  <c r="D34"/>
  <c r="C34"/>
  <c r="B34"/>
  <c r="M33"/>
  <c r="L33"/>
  <c r="K33"/>
  <c r="J33"/>
  <c r="I33"/>
  <c r="H33"/>
  <c r="G33"/>
  <c r="F33"/>
  <c r="E33"/>
  <c r="D33"/>
  <c r="C33"/>
  <c r="B33"/>
  <c r="M32"/>
  <c r="L32"/>
  <c r="K32"/>
  <c r="J32"/>
  <c r="I32"/>
  <c r="H32"/>
  <c r="G32"/>
  <c r="F32"/>
  <c r="E32"/>
  <c r="D32"/>
  <c r="C32"/>
  <c r="B32"/>
  <c r="M31"/>
  <c r="L31"/>
  <c r="K31"/>
  <c r="J31"/>
  <c r="I31"/>
  <c r="H31"/>
  <c r="G31"/>
  <c r="F31"/>
  <c r="E31"/>
  <c r="D31"/>
  <c r="C31"/>
  <c r="B31"/>
  <c r="V67"/>
  <c r="D126" i="1"/>
  <c r="D125"/>
  <c r="D124"/>
  <c r="D123"/>
  <c r="D121"/>
  <c r="AD47" i="2" l="1"/>
  <c r="J47" s="1"/>
  <c r="B38" i="6"/>
  <c r="B48"/>
  <c r="B49"/>
  <c r="B47" s="1"/>
  <c r="B11" i="7" s="1"/>
  <c r="B20"/>
  <c r="C27" i="1" s="1"/>
  <c r="B19" i="7"/>
  <c r="Z47" i="2"/>
  <c r="F47" s="1"/>
  <c r="Z24"/>
  <c r="AE25"/>
  <c r="W48"/>
  <c r="C48" s="1"/>
  <c r="AD48"/>
  <c r="J48" s="1"/>
  <c r="W25"/>
  <c r="AE48"/>
  <c r="K48" s="1"/>
  <c r="V25"/>
  <c r="AA25"/>
  <c r="AD24"/>
  <c r="V48"/>
  <c r="B48" s="1"/>
  <c r="W24"/>
  <c r="AE24"/>
  <c r="AB25"/>
  <c r="W47"/>
  <c r="C47" s="1"/>
  <c r="AE47"/>
  <c r="K47" s="1"/>
  <c r="AB48"/>
  <c r="H48" s="1"/>
  <c r="X24"/>
  <c r="AB24"/>
  <c r="AF24"/>
  <c r="Y25"/>
  <c r="AC25"/>
  <c r="AG25"/>
  <c r="X47"/>
  <c r="D47" s="1"/>
  <c r="AB47"/>
  <c r="H47" s="1"/>
  <c r="AF47"/>
  <c r="L47" s="1"/>
  <c r="Y48"/>
  <c r="E48" s="1"/>
  <c r="AC48"/>
  <c r="I48" s="1"/>
  <c r="AG48"/>
  <c r="M48" s="1"/>
  <c r="AA24"/>
  <c r="X25"/>
  <c r="AF25"/>
  <c r="AA47"/>
  <c r="G47" s="1"/>
  <c r="X48"/>
  <c r="D48" s="1"/>
  <c r="AF48"/>
  <c r="L48" s="1"/>
  <c r="V24"/>
  <c r="Y24"/>
  <c r="AC24"/>
  <c r="AG24"/>
  <c r="Z25"/>
  <c r="AD25"/>
  <c r="V47"/>
  <c r="B47" s="1"/>
  <c r="Y47"/>
  <c r="E47" s="1"/>
  <c r="AC47"/>
  <c r="I47" s="1"/>
  <c r="AG47"/>
  <c r="M47" s="1"/>
  <c r="Z48"/>
  <c r="F48" s="1"/>
  <c r="E103" i="1"/>
  <c r="E41" i="4"/>
  <c r="E40"/>
  <c r="E39"/>
  <c r="E38"/>
  <c r="M72" i="2" l="1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8"/>
  <c r="L68"/>
  <c r="K68"/>
  <c r="J68"/>
  <c r="I68"/>
  <c r="H68"/>
  <c r="G68"/>
  <c r="F68"/>
  <c r="E68"/>
  <c r="D68"/>
  <c r="C68"/>
  <c r="M67"/>
  <c r="L67"/>
  <c r="K67"/>
  <c r="J67"/>
  <c r="I67"/>
  <c r="H67"/>
  <c r="G67"/>
  <c r="F67"/>
  <c r="E67"/>
  <c r="D67"/>
  <c r="C67"/>
  <c r="M66"/>
  <c r="L66"/>
  <c r="K66"/>
  <c r="J66"/>
  <c r="I66"/>
  <c r="H66"/>
  <c r="G66"/>
  <c r="F66"/>
  <c r="E66"/>
  <c r="D66"/>
  <c r="C66"/>
  <c r="M65"/>
  <c r="L65"/>
  <c r="K65"/>
  <c r="J65"/>
  <c r="I65"/>
  <c r="H65"/>
  <c r="G65"/>
  <c r="F65"/>
  <c r="E65"/>
  <c r="D65"/>
  <c r="C65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60"/>
  <c r="L60"/>
  <c r="K60"/>
  <c r="J60"/>
  <c r="I60"/>
  <c r="H60"/>
  <c r="G60"/>
  <c r="F60"/>
  <c r="E60"/>
  <c r="D60"/>
  <c r="C60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M57"/>
  <c r="L57"/>
  <c r="K57"/>
  <c r="J57"/>
  <c r="I57"/>
  <c r="H57"/>
  <c r="G57"/>
  <c r="F57"/>
  <c r="E57"/>
  <c r="D57"/>
  <c r="C57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M26"/>
  <c r="L26"/>
  <c r="K26"/>
  <c r="J26"/>
  <c r="I26"/>
  <c r="H26"/>
  <c r="G26"/>
  <c r="F26"/>
  <c r="E26"/>
  <c r="D26"/>
  <c r="C26"/>
  <c r="M25"/>
  <c r="L25"/>
  <c r="K25"/>
  <c r="J25"/>
  <c r="I25"/>
  <c r="H25"/>
  <c r="G25"/>
  <c r="F25"/>
  <c r="E25"/>
  <c r="D25"/>
  <c r="C25"/>
  <c r="M24"/>
  <c r="L24"/>
  <c r="K24"/>
  <c r="J24"/>
  <c r="I24"/>
  <c r="H24"/>
  <c r="G24"/>
  <c r="F24"/>
  <c r="E24"/>
  <c r="D24"/>
  <c r="C24"/>
  <c r="M23"/>
  <c r="L23"/>
  <c r="K23"/>
  <c r="J23"/>
  <c r="I23"/>
  <c r="H23"/>
  <c r="G23"/>
  <c r="F23"/>
  <c r="E23"/>
  <c r="D23"/>
  <c r="C23"/>
  <c r="M22"/>
  <c r="L22"/>
  <c r="K22"/>
  <c r="J22"/>
  <c r="I22"/>
  <c r="H22"/>
  <c r="G22"/>
  <c r="F22"/>
  <c r="E22"/>
  <c r="D22"/>
  <c r="C22"/>
  <c r="M21"/>
  <c r="L21"/>
  <c r="K21"/>
  <c r="J21"/>
  <c r="I21"/>
  <c r="H21"/>
  <c r="G21"/>
  <c r="F21"/>
  <c r="E21"/>
  <c r="D21"/>
  <c r="C21"/>
  <c r="M20"/>
  <c r="L20"/>
  <c r="K20"/>
  <c r="J20"/>
  <c r="I20"/>
  <c r="H20"/>
  <c r="G20"/>
  <c r="F20"/>
  <c r="E20"/>
  <c r="D20"/>
  <c r="C20"/>
  <c r="M19"/>
  <c r="L19"/>
  <c r="K19"/>
  <c r="J19"/>
  <c r="I19"/>
  <c r="H19"/>
  <c r="G19"/>
  <c r="F19"/>
  <c r="E19"/>
  <c r="D19"/>
  <c r="C19"/>
  <c r="M18"/>
  <c r="L18"/>
  <c r="K18"/>
  <c r="J18"/>
  <c r="I18"/>
  <c r="H18"/>
  <c r="G18"/>
  <c r="F18"/>
  <c r="E18"/>
  <c r="D18"/>
  <c r="C18"/>
  <c r="M17"/>
  <c r="L17"/>
  <c r="K17"/>
  <c r="J17"/>
  <c r="I17"/>
  <c r="H17"/>
  <c r="G17"/>
  <c r="F17"/>
  <c r="E17"/>
  <c r="D17"/>
  <c r="C17"/>
  <c r="M16"/>
  <c r="L16"/>
  <c r="K16"/>
  <c r="J16"/>
  <c r="I16"/>
  <c r="H16"/>
  <c r="G16"/>
  <c r="F16"/>
  <c r="E16"/>
  <c r="D16"/>
  <c r="C16"/>
  <c r="M15"/>
  <c r="L15"/>
  <c r="K15"/>
  <c r="J15"/>
  <c r="I15"/>
  <c r="H15"/>
  <c r="G15"/>
  <c r="F15"/>
  <c r="E15"/>
  <c r="D15"/>
  <c r="C15"/>
  <c r="M14"/>
  <c r="L14"/>
  <c r="K14"/>
  <c r="J14"/>
  <c r="I14"/>
  <c r="H14"/>
  <c r="G14"/>
  <c r="F14"/>
  <c r="E14"/>
  <c r="D14"/>
  <c r="C14"/>
  <c r="M13"/>
  <c r="L13"/>
  <c r="K13"/>
  <c r="J13"/>
  <c r="I13"/>
  <c r="H13"/>
  <c r="G13"/>
  <c r="F13"/>
  <c r="E13"/>
  <c r="D13"/>
  <c r="C13"/>
  <c r="M12"/>
  <c r="L12"/>
  <c r="K12"/>
  <c r="J12"/>
  <c r="I12"/>
  <c r="H12"/>
  <c r="G12"/>
  <c r="F12"/>
  <c r="E12"/>
  <c r="D12"/>
  <c r="C12"/>
  <c r="M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E23" i="1" l="1"/>
  <c r="F23" s="1"/>
  <c r="C25" s="1"/>
  <c r="E182" i="4" l="1"/>
  <c r="B54" i="2"/>
  <c r="B8"/>
  <c r="E130" i="4"/>
  <c r="E129"/>
  <c r="E128"/>
  <c r="E127"/>
  <c r="E126"/>
  <c r="E125"/>
  <c r="E186"/>
  <c r="E185"/>
  <c r="E184"/>
  <c r="E183"/>
  <c r="E169"/>
  <c r="E160"/>
  <c r="E13" s="1"/>
  <c r="E37"/>
  <c r="E33"/>
  <c r="E32"/>
  <c r="E31"/>
  <c r="E29"/>
  <c r="E28"/>
  <c r="E27"/>
  <c r="E26"/>
  <c r="E25"/>
  <c r="E24"/>
  <c r="E18"/>
  <c r="E17"/>
  <c r="E142" l="1"/>
  <c r="Z203"/>
  <c r="K203"/>
  <c r="S203"/>
  <c r="H203"/>
  <c r="L203"/>
  <c r="P203"/>
  <c r="T203"/>
  <c r="X203"/>
  <c r="AC203"/>
  <c r="G203"/>
  <c r="AA203"/>
  <c r="E203"/>
  <c r="I203"/>
  <c r="M203"/>
  <c r="Q203"/>
  <c r="U203"/>
  <c r="Y203"/>
  <c r="AE203"/>
  <c r="O203"/>
  <c r="W203"/>
  <c r="F203"/>
  <c r="J203"/>
  <c r="N203"/>
  <c r="R203"/>
  <c r="V203"/>
  <c r="AH203"/>
  <c r="AB203"/>
  <c r="AF203"/>
  <c r="AG203"/>
  <c r="AD203"/>
  <c r="D117" i="1" l="1"/>
  <c r="E85" i="4"/>
  <c r="B12" i="3" l="1"/>
  <c r="B10" l="1"/>
  <c r="B9"/>
  <c r="B7"/>
  <c r="AG212" i="4"/>
  <c r="AG4" s="1"/>
  <c r="AF212"/>
  <c r="AE212"/>
  <c r="AD212"/>
  <c r="AD4" s="1"/>
  <c r="AC212"/>
  <c r="AC4" s="1"/>
  <c r="AB212"/>
  <c r="AA212"/>
  <c r="Z212"/>
  <c r="Z4" s="1"/>
  <c r="Y212"/>
  <c r="Y4" s="1"/>
  <c r="X212"/>
  <c r="W212"/>
  <c r="V212"/>
  <c r="V4" s="1"/>
  <c r="U212"/>
  <c r="U4" s="1"/>
  <c r="T212"/>
  <c r="S212"/>
  <c r="R212"/>
  <c r="R4" s="1"/>
  <c r="Q212"/>
  <c r="Q4" s="1"/>
  <c r="P212"/>
  <c r="O212"/>
  <c r="N212"/>
  <c r="N4" s="1"/>
  <c r="L212"/>
  <c r="K212"/>
  <c r="J212"/>
  <c r="I212"/>
  <c r="H212"/>
  <c r="G212"/>
  <c r="F212"/>
  <c r="E212"/>
  <c r="AG169"/>
  <c r="AF169"/>
  <c r="AF6" s="1"/>
  <c r="AE169"/>
  <c r="AD169"/>
  <c r="AC169"/>
  <c r="AB169"/>
  <c r="AB6" s="1"/>
  <c r="Z169"/>
  <c r="Y169"/>
  <c r="X169"/>
  <c r="X6" s="1"/>
  <c r="W169"/>
  <c r="W6" s="1"/>
  <c r="V169"/>
  <c r="U169"/>
  <c r="T169"/>
  <c r="T6" s="1"/>
  <c r="S169"/>
  <c r="S6" s="1"/>
  <c r="R169"/>
  <c r="Q169"/>
  <c r="P169"/>
  <c r="P6" s="1"/>
  <c r="O169"/>
  <c r="O6" s="1"/>
  <c r="N169"/>
  <c r="M169"/>
  <c r="L169"/>
  <c r="L6" s="1"/>
  <c r="K169"/>
  <c r="K6" s="1"/>
  <c r="J169"/>
  <c r="I169"/>
  <c r="H169"/>
  <c r="H6" s="1"/>
  <c r="G169"/>
  <c r="G6" s="1"/>
  <c r="F169"/>
  <c r="AG160"/>
  <c r="AG13" s="1"/>
  <c r="AF160"/>
  <c r="AF13" s="1"/>
  <c r="AE160"/>
  <c r="AD160"/>
  <c r="AC160"/>
  <c r="AC13" s="1"/>
  <c r="AB160"/>
  <c r="AB13" s="1"/>
  <c r="AA160"/>
  <c r="Z160"/>
  <c r="Y160"/>
  <c r="Y13" s="1"/>
  <c r="X160"/>
  <c r="X13" s="1"/>
  <c r="W160"/>
  <c r="V160"/>
  <c r="U160"/>
  <c r="U13" s="1"/>
  <c r="T160"/>
  <c r="T13" s="1"/>
  <c r="S160"/>
  <c r="R160"/>
  <c r="Q160"/>
  <c r="Q13" s="1"/>
  <c r="P160"/>
  <c r="P13" s="1"/>
  <c r="O160"/>
  <c r="N160"/>
  <c r="M160"/>
  <c r="M13" s="1"/>
  <c r="L160"/>
  <c r="L13" s="1"/>
  <c r="K160"/>
  <c r="J160"/>
  <c r="I160"/>
  <c r="I13" s="1"/>
  <c r="H160"/>
  <c r="H13" s="1"/>
  <c r="G160"/>
  <c r="F160"/>
  <c r="AD159"/>
  <c r="AB159"/>
  <c r="Z159"/>
  <c r="S159"/>
  <c r="P159"/>
  <c r="M159"/>
  <c r="E159"/>
  <c r="AD158"/>
  <c r="AB158"/>
  <c r="Z158"/>
  <c r="W158"/>
  <c r="S158"/>
  <c r="Q158"/>
  <c r="E158"/>
  <c r="C150"/>
  <c r="C149"/>
  <c r="C148"/>
  <c r="R147"/>
  <c r="C147"/>
  <c r="C146"/>
  <c r="R141"/>
  <c r="C141"/>
  <c r="C140"/>
  <c r="C139"/>
  <c r="C138"/>
  <c r="C137"/>
  <c r="C136"/>
  <c r="C135"/>
  <c r="C134"/>
  <c r="C133"/>
  <c r="AG68"/>
  <c r="AG9" s="1"/>
  <c r="AF68"/>
  <c r="AE68"/>
  <c r="AD68"/>
  <c r="AD9" s="1"/>
  <c r="AC68"/>
  <c r="AC9" s="1"/>
  <c r="AB68"/>
  <c r="AA68"/>
  <c r="Z68"/>
  <c r="Z9" s="1"/>
  <c r="Y68"/>
  <c r="Y9" s="1"/>
  <c r="X68"/>
  <c r="W68"/>
  <c r="V68"/>
  <c r="V9" s="1"/>
  <c r="U68"/>
  <c r="U9" s="1"/>
  <c r="T68"/>
  <c r="T9" s="1"/>
  <c r="S68"/>
  <c r="R68"/>
  <c r="R9" s="1"/>
  <c r="Q68"/>
  <c r="Q9" s="1"/>
  <c r="P68"/>
  <c r="P9" s="1"/>
  <c r="O68"/>
  <c r="O9" s="1"/>
  <c r="N68"/>
  <c r="N9" s="1"/>
  <c r="M68"/>
  <c r="M9" s="1"/>
  <c r="L68"/>
  <c r="L9" s="1"/>
  <c r="K68"/>
  <c r="J68"/>
  <c r="J9" s="1"/>
  <c r="I68"/>
  <c r="I9" s="1"/>
  <c r="H68"/>
  <c r="H9" s="1"/>
  <c r="G68"/>
  <c r="G9" s="1"/>
  <c r="F68"/>
  <c r="F9" s="1"/>
  <c r="E68"/>
  <c r="E9" s="1"/>
  <c r="C54"/>
  <c r="C53"/>
  <c r="C52"/>
  <c r="C51"/>
  <c r="C50"/>
  <c r="C49"/>
  <c r="C48"/>
  <c r="C47"/>
  <c r="C46"/>
  <c r="C45"/>
  <c r="C44"/>
  <c r="C43"/>
  <c r="U17"/>
  <c r="E22"/>
  <c r="AE13"/>
  <c r="AD13"/>
  <c r="AA13"/>
  <c r="Z13"/>
  <c r="W13"/>
  <c r="V13"/>
  <c r="S13"/>
  <c r="R13"/>
  <c r="O13"/>
  <c r="N13"/>
  <c r="K13"/>
  <c r="J13"/>
  <c r="G13"/>
  <c r="F13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F9"/>
  <c r="AE9"/>
  <c r="AB9"/>
  <c r="AA9"/>
  <c r="X9"/>
  <c r="W9"/>
  <c r="S9"/>
  <c r="K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AG6"/>
  <c r="AE6"/>
  <c r="AD6"/>
  <c r="AC6"/>
  <c r="AA6"/>
  <c r="Z6"/>
  <c r="Y6"/>
  <c r="V6"/>
  <c r="U6"/>
  <c r="R6"/>
  <c r="Q6"/>
  <c r="N6"/>
  <c r="M6"/>
  <c r="J6"/>
  <c r="I6"/>
  <c r="F6"/>
  <c r="E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F4"/>
  <c r="AE4"/>
  <c r="AB4"/>
  <c r="AA4"/>
  <c r="X4"/>
  <c r="W4"/>
  <c r="T4"/>
  <c r="S4"/>
  <c r="P4"/>
  <c r="O4"/>
  <c r="M4"/>
  <c r="L4"/>
  <c r="K4"/>
  <c r="J4"/>
  <c r="I4"/>
  <c r="H4"/>
  <c r="G4"/>
  <c r="F4"/>
  <c r="E4"/>
  <c r="F202" i="1"/>
  <c r="I202" s="1"/>
  <c r="E202"/>
  <c r="H202" s="1"/>
  <c r="D202"/>
  <c r="G202" s="1"/>
  <c r="F192"/>
  <c r="I192" s="1"/>
  <c r="E192"/>
  <c r="H192" s="1"/>
  <c r="D192"/>
  <c r="G192" s="1"/>
  <c r="F48" i="3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B13"/>
  <c r="C9" i="4" l="1"/>
  <c r="C8"/>
  <c r="C13"/>
  <c r="C4"/>
  <c r="AE142"/>
  <c r="AE7" s="1"/>
  <c r="C5"/>
  <c r="C10"/>
  <c r="E12"/>
  <c r="C6"/>
  <c r="E34"/>
  <c r="E35" s="1"/>
  <c r="U55" s="1"/>
  <c r="F142"/>
  <c r="F7" s="1"/>
  <c r="AD12"/>
  <c r="B11" i="3"/>
  <c r="AE56" i="4"/>
  <c r="D22"/>
  <c r="F56"/>
  <c r="J56"/>
  <c r="N56"/>
  <c r="R56"/>
  <c r="V56"/>
  <c r="Z56"/>
  <c r="AD56"/>
  <c r="J142"/>
  <c r="J7" s="1"/>
  <c r="N142"/>
  <c r="N7" s="1"/>
  <c r="R142"/>
  <c r="R7" s="1"/>
  <c r="V142"/>
  <c r="V7" s="1"/>
  <c r="Z142"/>
  <c r="Z7" s="1"/>
  <c r="AD142"/>
  <c r="AD7" s="1"/>
  <c r="I12"/>
  <c r="M12"/>
  <c r="Q12"/>
  <c r="U12"/>
  <c r="Y12"/>
  <c r="AC12"/>
  <c r="AG12"/>
  <c r="E19"/>
  <c r="E83" s="1"/>
  <c r="E84" s="1"/>
  <c r="G22"/>
  <c r="E56"/>
  <c r="I56"/>
  <c r="M56"/>
  <c r="Q56"/>
  <c r="U56"/>
  <c r="Y56"/>
  <c r="AC56"/>
  <c r="AG56"/>
  <c r="E7"/>
  <c r="I142"/>
  <c r="I7" s="1"/>
  <c r="M142"/>
  <c r="M7" s="1"/>
  <c r="Q142"/>
  <c r="Q7" s="1"/>
  <c r="U142"/>
  <c r="U7" s="1"/>
  <c r="Y142"/>
  <c r="Y7" s="1"/>
  <c r="AC142"/>
  <c r="AC7" s="1"/>
  <c r="AG142"/>
  <c r="AG7" s="1"/>
  <c r="H12"/>
  <c r="L12"/>
  <c r="P12"/>
  <c r="T12"/>
  <c r="X12"/>
  <c r="AB12"/>
  <c r="AF12"/>
  <c r="F22"/>
  <c r="H56"/>
  <c r="L56"/>
  <c r="P56"/>
  <c r="T56"/>
  <c r="X56"/>
  <c r="AB56"/>
  <c r="AF56"/>
  <c r="H142"/>
  <c r="H7" s="1"/>
  <c r="L142"/>
  <c r="L7" s="1"/>
  <c r="P142"/>
  <c r="P7" s="1"/>
  <c r="T142"/>
  <c r="T7" s="1"/>
  <c r="X142"/>
  <c r="X7" s="1"/>
  <c r="AB142"/>
  <c r="AB7" s="1"/>
  <c r="AF142"/>
  <c r="AF7" s="1"/>
  <c r="G12"/>
  <c r="K12"/>
  <c r="O12"/>
  <c r="S12"/>
  <c r="W12"/>
  <c r="AA12"/>
  <c r="AE12"/>
  <c r="G56"/>
  <c r="K56"/>
  <c r="O56"/>
  <c r="S56"/>
  <c r="W56"/>
  <c r="AA56"/>
  <c r="G142"/>
  <c r="G7" s="1"/>
  <c r="K142"/>
  <c r="K7" s="1"/>
  <c r="O142"/>
  <c r="O7" s="1"/>
  <c r="S142"/>
  <c r="S7" s="1"/>
  <c r="W142"/>
  <c r="W7" s="1"/>
  <c r="AA142"/>
  <c r="AA7" s="1"/>
  <c r="F12"/>
  <c r="J12"/>
  <c r="N12"/>
  <c r="R12"/>
  <c r="V12"/>
  <c r="Z12"/>
  <c r="B28" i="3" l="1"/>
  <c r="F33" i="1"/>
  <c r="B23" i="3"/>
  <c r="C23" s="1"/>
  <c r="P55" i="4"/>
  <c r="S55"/>
  <c r="S57" s="1"/>
  <c r="S3" s="1"/>
  <c r="AF55"/>
  <c r="AF57" s="1"/>
  <c r="AF3" s="1"/>
  <c r="C12"/>
  <c r="B24" i="3"/>
  <c r="C24" s="1"/>
  <c r="C28"/>
  <c r="B15"/>
  <c r="C19" i="1" s="1"/>
  <c r="T55" i="4"/>
  <c r="T57" s="1"/>
  <c r="T3" s="1"/>
  <c r="W55"/>
  <c r="W57" s="1"/>
  <c r="W3" s="1"/>
  <c r="G55"/>
  <c r="G57" s="1"/>
  <c r="G3" s="1"/>
  <c r="F55"/>
  <c r="F57" s="1"/>
  <c r="F3" s="1"/>
  <c r="U57"/>
  <c r="U3" s="1"/>
  <c r="C7"/>
  <c r="C56"/>
  <c r="L55"/>
  <c r="L57" s="1"/>
  <c r="L3" s="1"/>
  <c r="AB55"/>
  <c r="AB57" s="1"/>
  <c r="AB3" s="1"/>
  <c r="O55"/>
  <c r="O57" s="1"/>
  <c r="O3" s="1"/>
  <c r="AE55"/>
  <c r="AE57" s="1"/>
  <c r="AE3" s="1"/>
  <c r="N55"/>
  <c r="N57" s="1"/>
  <c r="N3" s="1"/>
  <c r="AD55"/>
  <c r="AD57" s="1"/>
  <c r="AD3" s="1"/>
  <c r="Q55"/>
  <c r="Q57" s="1"/>
  <c r="Q3" s="1"/>
  <c r="AG55"/>
  <c r="AG57" s="1"/>
  <c r="AG3" s="1"/>
  <c r="H55"/>
  <c r="H57" s="1"/>
  <c r="H3" s="1"/>
  <c r="X55"/>
  <c r="X57" s="1"/>
  <c r="X3" s="1"/>
  <c r="K55"/>
  <c r="K57" s="1"/>
  <c r="K3" s="1"/>
  <c r="AA55"/>
  <c r="AA57" s="1"/>
  <c r="AA3" s="1"/>
  <c r="J55"/>
  <c r="J57" s="1"/>
  <c r="J3" s="1"/>
  <c r="Z55"/>
  <c r="Z57" s="1"/>
  <c r="Z3" s="1"/>
  <c r="M55"/>
  <c r="AC55"/>
  <c r="AC57" s="1"/>
  <c r="AC3" s="1"/>
  <c r="E97"/>
  <c r="F97"/>
  <c r="G97"/>
  <c r="V55"/>
  <c r="V57" s="1"/>
  <c r="V3" s="1"/>
  <c r="I55"/>
  <c r="I57" s="1"/>
  <c r="I3" s="1"/>
  <c r="Y55"/>
  <c r="Y57" s="1"/>
  <c r="Y3" s="1"/>
  <c r="P57"/>
  <c r="P3" s="1"/>
  <c r="R55"/>
  <c r="R57" s="1"/>
  <c r="R3" s="1"/>
  <c r="E55"/>
  <c r="M57" l="1"/>
  <c r="M3" s="1"/>
  <c r="B21" i="3"/>
  <c r="E19" i="1" s="1"/>
  <c r="E57" i="4"/>
  <c r="C55"/>
  <c r="C57" l="1"/>
  <c r="E3"/>
  <c r="C3" s="1"/>
  <c r="B57" i="3"/>
  <c r="B58" s="1"/>
  <c r="C63" l="1"/>
  <c r="B63"/>
  <c r="C26" i="1"/>
  <c r="B61" i="3" l="1"/>
  <c r="D33" i="1" s="1"/>
  <c r="C28" l="1"/>
  <c r="C60" l="1"/>
  <c r="E61"/>
  <c r="E60"/>
  <c r="D60"/>
  <c r="D61"/>
  <c r="D67"/>
  <c r="E158" s="1"/>
  <c r="E65"/>
  <c r="F156" s="1"/>
  <c r="F185" s="1"/>
  <c r="C59"/>
  <c r="D152" s="1"/>
  <c r="D186" s="1"/>
  <c r="E66"/>
  <c r="F157" s="1"/>
  <c r="F184" s="1"/>
  <c r="I184" s="1"/>
  <c r="I195" s="1"/>
  <c r="F95" i="4"/>
  <c r="F112" i="1" s="1"/>
  <c r="I113" s="1"/>
  <c r="I114" s="1"/>
  <c r="E63"/>
  <c r="F154" s="1"/>
  <c r="F194" s="1"/>
  <c r="I194" s="1"/>
  <c r="E105" i="4"/>
  <c r="E154" i="1"/>
  <c r="E194" s="1"/>
  <c r="H194" s="1"/>
  <c r="C67"/>
  <c r="D158" s="1"/>
  <c r="G95" i="4"/>
  <c r="G112" i="1" s="1"/>
  <c r="G99" i="4" s="1"/>
  <c r="G107" s="1"/>
  <c r="F105"/>
  <c r="C65" i="1"/>
  <c r="D156" s="1"/>
  <c r="D185" s="1"/>
  <c r="C55"/>
  <c r="D141" s="1"/>
  <c r="D182" s="1"/>
  <c r="C66"/>
  <c r="D157" s="1"/>
  <c r="D184" s="1"/>
  <c r="G184" s="1"/>
  <c r="G195" s="1"/>
  <c r="D59"/>
  <c r="E152" s="1"/>
  <c r="E186" s="1"/>
  <c r="D64"/>
  <c r="E155" s="1"/>
  <c r="E196" s="1"/>
  <c r="H196" s="1"/>
  <c r="E55"/>
  <c r="F139" s="1"/>
  <c r="D65"/>
  <c r="E156" s="1"/>
  <c r="E185" s="1"/>
  <c r="E58"/>
  <c r="F143" s="1"/>
  <c r="F190" s="1"/>
  <c r="F200" s="1"/>
  <c r="I200" s="1"/>
  <c r="E67"/>
  <c r="F158" s="1"/>
  <c r="E59"/>
  <c r="F152" s="1"/>
  <c r="F186" s="1"/>
  <c r="E95" i="4"/>
  <c r="E112" i="1" s="1"/>
  <c r="E116" s="1"/>
  <c r="E64"/>
  <c r="F155" s="1"/>
  <c r="F183" s="1"/>
  <c r="I183" s="1"/>
  <c r="C58"/>
  <c r="D143" s="1"/>
  <c r="D190" s="1"/>
  <c r="D200" s="1"/>
  <c r="G200" s="1"/>
  <c r="C63"/>
  <c r="D154" s="1"/>
  <c r="D194" s="1"/>
  <c r="G194" s="1"/>
  <c r="G105" i="4"/>
  <c r="C64" i="1"/>
  <c r="D155" s="1"/>
  <c r="D183" s="1"/>
  <c r="G183" s="1"/>
  <c r="D55"/>
  <c r="E139" s="1"/>
  <c r="D66"/>
  <c r="E157" s="1"/>
  <c r="E184" s="1"/>
  <c r="E195" s="1"/>
  <c r="D58"/>
  <c r="E143" s="1"/>
  <c r="E190" s="1"/>
  <c r="H190" s="1"/>
  <c r="D62"/>
  <c r="E151" s="1"/>
  <c r="E62"/>
  <c r="F151" s="1"/>
  <c r="G190"/>
  <c r="H191"/>
  <c r="H201" s="1"/>
  <c r="E146"/>
  <c r="D195"/>
  <c r="F191"/>
  <c r="I116"/>
  <c r="F195"/>
  <c r="D191"/>
  <c r="D201"/>
  <c r="G191"/>
  <c r="G201" s="1"/>
  <c r="I109"/>
  <c r="I110" s="1"/>
  <c r="E99" i="4" l="1"/>
  <c r="E107" s="1"/>
  <c r="F146" i="1"/>
  <c r="F201"/>
  <c r="E200"/>
  <c r="H200" s="1"/>
  <c r="I108"/>
  <c r="G116"/>
  <c r="F150" s="1"/>
  <c r="I191"/>
  <c r="I201" s="1"/>
  <c r="D146"/>
  <c r="I117"/>
  <c r="I118" s="1"/>
  <c r="E201"/>
  <c r="F99" i="4"/>
  <c r="F107" s="1"/>
  <c r="D151" i="1"/>
  <c r="E140"/>
  <c r="E199" s="1"/>
  <c r="H199" s="1"/>
  <c r="I112"/>
  <c r="F111" s="1"/>
  <c r="F116"/>
  <c r="F103" i="4" s="1"/>
  <c r="F111" s="1"/>
  <c r="H184" i="1"/>
  <c r="H195" s="1"/>
  <c r="I190"/>
  <c r="F141"/>
  <c r="F182" s="1"/>
  <c r="F140"/>
  <c r="F199" s="1"/>
  <c r="I199" s="1"/>
  <c r="E191"/>
  <c r="E183"/>
  <c r="H183" s="1"/>
  <c r="E141"/>
  <c r="E182" s="1"/>
  <c r="D140"/>
  <c r="D199" s="1"/>
  <c r="G199" s="1"/>
  <c r="D196"/>
  <c r="G196" s="1"/>
  <c r="F196"/>
  <c r="I196" s="1"/>
  <c r="D139"/>
  <c r="D188" s="1"/>
  <c r="G188" s="1"/>
  <c r="G111"/>
  <c r="J116" s="1"/>
  <c r="E111"/>
  <c r="E103" i="4"/>
  <c r="E111" s="1"/>
  <c r="D150" i="1"/>
  <c r="D189"/>
  <c r="G189" s="1"/>
  <c r="E198"/>
  <c r="H198" s="1"/>
  <c r="E188"/>
  <c r="H188" s="1"/>
  <c r="G103" i="4"/>
  <c r="G111" s="1"/>
  <c r="F188" i="1"/>
  <c r="I188" s="1"/>
  <c r="F198"/>
  <c r="I198" s="1"/>
  <c r="E189"/>
  <c r="H189" s="1"/>
  <c r="D198"/>
  <c r="G198" s="1"/>
  <c r="F189"/>
  <c r="I189" s="1"/>
  <c r="J108" l="1"/>
  <c r="E150"/>
  <c r="J112"/>
  <c r="G98" i="4"/>
  <c r="G106" s="1"/>
  <c r="F145" i="1"/>
  <c r="F98" i="4"/>
  <c r="F106" s="1"/>
  <c r="D145" i="1"/>
  <c r="E98" i="4"/>
  <c r="E106" s="1"/>
  <c r="E145" i="1"/>
  <c r="G113"/>
  <c r="F113"/>
  <c r="E113"/>
  <c r="F100" i="4" l="1"/>
  <c r="E147" i="1"/>
  <c r="K112"/>
  <c r="D147"/>
  <c r="E100" i="4"/>
  <c r="G100"/>
  <c r="F147" i="1"/>
  <c r="K108"/>
  <c r="K116"/>
  <c r="G114" l="1"/>
  <c r="G108" i="4"/>
  <c r="F114" i="1"/>
  <c r="E114"/>
  <c r="E108" i="4"/>
  <c r="F108"/>
  <c r="E101" l="1"/>
  <c r="D148" i="1"/>
  <c r="L108"/>
  <c r="F101" i="4"/>
  <c r="E148" i="1"/>
  <c r="G101" i="4"/>
  <c r="F148" i="1"/>
  <c r="L112"/>
  <c r="L116"/>
  <c r="F115" l="1"/>
  <c r="M112" s="1"/>
  <c r="G109" i="4"/>
  <c r="E115" i="1"/>
  <c r="M108" s="1"/>
  <c r="G115"/>
  <c r="M116" s="1"/>
  <c r="F109" i="4"/>
  <c r="E109"/>
  <c r="G102" l="1"/>
  <c r="F149" i="1"/>
  <c r="G117"/>
  <c r="E102" i="4"/>
  <c r="D149" i="1"/>
  <c r="E117"/>
  <c r="F102" i="4"/>
  <c r="E149" i="1"/>
  <c r="F117"/>
  <c r="E110" i="4" l="1"/>
  <c r="E104"/>
  <c r="E112" s="1"/>
  <c r="F110"/>
  <c r="F104"/>
  <c r="F112" s="1"/>
  <c r="G110"/>
  <c r="G104"/>
  <c r="G112" s="1"/>
  <c r="AE121" l="1"/>
  <c r="AE11" s="1"/>
  <c r="T121"/>
  <c r="T11" s="1"/>
  <c r="K121"/>
  <c r="K11" s="1"/>
  <c r="P121"/>
  <c r="P11" s="1"/>
  <c r="L121"/>
  <c r="L11" s="1"/>
  <c r="S121"/>
  <c r="S11" s="1"/>
  <c r="Y121"/>
  <c r="Y11" s="1"/>
  <c r="H121"/>
  <c r="H11" s="1"/>
  <c r="M121"/>
  <c r="M11" s="1"/>
  <c r="AF121"/>
  <c r="AF11" s="1"/>
  <c r="E121"/>
  <c r="E11" s="1"/>
  <c r="U121"/>
  <c r="U11" s="1"/>
  <c r="AD121"/>
  <c r="AD11" s="1"/>
  <c r="X121"/>
  <c r="X11" s="1"/>
  <c r="G121"/>
  <c r="G11" s="1"/>
  <c r="AA121"/>
  <c r="AA11" s="1"/>
  <c r="Q121"/>
  <c r="Q11" s="1"/>
  <c r="N121"/>
  <c r="N11" s="1"/>
  <c r="Z121"/>
  <c r="Z11" s="1"/>
  <c r="I121"/>
  <c r="I11" s="1"/>
  <c r="R121"/>
  <c r="R11" s="1"/>
  <c r="V121"/>
  <c r="V11" s="1"/>
  <c r="J121"/>
  <c r="J11" s="1"/>
  <c r="W121"/>
  <c r="W11" s="1"/>
  <c r="AG121"/>
  <c r="AG11" s="1"/>
  <c r="AC121"/>
  <c r="AC11" s="1"/>
  <c r="O121"/>
  <c r="O11" s="1"/>
  <c r="AB121"/>
  <c r="AB11" s="1"/>
  <c r="F121"/>
  <c r="F11" s="1"/>
  <c r="C11" l="1"/>
</calcChain>
</file>

<file path=xl/sharedStrings.xml><?xml version="1.0" encoding="utf-8"?>
<sst xmlns="http://schemas.openxmlformats.org/spreadsheetml/2006/main" count="1316" uniqueCount="625">
  <si>
    <t>1. Get your BMI and weight category</t>
  </si>
  <si>
    <t>2. Get your RDCA (Recommended Daily Calorie Allowance)</t>
  </si>
  <si>
    <t>ADULT or CHILD?</t>
  </si>
  <si>
    <t>Female</t>
  </si>
  <si>
    <t>Male</t>
  </si>
  <si>
    <t>Ht (text box)</t>
  </si>
  <si>
    <t>FT</t>
  </si>
  <si>
    <t>Inches</t>
  </si>
  <si>
    <t>Weight (kgs)(text box)</t>
  </si>
  <si>
    <t xml:space="preserve">FOR WOMEN </t>
  </si>
  <si>
    <t>Your BMI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</si>
  <si>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</si>
  <si>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</si>
  <si>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</si>
  <si>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</si>
  <si>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</si>
  <si>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</si>
  <si>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</si>
  <si>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</si>
  <si>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</si>
  <si>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choose your activity level</t>
  </si>
  <si>
    <t>How to choose activity level</t>
  </si>
  <si>
    <t>Exercise (Drop box of choices given below)</t>
  </si>
  <si>
    <t>no regular exercise.  </t>
  </si>
  <si>
    <t>Intensive exercise for at least 20 minutes 1 to 3 times per week such as bicycling, jogging, basketball, swimming, skating, etc .or   you to walk frequently for long periods &gt; 1hour/day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</si>
  <si>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</si>
  <si>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</si>
  <si>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 xml:space="preserve"> Exceedingly active and/or very demanding activities:  Athlete with multiple training sessions throughout the day </t>
  </si>
  <si>
    <t>Occupation (drop box of choices given below)</t>
  </si>
  <si>
    <t>spends most of the day sitting ,desk jobs</t>
  </si>
  <si>
    <t>good part of the day standing e.g. teacher</t>
  </si>
  <si>
    <t>spend good part of the day doing some physical activity :waitress, mail man</t>
  </si>
  <si>
    <t>spend most of the day doing heavy activity, e.g. carpenter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</si>
  <si>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</si>
  <si>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Your RDCA (Recommended Daily Calorie Allowance)</t>
  </si>
  <si>
    <t>Your Recommended Daily Calorie Allowance rounded to nearest 200 cal multiple</t>
  </si>
  <si>
    <t>User will be prompted</t>
  </si>
  <si>
    <t>NOW</t>
  </si>
  <si>
    <t>OR</t>
  </si>
  <si>
    <t>NIN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</si>
  <si>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</si>
  <si>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grains</t>
  </si>
  <si>
    <t>vegetables including salad</t>
  </si>
  <si>
    <t>fruits</t>
  </si>
  <si>
    <t>Nuts /day :Veg</t>
  </si>
  <si>
    <t>Nuts/day:non-veg</t>
  </si>
  <si>
    <t>Milk/Milk products</t>
  </si>
  <si>
    <t>Protein foods for vegetarians/day</t>
  </si>
  <si>
    <t>Eggs/week</t>
  </si>
  <si>
    <t>dals/beans/dried peas/day ( Alt 1: eggs,nuts &amp; tofu)</t>
  </si>
  <si>
    <t>dals/beans/dried peas/day ( Alt 2 : no eggs)</t>
  </si>
  <si>
    <t>Soy products/week</t>
  </si>
  <si>
    <t>Protein foods for non-vegetarians/day</t>
  </si>
  <si>
    <t>Seafood/week</t>
  </si>
  <si>
    <t>Meat/dal/day</t>
  </si>
  <si>
    <t>minimum dried beans/week</t>
  </si>
  <si>
    <t>fats and oils (tsp) for non-veg</t>
  </si>
  <si>
    <t>fats and oils (tsp) for veg</t>
  </si>
  <si>
    <t>sweets and added sugars/day</t>
  </si>
  <si>
    <t>USDA</t>
  </si>
  <si>
    <t>DASH</t>
  </si>
  <si>
    <t>Calories</t>
  </si>
  <si>
    <t>SFA</t>
  </si>
  <si>
    <t>Cholesterol</t>
  </si>
  <si>
    <t>Omega 3</t>
  </si>
  <si>
    <t>Omega 6</t>
  </si>
  <si>
    <t>MUFA</t>
  </si>
  <si>
    <t>PUFA</t>
  </si>
  <si>
    <t>Vit A</t>
  </si>
  <si>
    <t>Folate</t>
  </si>
  <si>
    <t>Calcium</t>
  </si>
  <si>
    <t>Dietary Fibre</t>
  </si>
  <si>
    <t>Sodium</t>
  </si>
  <si>
    <t>If Yes,</t>
  </si>
  <si>
    <t>Are you a vegetarian/non vegetarian?</t>
  </si>
  <si>
    <t>Users input is changed into numeric values (1,2,3, as given below )</t>
  </si>
  <si>
    <t>Vegetarian ,who does eat eggs</t>
  </si>
  <si>
    <t>Vegetarian, who does not eat egg</t>
  </si>
  <si>
    <t>Non-vegetarian</t>
  </si>
  <si>
    <t>OUTPUT FOR :Get the basic plan</t>
  </si>
  <si>
    <t>Number of potions</t>
  </si>
  <si>
    <t>Food groups</t>
  </si>
  <si>
    <t xml:space="preserve">Basic Indian Diet </t>
  </si>
  <si>
    <t>Wesern style diet</t>
  </si>
  <si>
    <t>Therapeutic style diet</t>
  </si>
  <si>
    <t>Grains/cereals/day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</si>
  <si>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</si>
  <si>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 xml:space="preserve">Non-milk proteins </t>
  </si>
  <si>
    <t>2.a)</t>
  </si>
  <si>
    <t>Dals/meats/day</t>
  </si>
  <si>
    <t>2.b)</t>
  </si>
  <si>
    <t>Maxm. Eggs/week</t>
  </si>
  <si>
    <t>2.c)</t>
  </si>
  <si>
    <t>Minm. Fish/seafood/week</t>
  </si>
  <si>
    <t>2.d)</t>
  </si>
  <si>
    <t>2.e)</t>
  </si>
  <si>
    <t>Min. Soya products/week</t>
  </si>
  <si>
    <t>Nuts/seeds/day</t>
  </si>
  <si>
    <t>1 Oz =22 almonds/30 peanuts/16-20 kajus/10-12 macadonia nuts/28 pecan nuts/14walnut halfs</t>
  </si>
  <si>
    <t>Milk</t>
  </si>
  <si>
    <t>1 cup=200 ml</t>
  </si>
  <si>
    <t>Vegetables</t>
  </si>
  <si>
    <t>Fruits</t>
  </si>
  <si>
    <t>Oils</t>
  </si>
  <si>
    <t>1 teaspoon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</si>
  <si>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</si>
  <si>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</si>
  <si>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</si>
  <si>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</si>
  <si>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Age</t>
  </si>
  <si>
    <t>Ht</t>
  </si>
  <si>
    <t>Meters</t>
  </si>
  <si>
    <t>Your weight in KGs</t>
  </si>
  <si>
    <t>Sex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</si>
  <si>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</si>
  <si>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</si>
  <si>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</si>
  <si>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</si>
  <si>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</si>
  <si>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</si>
  <si>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</si>
  <si>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</si>
  <si>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</si>
  <si>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</si>
  <si>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</si>
  <si>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</si>
  <si>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</si>
  <si>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</si>
  <si>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</si>
  <si>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</si>
  <si>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</si>
  <si>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</si>
  <si>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</si>
  <si>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</si>
  <si>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</si>
  <si>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</si>
  <si>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</si>
  <si>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</si>
  <si>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</si>
  <si>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</si>
  <si>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</si>
  <si>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</si>
  <si>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</si>
  <si>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</si>
  <si>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</si>
  <si>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</si>
  <si>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</si>
  <si>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</si>
  <si>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</si>
  <si>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</si>
  <si>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</si>
  <si>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</si>
  <si>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</si>
  <si>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</si>
  <si>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</si>
  <si>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</si>
  <si>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</si>
  <si>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</si>
  <si>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</si>
  <si>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</si>
  <si>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</si>
  <si>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</si>
  <si>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</si>
  <si>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</si>
  <si>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</si>
  <si>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</si>
  <si>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</si>
  <si>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</si>
  <si>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</si>
  <si>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</si>
  <si>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</si>
  <si>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</si>
  <si>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</si>
  <si>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</si>
  <si>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</si>
  <si>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</si>
  <si>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</si>
  <si>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</si>
  <si>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</si>
  <si>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</si>
  <si>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</si>
  <si>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</si>
  <si>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</si>
  <si>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</si>
  <si>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</si>
  <si>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</si>
  <si>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</si>
  <si>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</si>
  <si>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</si>
  <si>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</si>
  <si>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</si>
  <si>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</si>
  <si>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</si>
  <si>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</si>
  <si>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</si>
  <si>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</si>
  <si>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</si>
  <si>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</si>
  <si>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</si>
  <si>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Get my customised diet plan</t>
  </si>
  <si>
    <t>Tell us about your food habits, so that we can make yoyr  customised ideal diet plan</t>
  </si>
  <si>
    <t>Are you a veg/non-vegetarian?</t>
  </si>
  <si>
    <t>How many major meals do you take in a day?</t>
  </si>
  <si>
    <t>Select/type yes for your choice</t>
  </si>
  <si>
    <t>Breakfast,lunch and dinner</t>
  </si>
  <si>
    <t>yes</t>
  </si>
  <si>
    <t>Lunch and dinner only</t>
  </si>
  <si>
    <t>What do you eat in breakfast?</t>
  </si>
  <si>
    <t>The drop down should allow only one of the choices to be selected, my formulae take roti as default input, if the others are not selected</t>
  </si>
  <si>
    <t>Bread  (brown)large</t>
  </si>
  <si>
    <t>bread white laarge</t>
  </si>
  <si>
    <t>cornflakes</t>
  </si>
  <si>
    <t>Muesli</t>
  </si>
  <si>
    <t>Oats</t>
  </si>
  <si>
    <t>Roti,parantha</t>
  </si>
  <si>
    <t>What grains do you eat in lunch and dinner?</t>
  </si>
  <si>
    <t xml:space="preserve">Only/mostly rice </t>
  </si>
  <si>
    <t>Only/mostly roti</t>
  </si>
  <si>
    <t>almost equal rice and roti</t>
  </si>
  <si>
    <t>What type of rice, do you eat?</t>
  </si>
  <si>
    <t>The drop down should allow only one of the choices to be selected</t>
  </si>
  <si>
    <t>Brown rice</t>
  </si>
  <si>
    <t>Medium grained</t>
  </si>
  <si>
    <t>Short grained</t>
  </si>
  <si>
    <t>Text box ( whole numbers)</t>
  </si>
  <si>
    <t>If, you are a non-vegetarian, in how many meals per week, do you eat non veg excluding eggs? (text box)</t>
  </si>
  <si>
    <t>Of the non-veg meals , how many are of the given meats ? (Meats are assumed to be free of charbi/visible fat)</t>
  </si>
  <si>
    <t>Text box/Total (should be equal to c57  cell)</t>
  </si>
  <si>
    <t>fish</t>
  </si>
  <si>
    <t>beef</t>
  </si>
  <si>
    <t>Dried beans</t>
  </si>
  <si>
    <t>Preference</t>
  </si>
  <si>
    <t>Text box/Total (should be equal to 100%)</t>
  </si>
  <si>
    <t>Full cream</t>
  </si>
  <si>
    <t>Toned</t>
  </si>
  <si>
    <t>Double toned</t>
  </si>
  <si>
    <t>Skimmed</t>
  </si>
  <si>
    <t>Buffalo's milk</t>
  </si>
  <si>
    <t>Cow's milk</t>
  </si>
  <si>
    <t>Recommendation</t>
  </si>
  <si>
    <t>a</t>
  </si>
  <si>
    <t>c</t>
  </si>
  <si>
    <t>4.Customized diet plan for the day</t>
  </si>
  <si>
    <t>Cereals/grains</t>
  </si>
  <si>
    <t>Rice</t>
  </si>
  <si>
    <t>Roti</t>
  </si>
  <si>
    <t>Breakfast cereal</t>
  </si>
  <si>
    <t>Non-milk proteins</t>
  </si>
  <si>
    <t>Dals/meat/fish/day</t>
  </si>
  <si>
    <t>2 oz eq of cooked dal= 1/2 cup cooked dal= 2 cooked pieces of meat of matchbox size</t>
  </si>
  <si>
    <t>1/2 cup cooked</t>
  </si>
  <si>
    <t>Nuts</t>
  </si>
  <si>
    <t>Milk/milk products</t>
  </si>
  <si>
    <t>1 medium= 1/2 cup cut=100 gms</t>
  </si>
  <si>
    <t>Oil</t>
  </si>
  <si>
    <t>Break your diet into meals</t>
  </si>
  <si>
    <t>Choose one option, where there are options</t>
  </si>
  <si>
    <t>Cereals</t>
  </si>
  <si>
    <t>Option 1</t>
  </si>
  <si>
    <t>Roti and rice : half in each meal</t>
  </si>
  <si>
    <t>Option 2</t>
  </si>
  <si>
    <t>Rice in lunch and roti in dinner</t>
  </si>
  <si>
    <t>Dals/meat/fish/tofu</t>
  </si>
  <si>
    <t>For lunch and dinner: half in each meal</t>
  </si>
  <si>
    <t>breakfast and evening snack: half in each meal</t>
  </si>
  <si>
    <t>breakfast,lunch and dinner: one third in each meal</t>
  </si>
  <si>
    <t>Vegetabes</t>
  </si>
  <si>
    <t>lunch and dinner: half in each meal</t>
  </si>
  <si>
    <t>Evening snack</t>
  </si>
  <si>
    <t xml:space="preserve">Eggs </t>
  </si>
  <si>
    <t>In breakfast</t>
  </si>
  <si>
    <t>OUTPUT:MEAL PLAN</t>
  </si>
  <si>
    <t>Breakfast</t>
  </si>
  <si>
    <t>Milk/curd</t>
  </si>
  <si>
    <t>vegetables</t>
  </si>
  <si>
    <t>Eggs</t>
  </si>
  <si>
    <t>Lunch</t>
  </si>
  <si>
    <t>daal/meat/fish</t>
  </si>
  <si>
    <t>Tofu/soya products</t>
  </si>
  <si>
    <t>Mik/curd</t>
  </si>
  <si>
    <t>Dinner</t>
  </si>
  <si>
    <t>Average nutrient composition of major food groups</t>
  </si>
  <si>
    <t>Measure</t>
  </si>
  <si>
    <t>Carbohydrate</t>
  </si>
  <si>
    <t>Protein</t>
  </si>
  <si>
    <t>Fat</t>
  </si>
  <si>
    <t>Sat fat</t>
  </si>
  <si>
    <t xml:space="preserve">Sugar </t>
  </si>
  <si>
    <t>D</t>
  </si>
  <si>
    <t>E</t>
  </si>
  <si>
    <t>B1</t>
  </si>
  <si>
    <t>B2</t>
  </si>
  <si>
    <t>B3</t>
  </si>
  <si>
    <t>B6</t>
  </si>
  <si>
    <t>B12</t>
  </si>
  <si>
    <t>Iron</t>
  </si>
  <si>
    <t>MG</t>
  </si>
  <si>
    <t>K+</t>
  </si>
  <si>
    <t>Zn</t>
  </si>
  <si>
    <t>Cu</t>
  </si>
  <si>
    <t>Se</t>
  </si>
  <si>
    <t>vegetables composite 1 serving</t>
  </si>
  <si>
    <t>Milk ( 1 glass=200 ml)</t>
  </si>
  <si>
    <t>Egg</t>
  </si>
  <si>
    <t>Pulses</t>
  </si>
  <si>
    <t>Soy products (tofu)</t>
  </si>
  <si>
    <t>For non-veg:Lean Meat/chicken/fish/dal</t>
  </si>
  <si>
    <t>Fat &amp; oils (visible): vegetable</t>
  </si>
  <si>
    <t>Free sugars</t>
  </si>
  <si>
    <t>% break-up of calories/meal</t>
  </si>
  <si>
    <t xml:space="preserve">yes </t>
  </si>
  <si>
    <t>no</t>
  </si>
  <si>
    <t>lunch</t>
  </si>
  <si>
    <t>dinner</t>
  </si>
  <si>
    <t>snack</t>
  </si>
  <si>
    <t xml:space="preserve">Number of major meals </t>
  </si>
  <si>
    <t>% calorie breakup</t>
  </si>
  <si>
    <t>% going into preferce for rice</t>
  </si>
  <si>
    <t>Preference for rice</t>
  </si>
  <si>
    <t>Preference for roti</t>
  </si>
  <si>
    <t>long grained</t>
  </si>
  <si>
    <t>long grained,parboiled</t>
  </si>
  <si>
    <t>Carbs</t>
  </si>
  <si>
    <t>protein</t>
  </si>
  <si>
    <t>fat</t>
  </si>
  <si>
    <t>sat fat</t>
  </si>
  <si>
    <t>cholesterol</t>
  </si>
  <si>
    <t>Dietary fibre</t>
  </si>
  <si>
    <t>omega 3</t>
  </si>
  <si>
    <t>omega 6</t>
  </si>
  <si>
    <t>calcium</t>
  </si>
  <si>
    <t>Rice,brown</t>
  </si>
  <si>
    <t xml:space="preserve">Rice short grained </t>
  </si>
  <si>
    <t>Rice medium grained</t>
  </si>
  <si>
    <t>long-grained parboiled</t>
  </si>
  <si>
    <t>Pasta</t>
  </si>
  <si>
    <t>roti</t>
  </si>
  <si>
    <t>and vitamin D. It is synthesized in the body and hence it is not an essential dietary</t>
  </si>
  <si>
    <t>EAT FOLATE-RICH FOODS</t>
  </si>
  <si>
    <t>component.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</si>
  <si>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</si>
  <si>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high. Therefore, cholesterol intake should be maintained below 200 mg/day. One</t>
  </si>
  <si>
    <t>can reduce both saturated fat and cholesterol intake by limiting the consumption of</t>
  </si>
  <si>
    <t>Folic acid supplements increase birth weight and reduce congenital anomalies.</t>
  </si>
  <si>
    <t>Lunch &amp; Dinner Average</t>
  </si>
  <si>
    <t>high-fat animal foods like butter, ghee, meat, egg and organ meats and consuming</t>
  </si>
  <si>
    <t>Green leafy vegetables, legumes, nuts and liver are good sources of folic acid.</t>
  </si>
  <si>
    <t>Break-fast average</t>
  </si>
  <si>
    <t>low fat (skimmed) milk instead of whole milk. However, consumption of eggs (3</t>
  </si>
  <si>
    <t>500 g folic acid supplementation is advised preconceptionally and through out</t>
  </si>
  <si>
    <t>Average</t>
  </si>
  <si>
    <t>Dals</t>
  </si>
  <si>
    <t>Assuming</t>
  </si>
  <si>
    <t>Serves in a week</t>
  </si>
  <si>
    <t>Sabut dal</t>
  </si>
  <si>
    <t>eggs/ week) is recommended in view of several nutritional advantages.</t>
  </si>
  <si>
    <t>m</t>
  </si>
  <si>
    <t>Dhuli dal</t>
  </si>
  <si>
    <t>pregnancy for women with history of congenital anomalies (neural tube defects,</t>
  </si>
  <si>
    <t>carbs</t>
  </si>
  <si>
    <t>Use of more than one source of fat/oil has the added advantage of providing a</t>
  </si>
  <si>
    <t>Dried beans cooked</t>
  </si>
  <si>
    <t>acid (Table ). Non-vegetarians have an advantage of eating fish, which provides</t>
  </si>
  <si>
    <t>Sabut dal cooked</t>
  </si>
  <si>
    <t>preformed long chain n-3 PUFA.</t>
  </si>
  <si>
    <t>Dhuli dal cooked</t>
  </si>
  <si>
    <t>egg white</t>
  </si>
  <si>
    <t>egg yolk</t>
  </si>
  <si>
    <t>Whole eggs</t>
  </si>
  <si>
    <t>Smart eggs</t>
  </si>
  <si>
    <t>Soya product</t>
  </si>
  <si>
    <t>Tofu,Firm, 4 Oz</t>
  </si>
  <si>
    <t>Soya badi/ nutrela</t>
  </si>
  <si>
    <t>Animal meats</t>
  </si>
  <si>
    <t>, which are also good sources of protein, fiber, vitamins and</t>
  </si>
  <si>
    <t>Major meals/day</t>
  </si>
  <si>
    <t>Major meals/week</t>
  </si>
  <si>
    <t xml:space="preserve">If, you are a non-vegetarian, in how many meals per week, do you eat non veg excluding eggs? </t>
  </si>
  <si>
    <t>For calculating fish potions</t>
  </si>
  <si>
    <t>For dried beans per week</t>
  </si>
  <si>
    <t>Meals/week</t>
  </si>
  <si>
    <t>chicken</t>
  </si>
  <si>
    <t>goat meat</t>
  </si>
  <si>
    <t>lamb,lean</t>
  </si>
  <si>
    <t>pork,lean</t>
  </si>
  <si>
    <t>Dals/dried beans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</si>
  <si>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</si>
  <si>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</si>
  <si>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</si>
  <si>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</si>
  <si>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</si>
  <si>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Omwga 6</t>
  </si>
  <si>
    <t>Iron intake from diets is around 18 mg as against 35 mg RDA. An iron supplement</t>
  </si>
  <si>
    <t>(60 mg elemental iron, 100 mg folic acid) is recommended for 100 days during</t>
  </si>
  <si>
    <t>Fish</t>
  </si>
  <si>
    <t>pregnancy from 16 week onwards to meet the demand of pregnancy.</t>
  </si>
  <si>
    <t>beef,lean</t>
  </si>
  <si>
    <t>lamb, lean</t>
  </si>
  <si>
    <t>pork lean</t>
  </si>
  <si>
    <t>?.45</t>
  </si>
  <si>
    <t>Per 100 ml milk</t>
  </si>
  <si>
    <t>Chole</t>
  </si>
  <si>
    <t>Calcium (in mg)</t>
  </si>
  <si>
    <t>Amul gold (full cream)  milk</t>
  </si>
  <si>
    <t>Amul Taaza (toned) milk</t>
  </si>
  <si>
    <t>Amul slim-trim</t>
  </si>
  <si>
    <t>Skimmed milk</t>
  </si>
  <si>
    <t>Amul masti dahi (toned milk)</t>
  </si>
  <si>
    <t>Whey</t>
  </si>
  <si>
    <t>Buttermilk</t>
  </si>
  <si>
    <t>Milk products</t>
  </si>
  <si>
    <t>1 oz</t>
  </si>
  <si>
    <t>Commer. Paneer (buffalo milk/amul)</t>
  </si>
  <si>
    <t>100 gm</t>
  </si>
  <si>
    <t>Home-made paneer (with 3% fat milk)</t>
  </si>
  <si>
    <t>1 slice=1 oz</t>
  </si>
  <si>
    <t>Amul cheese slice</t>
  </si>
  <si>
    <t>17 gm= 1 cube</t>
  </si>
  <si>
    <t xml:space="preserve">Amul cheese cube </t>
  </si>
  <si>
    <t>1 tsp=15 gm</t>
  </si>
  <si>
    <t>Amul cheese spread ( 1 tbsp)</t>
  </si>
  <si>
    <t>Free Sugars</t>
  </si>
  <si>
    <t>sugar</t>
  </si>
  <si>
    <t>Kissan fruit jam</t>
  </si>
  <si>
    <t>jelly</t>
  </si>
  <si>
    <t>Nuts ( 1 oz)</t>
  </si>
  <si>
    <t>peanuts (oil roasted)</t>
  </si>
  <si>
    <t>almonds</t>
  </si>
  <si>
    <t>Cashews (oil roasted)</t>
  </si>
  <si>
    <t>Pistachio</t>
  </si>
  <si>
    <t>walnut</t>
  </si>
  <si>
    <t>&lt;2%</t>
  </si>
  <si>
    <t>Prefernce</t>
  </si>
  <si>
    <t>% intake</t>
  </si>
  <si>
    <t>ghee</t>
  </si>
  <si>
    <t>butter</t>
  </si>
  <si>
    <t>coconut oil</t>
  </si>
  <si>
    <t>vanaspati</t>
  </si>
  <si>
    <t>MUFA rich (olive)</t>
  </si>
  <si>
    <t>Moderate MUFA and PUFA (rice bran/groundnut/sesame)</t>
  </si>
  <si>
    <t>PUFA rich (sunflower/safflower)</t>
  </si>
  <si>
    <t>omega3 and MUFA rich (mustard/canola)</t>
  </si>
  <si>
    <t>omega 3 rich (soyabean)</t>
  </si>
  <si>
    <t>Oil combo 1</t>
  </si>
  <si>
    <t>Oil combo 2</t>
  </si>
  <si>
    <t>oil combo 3</t>
  </si>
  <si>
    <t>Oils ( 1 tbsp)</t>
  </si>
  <si>
    <t>Butter</t>
  </si>
  <si>
    <t>vanaspati/margarine</t>
  </si>
  <si>
    <t>Vegetable</t>
  </si>
  <si>
    <t>.5 cup cooked</t>
  </si>
  <si>
    <t>prot</t>
  </si>
  <si>
    <t>Starchy</t>
  </si>
  <si>
    <t>dark green</t>
  </si>
  <si>
    <t>other</t>
  </si>
  <si>
    <t>red orange</t>
  </si>
  <si>
    <t>dark green (fresh) 1 cup</t>
  </si>
  <si>
    <t>Use for calculation</t>
  </si>
  <si>
    <t>Left over after fish</t>
  </si>
  <si>
    <t>after chicken</t>
  </si>
  <si>
    <t>after beef</t>
  </si>
  <si>
    <t>after mutton</t>
  </si>
  <si>
    <t>after lamb</t>
  </si>
  <si>
    <t>% change in fish</t>
  </si>
  <si>
    <t>left for distribution</t>
  </si>
  <si>
    <t>Minimum fish</t>
  </si>
  <si>
    <t>Minimum dried beans</t>
  </si>
  <si>
    <t>Chicken</t>
  </si>
  <si>
    <t>Beef</t>
  </si>
  <si>
    <t>Mutton</t>
  </si>
  <si>
    <t>Pork</t>
  </si>
  <si>
    <t>Lamb</t>
  </si>
  <si>
    <t>Non-milk proteins meals (2 oz servings per meal)</t>
  </si>
  <si>
    <t xml:space="preserve">Sex </t>
  </si>
  <si>
    <t xml:space="preserve">Age </t>
  </si>
  <si>
    <t>Adult non pregnant TEE</t>
  </si>
  <si>
    <t>For adults</t>
  </si>
  <si>
    <t xml:space="preserve">Basic daily diet plan </t>
  </si>
  <si>
    <t>Customized die plan</t>
  </si>
  <si>
    <t>For basic</t>
  </si>
  <si>
    <t>Brown bread</t>
  </si>
  <si>
    <t>White bread</t>
  </si>
  <si>
    <t>Cornflakes</t>
  </si>
  <si>
    <t>Others</t>
  </si>
  <si>
    <t>What cereal grain/ grain products do you eat in breakfast?</t>
  </si>
  <si>
    <t>Restrict to 14 as per answer of Question #2</t>
  </si>
  <si>
    <t>Goat meat (mutton)</t>
  </si>
  <si>
    <t>Make total equal to answer of Q # 6</t>
  </si>
  <si>
    <t xml:space="preserve">What type of milk do you drink? </t>
  </si>
  <si>
    <t>Oil combination 1</t>
  </si>
  <si>
    <t>Oil combination 2</t>
  </si>
  <si>
    <t>Oil combination 3</t>
  </si>
  <si>
    <t>Oil combination 5</t>
  </si>
  <si>
    <t>Oil combination 4</t>
  </si>
  <si>
    <t>Choose your preffered combination of oils for cooking</t>
  </si>
  <si>
    <t>Phytosterols</t>
  </si>
  <si>
    <t>oil combo 4</t>
  </si>
  <si>
    <t>oil combo 5</t>
  </si>
  <si>
    <t xml:space="preserve"> Q2 answer breakfast, luch and dinner</t>
  </si>
  <si>
    <t xml:space="preserve"> Q2 answer :luch and dinner</t>
  </si>
  <si>
    <t xml:space="preserve">In morning and evening </t>
  </si>
  <si>
    <t>Answer to q 2 breakfast ,lunch and dinner</t>
  </si>
  <si>
    <t>No to be shown</t>
  </si>
  <si>
    <t>Not to be shown</t>
  </si>
  <si>
    <t>Morning snack</t>
  </si>
  <si>
    <t xml:space="preserve">In lunch, dinner and at morning </t>
  </si>
  <si>
    <t>If overweight/obese</t>
  </si>
  <si>
    <t>BMI&gt;22.9</t>
  </si>
  <si>
    <t>Weight loss target</t>
  </si>
  <si>
    <t>Do you want a diet for weight loss</t>
  </si>
  <si>
    <t>Pop up: Ideal diet plan does not allow idli, poha, upma etc. since they are processed grains, go to 'Food Basics/Nutrients' to know more</t>
  </si>
  <si>
    <t>Pop up/ roll over box will explain the combination</t>
  </si>
  <si>
    <t>bmi</t>
  </si>
  <si>
    <t>weight</t>
  </si>
  <si>
    <t>combined score</t>
  </si>
  <si>
    <t>Activity level</t>
  </si>
  <si>
    <t>Soya products/week for non-vegetarians</t>
  </si>
  <si>
    <t>Rice/roti</t>
  </si>
  <si>
    <t>Your choice</t>
  </si>
  <si>
    <t>light green for option 1</t>
  </si>
  <si>
    <t>dark green for option 2</t>
  </si>
  <si>
    <t>Chosen oil combination</t>
  </si>
  <si>
    <t>pick up from input given and show</t>
  </si>
  <si>
    <t>By median and SDs</t>
  </si>
  <si>
    <t>By percentiles</t>
  </si>
  <si>
    <t>Obese</t>
  </si>
  <si>
    <t>BMI &gt; 2 SD more han median  for age</t>
  </si>
  <si>
    <t>surveys indicate that about 43% of &lt;5 year children suffer from sub-clinical undernutrition and about 48% are stunted and 20% re wasted</t>
  </si>
  <si>
    <t>overweight</t>
  </si>
  <si>
    <t xml:space="preserve"> 2 SD&gt;BMI &gt; 1SD more han median  for age</t>
  </si>
  <si>
    <t xml:space="preserve">increase in the prevalence of underweight among young children, from about 27%around 6 months of age to a high of about 45% at 24 months of age . </t>
  </si>
  <si>
    <t>normal weight</t>
  </si>
  <si>
    <t>BMI within 1 SD more or less from median for age</t>
  </si>
  <si>
    <t>weight for age is more than 2 standard deviations lesser than/away from median</t>
  </si>
  <si>
    <t>BMI &gt; SD less than median for age</t>
  </si>
  <si>
    <t>Stunted</t>
  </si>
  <si>
    <t>height for age is more than 2 standard deviations lesser than/away from median</t>
  </si>
  <si>
    <r>
      <t>BMI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Age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and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Sex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specific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percentile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values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for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children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and</t>
    </r>
    <r>
      <rPr>
        <b/>
        <sz val="7"/>
        <color rgb="FF000000"/>
        <rFont val="Arial"/>
        <family val="2"/>
      </rPr>
      <t xml:space="preserve"> </t>
    </r>
    <r>
      <rPr>
        <b/>
        <sz val="7"/>
        <color rgb="FF000000"/>
        <rFont val="Arial"/>
        <family val="2"/>
      </rPr>
      <t>Adolescents</t>
    </r>
  </si>
  <si>
    <t>Boys</t>
  </si>
  <si>
    <t>Girls</t>
  </si>
  <si>
    <t>Age
 (months)</t>
  </si>
  <si>
    <t>-3 SD</t>
  </si>
  <si>
    <t>-2 SD</t>
  </si>
  <si>
    <t>-1 SD</t>
  </si>
  <si>
    <t>Median</t>
  </si>
  <si>
    <t>1 SD</t>
  </si>
  <si>
    <t>2 SD</t>
  </si>
  <si>
    <t>3 SD</t>
  </si>
  <si>
    <t>Weight</t>
  </si>
  <si>
    <r>
      <rPr>
        <b/>
        <sz val="8"/>
        <color rgb="FF000000"/>
        <rFont val="Arial"/>
        <family val="2"/>
      </rPr>
      <t xml:space="preserve">AGE
</t>
    </r>
    <r>
      <rPr>
        <sz val="8"/>
        <color rgb="FF000000"/>
        <rFont val="Arial"/>
        <family val="2"/>
      </rPr>
      <t>Months</t>
    </r>
  </si>
  <si>
    <t>3 SD  less</t>
  </si>
  <si>
    <t>2 SD less</t>
  </si>
  <si>
    <t>1 SD less</t>
  </si>
  <si>
    <t>1 SD more</t>
  </si>
  <si>
    <t>2 Sd more</t>
  </si>
  <si>
    <t>3 SD more</t>
  </si>
  <si>
    <t>Height for age</t>
  </si>
  <si>
    <t>Month</t>
  </si>
  <si>
    <t>at birth</t>
  </si>
  <si>
    <t>Children Total Energy Requirements (TER)</t>
  </si>
  <si>
    <t>Tables below give TEE as per ideal bodyweights at each age</t>
  </si>
  <si>
    <r>
      <t>T</t>
    </r>
    <r>
      <rPr>
        <b/>
        <sz val="10"/>
        <color rgb="FF000000"/>
        <rFont val="Verdana"/>
        <family val="2"/>
      </rPr>
      <t>ot</t>
    </r>
    <r>
      <rPr>
        <b/>
        <sz val="10"/>
        <color rgb="FF000000"/>
        <rFont val="Verdana"/>
        <family val="2"/>
      </rPr>
      <t>a</t>
    </r>
    <r>
      <rPr>
        <b/>
        <sz val="10"/>
        <color rgb="FF000000"/>
        <rFont val="Verdana"/>
        <family val="2"/>
      </rPr>
      <t>l</t>
    </r>
    <r>
      <rPr>
        <b/>
        <sz val="10"/>
        <color rgb="FF000000"/>
        <rFont val="Verdana"/>
        <family val="2"/>
      </rPr>
      <t xml:space="preserve"> </t>
    </r>
    <r>
      <rPr>
        <b/>
        <sz val="10"/>
        <color rgb="FF000000"/>
        <rFont val="Verdana"/>
        <family val="2"/>
      </rPr>
      <t>E</t>
    </r>
    <r>
      <rPr>
        <b/>
        <sz val="10"/>
        <color rgb="FF000000"/>
        <rFont val="Verdana"/>
        <family val="2"/>
      </rPr>
      <t>n</t>
    </r>
    <r>
      <rPr>
        <b/>
        <sz val="10"/>
        <color rgb="FF000000"/>
        <rFont val="Verdana"/>
        <family val="2"/>
      </rPr>
      <t>e</t>
    </r>
    <r>
      <rPr>
        <b/>
        <sz val="10"/>
        <color rgb="FF000000"/>
        <rFont val="Verdana"/>
        <family val="2"/>
      </rPr>
      <t>r</t>
    </r>
    <r>
      <rPr>
        <b/>
        <sz val="10"/>
        <color rgb="FF000000"/>
        <rFont val="Verdana"/>
        <family val="2"/>
      </rPr>
      <t>gy</t>
    </r>
    <r>
      <rPr>
        <b/>
        <sz val="10"/>
        <color rgb="FF000000"/>
        <rFont val="Verdana"/>
        <family val="2"/>
      </rPr>
      <t xml:space="preserve"> </t>
    </r>
    <r>
      <rPr>
        <b/>
        <sz val="10"/>
        <color rgb="FF000000"/>
        <rFont val="Verdana"/>
        <family val="2"/>
      </rPr>
      <t>r</t>
    </r>
    <r>
      <rPr>
        <b/>
        <sz val="10"/>
        <color rgb="FF000000"/>
        <rFont val="Verdana"/>
        <family val="2"/>
      </rPr>
      <t>eq</t>
    </r>
    <r>
      <rPr>
        <b/>
        <sz val="10"/>
        <color rgb="FF000000"/>
        <rFont val="Verdana"/>
        <family val="2"/>
      </rPr>
      <t>u</t>
    </r>
    <r>
      <rPr>
        <b/>
        <sz val="10"/>
        <color rgb="FF000000"/>
        <rFont val="Verdana"/>
        <family val="2"/>
      </rPr>
      <t>i</t>
    </r>
    <r>
      <rPr>
        <b/>
        <sz val="10"/>
        <color rgb="FF000000"/>
        <rFont val="Verdana"/>
        <family val="2"/>
      </rPr>
      <t>r</t>
    </r>
    <r>
      <rPr>
        <b/>
        <sz val="10"/>
        <color rgb="FF000000"/>
        <rFont val="Verdana"/>
        <family val="2"/>
      </rPr>
      <t>em</t>
    </r>
    <r>
      <rPr>
        <b/>
        <sz val="10"/>
        <color rgb="FF000000"/>
        <rFont val="Verdana"/>
        <family val="2"/>
      </rPr>
      <t>e</t>
    </r>
    <r>
      <rPr>
        <b/>
        <sz val="10"/>
        <color rgb="FF000000"/>
        <rFont val="Verdana"/>
        <family val="2"/>
      </rPr>
      <t>n</t>
    </r>
    <r>
      <rPr>
        <b/>
        <sz val="10"/>
        <color rgb="FF000000"/>
        <rFont val="Verdana"/>
        <family val="2"/>
      </rPr>
      <t>t</t>
    </r>
    <r>
      <rPr>
        <b/>
        <sz val="6"/>
        <color rgb="FF000000"/>
        <rFont val="Verdana"/>
        <family val="2"/>
      </rPr>
      <t>f</t>
    </r>
    <r>
      <rPr>
        <b/>
        <sz val="6"/>
        <color rgb="FF000000"/>
        <rFont val="Verdana"/>
        <family val="2"/>
      </rPr>
      <t xml:space="preserve"> </t>
    </r>
    <r>
      <rPr>
        <b/>
        <sz val="10"/>
        <color rgb="FF000000"/>
        <rFont val="Verdana"/>
        <family val="2"/>
      </rPr>
      <t>(</t>
    </r>
    <r>
      <rPr>
        <b/>
        <sz val="10"/>
        <color rgb="FF000000"/>
        <rFont val="Verdana"/>
        <family val="2"/>
      </rPr>
      <t>k</t>
    </r>
    <r>
      <rPr>
        <b/>
        <sz val="10"/>
        <color rgb="FF000000"/>
        <rFont val="Verdana"/>
        <family val="2"/>
      </rPr>
      <t>ca</t>
    </r>
    <r>
      <rPr>
        <b/>
        <sz val="10"/>
        <color rgb="FF000000"/>
        <rFont val="Verdana"/>
        <family val="2"/>
      </rPr>
      <t>l</t>
    </r>
    <r>
      <rPr>
        <b/>
        <sz val="10"/>
        <color rgb="FF000000"/>
        <rFont val="Verdana"/>
        <family val="2"/>
      </rPr>
      <t>/kg</t>
    </r>
    <r>
      <rPr>
        <b/>
        <sz val="10"/>
        <color rgb="FF000000"/>
        <rFont val="Verdana"/>
        <family val="2"/>
      </rPr>
      <t>/</t>
    </r>
    <r>
      <rPr>
        <b/>
        <sz val="10"/>
        <color rgb="FF000000"/>
        <rFont val="Verdana"/>
        <family val="2"/>
      </rPr>
      <t>d)</t>
    </r>
  </si>
  <si>
    <t>AGE ( in completed years)</t>
  </si>
  <si>
    <t>Ref weight (95th percentile)</t>
  </si>
  <si>
    <t>Moderate activity</t>
  </si>
  <si>
    <t>Vigorously active</t>
  </si>
  <si>
    <t>Ref weight</t>
  </si>
  <si>
    <t>Men: body wt. (60kg), BMR (1515 kcal)</t>
  </si>
  <si>
    <t>--</t>
  </si>
  <si>
    <t>active or moderately active</t>
  </si>
  <si>
    <t>1.7-1.99</t>
  </si>
  <si>
    <t>Particulars of your child</t>
  </si>
  <si>
    <t>Age in years</t>
  </si>
  <si>
    <t>Age in months</t>
  </si>
  <si>
    <t>Height</t>
  </si>
  <si>
    <t>Ft</t>
  </si>
  <si>
    <t>In</t>
  </si>
  <si>
    <t>in Metres</t>
  </si>
  <si>
    <t>BMI</t>
  </si>
  <si>
    <t>TER :Boy</t>
  </si>
  <si>
    <t>Vigorous</t>
  </si>
  <si>
    <t>TER/kg bd. Wt.</t>
  </si>
  <si>
    <t>TER or your child</t>
  </si>
  <si>
    <t>Nutritional status</t>
  </si>
  <si>
    <t>If age is more han 60 months</t>
  </si>
  <si>
    <t>BMI Range</t>
  </si>
  <si>
    <t>If age is less  than/equal to 60 months</t>
  </si>
  <si>
    <t>Weight range</t>
  </si>
  <si>
    <t>Weight category Final</t>
  </si>
  <si>
    <t>Weight category  for age &lt;60 monts</t>
  </si>
  <si>
    <t>Weight category  for age &gt;60 monts</t>
  </si>
  <si>
    <t>Height range</t>
  </si>
  <si>
    <t>Heigh category</t>
  </si>
  <si>
    <t>Protein requirement/day</t>
  </si>
  <si>
    <r>
      <rPr>
        <sz val="10"/>
        <color rgb="FF000000"/>
        <rFont val="Verdana"/>
        <family val="2"/>
      </rPr>
      <t>B</t>
    </r>
    <r>
      <rPr>
        <sz val="10"/>
        <color rgb="FF000000"/>
        <rFont val="Verdana"/>
        <family val="2"/>
      </rPr>
      <t>o</t>
    </r>
    <r>
      <rPr>
        <sz val="10"/>
        <color rgb="FF000000"/>
        <rFont val="Verdana"/>
        <family val="2"/>
      </rPr>
      <t>ys</t>
    </r>
  </si>
  <si>
    <r>
      <rPr>
        <sz val="10"/>
        <color rgb="FF000000"/>
        <rFont val="Verdana"/>
        <family val="2"/>
      </rPr>
      <t>G</t>
    </r>
    <r>
      <rPr>
        <sz val="10"/>
        <color rgb="FF000000"/>
        <rFont val="Verdana"/>
        <family val="2"/>
      </rPr>
      <t>i</t>
    </r>
    <r>
      <rPr>
        <sz val="10"/>
        <color rgb="FF000000"/>
        <rFont val="Verdana"/>
        <family val="2"/>
      </rPr>
      <t>r</t>
    </r>
    <r>
      <rPr>
        <sz val="10"/>
        <color rgb="FF000000"/>
        <rFont val="Verdana"/>
        <family val="2"/>
      </rPr>
      <t>l</t>
    </r>
    <r>
      <rPr>
        <sz val="10"/>
        <color rgb="FF000000"/>
        <rFont val="Verdana"/>
        <family val="2"/>
      </rPr>
      <t>s</t>
    </r>
  </si>
  <si>
    <t>Final FG rec daily intake</t>
  </si>
  <si>
    <t>Children</t>
  </si>
  <si>
    <t xml:space="preserve">OUTPUT </t>
  </si>
  <si>
    <t>Recommended food break-up</t>
  </si>
  <si>
    <t>Children (1-3 years)</t>
  </si>
  <si>
    <t>45%-65%</t>
  </si>
  <si>
    <t>5-20%</t>
  </si>
  <si>
    <t>30-40%</t>
  </si>
  <si>
    <t>4-18 years</t>
  </si>
  <si>
    <t>10-30%</t>
  </si>
  <si>
    <t>25-35%</t>
  </si>
  <si>
    <t>Gender</t>
  </si>
  <si>
    <t>Drop down</t>
  </si>
  <si>
    <t>Years</t>
  </si>
  <si>
    <t>Months</t>
  </si>
  <si>
    <t>In months</t>
  </si>
  <si>
    <t>Weight (in kg)</t>
  </si>
  <si>
    <t>Weight category</t>
  </si>
  <si>
    <t>Heigt category</t>
  </si>
  <si>
    <t>Activity level input choices</t>
  </si>
  <si>
    <t>choose from below drop down</t>
  </si>
  <si>
    <t>Activity level description</t>
  </si>
  <si>
    <t>Only if child has completed 6 yrs, ask</t>
  </si>
  <si>
    <t>&lt; 1 hour of moderate to vigorous physical activity (running/cycling/sporta)</t>
  </si>
  <si>
    <t>1 hour of physica activity which includes bone and muscle strenthening activities at-least 3 days a week each</t>
  </si>
  <si>
    <t>play formal sports for more than two hours on average per day in addition to fun play and school activities etc</t>
  </si>
  <si>
    <t xml:space="preserve">Your child TER </t>
  </si>
  <si>
    <t>Your child TER  in multiples of 200</t>
  </si>
  <si>
    <t>Child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</si>
</sst>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  <numFmt numFmtId="167" formatCode="_ * #,##0.0_ ;_ * \-#,##0.0_ ;_ * &quot;-&quot;?_ ;_ @_ 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4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  <font>
      <b/>
      <sz val="12"/>
      <color rgb="FFFF0000"/>
      <name val="Times New Roman"/>
      <family val="1"/>
    </font>
    <font>
      <b/>
      <sz val="10"/>
      <color rgb="FFFF0000"/>
      <name val="Calibri"/>
      <family val="2"/>
      <charset val="204"/>
    </font>
    <font>
      <b/>
      <sz val="7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Times New Roman"/>
      <family val="1"/>
    </font>
    <font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Verdana"/>
      <family val="2"/>
    </font>
    <font>
      <b/>
      <sz val="6"/>
      <color rgb="FF000000"/>
      <name val="Verdana"/>
      <family val="2"/>
    </font>
    <font>
      <sz val="10"/>
      <color rgb="FF000000"/>
      <name val="Verdana"/>
      <family val="2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C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</patternFill>
    </fill>
    <fill>
      <patternFill patternType="solid">
        <fgColor rgb="FFCCFF66"/>
      </patternFill>
    </fill>
    <fill>
      <patternFill patternType="solid">
        <fgColor rgb="FF0097DB"/>
      </patternFill>
    </fill>
    <fill>
      <patternFill patternType="solid">
        <fgColor rgb="FF99FFFF"/>
      </patternFill>
    </fill>
    <fill>
      <patternFill patternType="solid">
        <fgColor rgb="FFFF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97DB"/>
      </bottom>
      <diagonal/>
    </border>
    <border>
      <left/>
      <right/>
      <top/>
      <bottom style="thin">
        <color rgb="FFE35BBE"/>
      </bottom>
      <diagonal/>
    </border>
    <border>
      <left/>
      <right/>
      <top style="thin">
        <color rgb="FF0097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8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wrapText="1"/>
    </xf>
    <xf numFmtId="0" fontId="3" fillId="2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8" fillId="3" borderId="0" xfId="3" applyFont="1" applyFill="1" applyAlignment="1">
      <alignment vertical="top"/>
    </xf>
    <xf numFmtId="0" fontId="9" fillId="3" borderId="0" xfId="3" applyFont="1" applyFill="1" applyAlignment="1">
      <alignment vertical="top"/>
    </xf>
    <xf numFmtId="0" fontId="9" fillId="0" borderId="0" xfId="3" applyFont="1" applyFill="1" applyAlignment="1">
      <alignment vertical="top"/>
    </xf>
    <xf numFmtId="0" fontId="0" fillId="0" borderId="0" xfId="0" applyFill="1"/>
    <xf numFmtId="0" fontId="9" fillId="0" borderId="0" xfId="3" applyFont="1" applyFill="1" applyAlignment="1">
      <alignment vertical="top" wrapText="1"/>
    </xf>
    <xf numFmtId="0" fontId="8" fillId="0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/>
    </xf>
    <xf numFmtId="0" fontId="8" fillId="5" borderId="0" xfId="3" applyFont="1" applyFill="1" applyAlignment="1">
      <alignment vertical="top"/>
    </xf>
    <xf numFmtId="0" fontId="10" fillId="6" borderId="1" xfId="0" applyFont="1" applyFill="1" applyBorder="1" applyAlignment="1">
      <alignment horizontal="left" vertical="center" wrapText="1" readingOrder="1"/>
    </xf>
    <xf numFmtId="0" fontId="11" fillId="6" borderId="2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8" fillId="0" borderId="0" xfId="3" applyFont="1" applyFill="1" applyAlignment="1">
      <alignment vertical="top"/>
    </xf>
    <xf numFmtId="43" fontId="10" fillId="0" borderId="0" xfId="0" applyNumberFormat="1" applyFont="1" applyFill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vertical="top"/>
    </xf>
    <xf numFmtId="43" fontId="10" fillId="2" borderId="0" xfId="0" applyNumberFormat="1" applyFont="1" applyFill="1" applyAlignment="1">
      <alignment wrapText="1"/>
    </xf>
    <xf numFmtId="0" fontId="9" fillId="0" borderId="0" xfId="3" applyFont="1" applyFill="1"/>
    <xf numFmtId="0" fontId="8" fillId="0" borderId="0" xfId="4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9" fillId="0" borderId="0" xfId="4" applyFont="1" applyFill="1"/>
    <xf numFmtId="0" fontId="8" fillId="0" borderId="4" xfId="3" applyFont="1" applyFill="1" applyBorder="1" applyAlignment="1">
      <alignment horizontal="left" vertical="top"/>
    </xf>
    <xf numFmtId="0" fontId="9" fillId="0" borderId="4" xfId="3" applyFont="1" applyFill="1" applyBorder="1" applyAlignment="1">
      <alignment horizontal="left" vertical="top"/>
    </xf>
    <xf numFmtId="0" fontId="8" fillId="0" borderId="4" xfId="3" applyFont="1" applyFill="1" applyBorder="1" applyAlignment="1">
      <alignment horizontal="center" vertical="top"/>
    </xf>
    <xf numFmtId="0" fontId="9" fillId="0" borderId="4" xfId="3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8" fillId="5" borderId="0" xfId="3" applyFont="1" applyFill="1" applyAlignment="1">
      <alignment vertical="top" wrapText="1"/>
    </xf>
    <xf numFmtId="0" fontId="3" fillId="0" borderId="0" xfId="0" applyFont="1" applyFill="1"/>
    <xf numFmtId="0" fontId="8" fillId="3" borderId="0" xfId="3" applyFont="1" applyFill="1" applyAlignment="1">
      <alignment vertical="top" wrapText="1"/>
    </xf>
    <xf numFmtId="0" fontId="12" fillId="2" borderId="0" xfId="3" applyFont="1" applyFill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/>
    <xf numFmtId="0" fontId="15" fillId="9" borderId="0" xfId="3" applyFont="1" applyFill="1" applyBorder="1" applyAlignment="1">
      <alignment horizontal="left" vertical="top" wrapText="1"/>
    </xf>
    <xf numFmtId="0" fontId="15" fillId="10" borderId="0" xfId="3" applyFont="1" applyFill="1" applyBorder="1" applyAlignment="1">
      <alignment horizontal="left" vertical="top" wrapText="1"/>
    </xf>
    <xf numFmtId="164" fontId="7" fillId="10" borderId="0" xfId="5" applyNumberFormat="1" applyFont="1" applyFill="1" applyBorder="1"/>
    <xf numFmtId="0" fontId="15" fillId="4" borderId="0" xfId="4" applyFont="1" applyFill="1" applyBorder="1" applyAlignment="1">
      <alignment horizontal="left" vertical="top" wrapText="1"/>
    </xf>
    <xf numFmtId="164" fontId="7" fillId="0" borderId="0" xfId="5" applyNumberFormat="1" applyFont="1" applyBorder="1"/>
    <xf numFmtId="164" fontId="7" fillId="0" borderId="0" xfId="5" applyNumberFormat="1" applyFont="1" applyFill="1" applyBorder="1"/>
    <xf numFmtId="0" fontId="17" fillId="10" borderId="0" xfId="4" applyFont="1" applyFill="1" applyBorder="1" applyAlignment="1">
      <alignment horizontal="left" vertical="top" wrapText="1"/>
    </xf>
    <xf numFmtId="164" fontId="0" fillId="0" borderId="0" xfId="5" applyNumberFormat="1" applyFont="1" applyBorder="1"/>
    <xf numFmtId="0" fontId="3" fillId="11" borderId="0" xfId="0" applyFont="1" applyFill="1"/>
    <xf numFmtId="0" fontId="3" fillId="12" borderId="0" xfId="0" applyFont="1" applyFill="1"/>
    <xf numFmtId="0" fontId="4" fillId="0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0" borderId="0" xfId="3" applyFont="1" applyBorder="1"/>
    <xf numFmtId="0" fontId="3" fillId="0" borderId="0" xfId="0" applyFont="1" applyFill="1" applyAlignment="1">
      <alignment wrapText="1"/>
    </xf>
    <xf numFmtId="0" fontId="8" fillId="2" borderId="0" xfId="3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8" fillId="5" borderId="0" xfId="3" applyFont="1" applyFill="1" applyAlignment="1">
      <alignment wrapText="1"/>
    </xf>
    <xf numFmtId="0" fontId="9" fillId="5" borderId="0" xfId="3" applyFont="1" applyFill="1" applyAlignment="1">
      <alignment wrapText="1"/>
    </xf>
    <xf numFmtId="0" fontId="9" fillId="5" borderId="0" xfId="3" applyFont="1" applyFill="1" applyAlignment="1">
      <alignment vertical="top" wrapText="1"/>
    </xf>
    <xf numFmtId="0" fontId="13" fillId="2" borderId="0" xfId="0" applyFont="1" applyFill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43" fontId="8" fillId="5" borderId="0" xfId="6" applyFont="1" applyFill="1" applyAlignment="1">
      <alignment horizontal="center" vertical="top"/>
    </xf>
    <xf numFmtId="43" fontId="8" fillId="5" borderId="0" xfId="6" applyFont="1" applyFill="1" applyAlignment="1">
      <alignment vertical="top"/>
    </xf>
    <xf numFmtId="164" fontId="8" fillId="5" borderId="0" xfId="6" applyNumberFormat="1" applyFont="1" applyFill="1" applyAlignment="1">
      <alignment vertical="top"/>
    </xf>
    <xf numFmtId="164" fontId="9" fillId="0" borderId="0" xfId="6" applyNumberFormat="1" applyFont="1" applyFill="1" applyAlignment="1">
      <alignment vertical="top"/>
    </xf>
    <xf numFmtId="2" fontId="9" fillId="0" borderId="0" xfId="6" applyNumberFormat="1" applyFont="1" applyAlignment="1">
      <alignment vertical="top"/>
    </xf>
    <xf numFmtId="12" fontId="9" fillId="0" borderId="0" xfId="3" applyNumberFormat="1" applyFont="1" applyAlignment="1">
      <alignment vertical="top"/>
    </xf>
    <xf numFmtId="0" fontId="9" fillId="0" borderId="0" xfId="3" applyFont="1" applyFill="1" applyBorder="1" applyAlignment="1">
      <alignment horizontal="left" vertical="top"/>
    </xf>
    <xf numFmtId="0" fontId="8" fillId="13" borderId="0" xfId="3" applyFont="1" applyFill="1" applyAlignment="1">
      <alignment vertical="top"/>
    </xf>
    <xf numFmtId="0" fontId="9" fillId="13" borderId="0" xfId="3" applyFont="1" applyFill="1" applyAlignment="1">
      <alignment vertical="top"/>
    </xf>
    <xf numFmtId="1" fontId="9" fillId="0" borderId="0" xfId="3" applyNumberFormat="1" applyFont="1" applyFill="1" applyAlignment="1">
      <alignment vertical="top"/>
    </xf>
    <xf numFmtId="0" fontId="9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top"/>
    </xf>
    <xf numFmtId="0" fontId="8" fillId="15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8" fillId="0" borderId="4" xfId="3" applyFont="1" applyBorder="1" applyAlignment="1">
      <alignment horizontal="left" vertical="top"/>
    </xf>
    <xf numFmtId="0" fontId="8" fillId="0" borderId="6" xfId="3" applyFont="1" applyBorder="1" applyAlignment="1">
      <alignment horizontal="center" vertical="top" wrapText="1"/>
    </xf>
    <xf numFmtId="0" fontId="8" fillId="12" borderId="0" xfId="4" applyFont="1" applyFill="1" applyAlignment="1">
      <alignment vertical="top"/>
    </xf>
    <xf numFmtId="0" fontId="9" fillId="12" borderId="0" xfId="4" applyFont="1" applyFill="1" applyAlignment="1">
      <alignment vertical="top"/>
    </xf>
    <xf numFmtId="0" fontId="9" fillId="12" borderId="0" xfId="4" applyFont="1" applyFill="1" applyAlignment="1">
      <alignment horizontal="left" vertical="top" wrapText="1" readingOrder="1"/>
    </xf>
    <xf numFmtId="0" fontId="9" fillId="12" borderId="0" xfId="4" applyFont="1" applyFill="1"/>
    <xf numFmtId="0" fontId="9" fillId="0" borderId="4" xfId="3" applyFont="1" applyBorder="1" applyAlignment="1">
      <alignment horizontal="left" vertical="top"/>
    </xf>
    <xf numFmtId="0" fontId="8" fillId="0" borderId="4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 wrapText="1"/>
    </xf>
    <xf numFmtId="0" fontId="8" fillId="0" borderId="4" xfId="3" applyFont="1" applyBorder="1" applyAlignment="1">
      <alignment horizontal="center" vertical="top" wrapText="1"/>
    </xf>
    <xf numFmtId="0" fontId="8" fillId="0" borderId="6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 wrapText="1"/>
    </xf>
    <xf numFmtId="16" fontId="9" fillId="0" borderId="0" xfId="3" applyNumberFormat="1" applyFont="1" applyFill="1" applyAlignment="1">
      <alignment vertical="top"/>
    </xf>
    <xf numFmtId="0" fontId="9" fillId="3" borderId="0" xfId="3" applyFont="1" applyFill="1" applyAlignment="1">
      <alignment horizontal="left" vertical="top" wrapText="1" readingOrder="1"/>
    </xf>
    <xf numFmtId="0" fontId="8" fillId="16" borderId="0" xfId="3" applyFont="1" applyFill="1" applyAlignment="1">
      <alignment vertical="top"/>
    </xf>
    <xf numFmtId="0" fontId="9" fillId="16" borderId="0" xfId="3" applyFont="1" applyFill="1" applyAlignment="1">
      <alignment horizontal="left" vertical="top" wrapText="1" readingOrder="1"/>
    </xf>
    <xf numFmtId="0" fontId="9" fillId="3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0" xfId="3" applyFont="1" applyAlignment="1">
      <alignment vertical="top" wrapText="1" readingOrder="1"/>
    </xf>
    <xf numFmtId="0" fontId="8" fillId="0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 applyAlignment="1"/>
    <xf numFmtId="0" fontId="8" fillId="13" borderId="0" xfId="3" applyFont="1" applyFill="1" applyAlignment="1">
      <alignment wrapText="1"/>
    </xf>
    <xf numFmtId="0" fontId="9" fillId="0" borderId="0" xfId="3" applyFont="1" applyFill="1" applyAlignment="1">
      <alignment wrapText="1"/>
    </xf>
    <xf numFmtId="0" fontId="19" fillId="0" borderId="0" xfId="3" applyFont="1" applyFill="1" applyAlignment="1">
      <alignment wrapText="1"/>
    </xf>
    <xf numFmtId="0" fontId="20" fillId="5" borderId="0" xfId="3" applyFont="1" applyFill="1" applyAlignment="1">
      <alignment vertical="top"/>
    </xf>
    <xf numFmtId="165" fontId="20" fillId="17" borderId="0" xfId="6" applyNumberFormat="1" applyFont="1" applyFill="1"/>
    <xf numFmtId="165" fontId="20" fillId="5" borderId="0" xfId="3" applyNumberFormat="1" applyFont="1" applyFill="1" applyAlignment="1">
      <alignment wrapText="1"/>
    </xf>
    <xf numFmtId="0" fontId="8" fillId="0" borderId="0" xfId="3" applyFont="1" applyFill="1"/>
    <xf numFmtId="0" fontId="3" fillId="2" borderId="0" xfId="0" applyFont="1" applyFill="1" applyAlignment="1"/>
    <xf numFmtId="0" fontId="3" fillId="3" borderId="0" xfId="0" applyFont="1" applyFill="1"/>
    <xf numFmtId="0" fontId="21" fillId="0" borderId="0" xfId="0" applyFont="1" applyFill="1"/>
    <xf numFmtId="0" fontId="1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9" fontId="4" fillId="0" borderId="0" xfId="0" applyNumberFormat="1" applyFont="1" applyAlignment="1">
      <alignment wrapText="1"/>
    </xf>
    <xf numFmtId="9" fontId="0" fillId="3" borderId="0" xfId="0" applyNumberFormat="1" applyFill="1" applyAlignment="1">
      <alignment wrapText="1"/>
    </xf>
    <xf numFmtId="9" fontId="10" fillId="0" borderId="0" xfId="0" applyNumberFormat="1" applyFont="1" applyAlignment="1"/>
    <xf numFmtId="0" fontId="0" fillId="0" borderId="0" xfId="3" applyFont="1" applyFill="1"/>
    <xf numFmtId="0" fontId="0" fillId="0" borderId="0" xfId="3" applyFont="1" applyAlignment="1">
      <alignment wrapText="1"/>
    </xf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10" fillId="0" borderId="0" xfId="0" applyNumberFormat="1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3" applyFont="1"/>
    <xf numFmtId="0" fontId="23" fillId="0" borderId="0" xfId="3" applyFont="1" applyFill="1"/>
    <xf numFmtId="0" fontId="23" fillId="0" borderId="0" xfId="0" applyFont="1"/>
    <xf numFmtId="0" fontId="23" fillId="3" borderId="0" xfId="0" applyFont="1" applyFill="1" applyAlignment="1">
      <alignment wrapText="1"/>
    </xf>
    <xf numFmtId="0" fontId="14" fillId="0" borderId="0" xfId="3" applyFont="1" applyFill="1"/>
    <xf numFmtId="0" fontId="3" fillId="0" borderId="0" xfId="3" applyFont="1" applyFill="1"/>
    <xf numFmtId="0" fontId="7" fillId="0" borderId="0" xfId="3"/>
    <xf numFmtId="9" fontId="7" fillId="0" borderId="0" xfId="3" applyNumberFormat="1"/>
    <xf numFmtId="0" fontId="2" fillId="0" borderId="0" xfId="7" applyFont="1" applyFill="1" applyBorder="1" applyAlignment="1">
      <alignment vertical="top" wrapText="1"/>
    </xf>
    <xf numFmtId="0" fontId="1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top" wrapText="1"/>
    </xf>
    <xf numFmtId="0" fontId="1" fillId="0" borderId="0" xfId="7" applyFont="1" applyBorder="1" applyAlignment="1">
      <alignment vertical="top" wrapText="1"/>
    </xf>
    <xf numFmtId="9" fontId="1" fillId="0" borderId="0" xfId="7" applyNumberFormat="1" applyFont="1" applyBorder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1" fillId="14" borderId="0" xfId="7" applyNumberFormat="1" applyFont="1" applyFill="1" applyBorder="1" applyAlignment="1">
      <alignment vertical="center" wrapText="1"/>
    </xf>
    <xf numFmtId="0" fontId="0" fillId="14" borderId="0" xfId="0" applyFill="1" applyAlignment="1">
      <alignment vertical="top"/>
    </xf>
    <xf numFmtId="0" fontId="24" fillId="2" borderId="0" xfId="3" applyFont="1" applyFill="1" applyBorder="1" applyAlignment="1">
      <alignment horizontal="left" vertical="top" wrapText="1"/>
    </xf>
    <xf numFmtId="164" fontId="0" fillId="0" borderId="0" xfId="0" applyNumberFormat="1" applyFill="1" applyAlignment="1">
      <alignment wrapText="1"/>
    </xf>
    <xf numFmtId="0" fontId="14" fillId="0" borderId="0" xfId="0" applyFont="1" applyFill="1"/>
    <xf numFmtId="164" fontId="0" fillId="0" borderId="0" xfId="0" applyNumberFormat="1" applyFill="1"/>
    <xf numFmtId="0" fontId="13" fillId="13" borderId="0" xfId="3" applyFont="1" applyFill="1" applyBorder="1"/>
    <xf numFmtId="9" fontId="0" fillId="0" borderId="0" xfId="2" applyFont="1" applyFill="1" applyAlignment="1">
      <alignment wrapText="1"/>
    </xf>
    <xf numFmtId="0" fontId="13" fillId="3" borderId="0" xfId="3" applyFont="1" applyFill="1" applyBorder="1"/>
    <xf numFmtId="0" fontId="13" fillId="0" borderId="0" xfId="3" applyFont="1" applyFill="1" applyBorder="1"/>
    <xf numFmtId="0" fontId="25" fillId="3" borderId="0" xfId="3" applyFont="1" applyFill="1" applyBorder="1"/>
    <xf numFmtId="0" fontId="13" fillId="18" borderId="0" xfId="3" applyFont="1" applyFill="1" applyBorder="1"/>
    <xf numFmtId="0" fontId="0" fillId="18" borderId="0" xfId="0" applyFill="1"/>
    <xf numFmtId="0" fontId="3" fillId="18" borderId="0" xfId="3" applyFont="1" applyFill="1" applyBorder="1"/>
    <xf numFmtId="0" fontId="4" fillId="18" borderId="0" xfId="0" applyFont="1" applyFill="1" applyAlignment="1">
      <alignment wrapText="1"/>
    </xf>
    <xf numFmtId="9" fontId="0" fillId="18" borderId="0" xfId="8" applyFont="1" applyFill="1" applyAlignment="1">
      <alignment wrapText="1"/>
    </xf>
    <xf numFmtId="0" fontId="0" fillId="18" borderId="0" xfId="3" applyFont="1" applyFill="1" applyBorder="1"/>
    <xf numFmtId="0" fontId="10" fillId="18" borderId="0" xfId="0" applyFont="1" applyFill="1" applyAlignment="1">
      <alignment wrapText="1"/>
    </xf>
    <xf numFmtId="165" fontId="4" fillId="0" borderId="0" xfId="6" applyNumberFormat="1" applyFont="1" applyFill="1" applyAlignment="1">
      <alignment wrapText="1"/>
    </xf>
    <xf numFmtId="0" fontId="7" fillId="0" borderId="0" xfId="3" applyAlignment="1">
      <alignment wrapText="1"/>
    </xf>
    <xf numFmtId="0" fontId="26" fillId="8" borderId="0" xfId="3" applyFont="1" applyFill="1" applyAlignment="1">
      <alignment wrapText="1"/>
    </xf>
    <xf numFmtId="0" fontId="27" fillId="8" borderId="0" xfId="3" applyFont="1" applyFill="1"/>
    <xf numFmtId="0" fontId="27" fillId="0" borderId="0" xfId="3" applyFont="1" applyFill="1"/>
    <xf numFmtId="0" fontId="28" fillId="0" borderId="0" xfId="3" applyFont="1" applyFill="1"/>
    <xf numFmtId="0" fontId="29" fillId="0" borderId="0" xfId="3" applyFont="1" applyFill="1" applyBorder="1" applyAlignment="1">
      <alignment vertical="top" wrapText="1"/>
    </xf>
    <xf numFmtId="0" fontId="29" fillId="0" borderId="0" xfId="3" applyNumberFormat="1" applyFont="1" applyFill="1" applyBorder="1" applyAlignment="1">
      <alignment vertical="top" wrapText="1"/>
    </xf>
    <xf numFmtId="0" fontId="28" fillId="0" borderId="0" xfId="3" applyFont="1" applyFill="1" applyBorder="1" applyAlignment="1">
      <alignment vertical="top"/>
    </xf>
    <xf numFmtId="0" fontId="30" fillId="0" borderId="0" xfId="3" applyFont="1" applyFill="1" applyBorder="1" applyAlignment="1">
      <alignment vertical="top" wrapText="1"/>
    </xf>
    <xf numFmtId="0" fontId="7" fillId="0" borderId="0" xfId="3" applyFill="1"/>
    <xf numFmtId="0" fontId="27" fillId="8" borderId="7" xfId="3" applyFont="1" applyFill="1" applyBorder="1" applyAlignment="1">
      <alignment vertical="top" wrapText="1"/>
    </xf>
    <xf numFmtId="0" fontId="27" fillId="8" borderId="7" xfId="3" applyFont="1" applyFill="1" applyBorder="1"/>
    <xf numFmtId="0" fontId="0" fillId="0" borderId="8" xfId="3" applyFont="1" applyFill="1" applyBorder="1"/>
    <xf numFmtId="0" fontId="0" fillId="0" borderId="7" xfId="3" applyFont="1" applyFill="1" applyBorder="1"/>
    <xf numFmtId="164" fontId="7" fillId="0" borderId="0" xfId="6" applyNumberFormat="1" applyBorder="1"/>
    <xf numFmtId="164" fontId="7" fillId="0" borderId="0" xfId="6" applyNumberFormat="1" applyBorder="1" applyAlignment="1">
      <alignment wrapText="1"/>
    </xf>
    <xf numFmtId="164" fontId="27" fillId="8" borderId="7" xfId="6" applyNumberFormat="1" applyFont="1" applyFill="1" applyBorder="1" applyAlignment="1">
      <alignment horizontal="center" vertical="top"/>
    </xf>
    <xf numFmtId="164" fontId="7" fillId="0" borderId="0" xfId="6" applyNumberFormat="1" applyFill="1" applyBorder="1"/>
    <xf numFmtId="165" fontId="7" fillId="0" borderId="0" xfId="6" applyNumberFormat="1" applyBorder="1" applyAlignment="1">
      <alignment wrapText="1"/>
    </xf>
    <xf numFmtId="165" fontId="31" fillId="8" borderId="7" xfId="6" applyNumberFormat="1" applyFont="1" applyFill="1" applyBorder="1" applyAlignment="1">
      <alignment horizontal="left" vertical="top" wrapText="1"/>
    </xf>
    <xf numFmtId="165" fontId="31" fillId="8" borderId="7" xfId="6" applyNumberFormat="1" applyFont="1" applyFill="1" applyBorder="1" applyAlignment="1">
      <alignment horizontal="center" vertical="top" wrapText="1"/>
    </xf>
    <xf numFmtId="165" fontId="31" fillId="8" borderId="7" xfId="6" applyNumberFormat="1" applyFont="1" applyFill="1" applyBorder="1" applyAlignment="1">
      <alignment horizontal="center" vertical="top"/>
    </xf>
    <xf numFmtId="165" fontId="27" fillId="8" borderId="7" xfId="6" applyNumberFormat="1" applyFont="1" applyFill="1" applyBorder="1" applyAlignment="1">
      <alignment horizontal="center" vertical="top"/>
    </xf>
    <xf numFmtId="0" fontId="7" fillId="0" borderId="0" xfId="3" applyFill="1" applyAlignment="1">
      <alignment wrapText="1"/>
    </xf>
    <xf numFmtId="0" fontId="18" fillId="0" borderId="0" xfId="3" applyFont="1" applyFill="1" applyBorder="1" applyAlignment="1">
      <alignment horizontal="left" vertical="top" wrapText="1"/>
    </xf>
    <xf numFmtId="43" fontId="18" fillId="0" borderId="0" xfId="6" applyNumberFormat="1" applyFont="1" applyFill="1" applyBorder="1" applyAlignment="1">
      <alignment horizontal="left" vertical="top" wrapText="1"/>
    </xf>
    <xf numFmtId="165" fontId="18" fillId="0" borderId="0" xfId="6" applyNumberFormat="1" applyFont="1" applyFill="1" applyBorder="1" applyAlignment="1">
      <alignment horizontal="left" vertical="top" wrapText="1"/>
    </xf>
    <xf numFmtId="0" fontId="28" fillId="0" borderId="0" xfId="7" applyFont="1" applyFill="1" applyBorder="1" applyAlignment="1">
      <alignment horizontal="right" vertical="center" wrapText="1"/>
    </xf>
    <xf numFmtId="0" fontId="28" fillId="0" borderId="0" xfId="7" applyFont="1" applyFill="1" applyBorder="1"/>
    <xf numFmtId="165" fontId="32" fillId="19" borderId="0" xfId="6" applyNumberFormat="1" applyFont="1" applyFill="1" applyBorder="1" applyAlignment="1">
      <alignment horizontal="left" vertical="top" wrapText="1"/>
    </xf>
    <xf numFmtId="0" fontId="0" fillId="0" borderId="0" xfId="3" applyFont="1"/>
    <xf numFmtId="0" fontId="7" fillId="0" borderId="0" xfId="3" applyFill="1" applyBorder="1"/>
    <xf numFmtId="0" fontId="28" fillId="0" borderId="0" xfId="7" applyFont="1" applyBorder="1" applyAlignment="1">
      <alignment vertical="center" wrapText="1"/>
    </xf>
    <xf numFmtId="0" fontId="28" fillId="0" borderId="0" xfId="7" applyFont="1" applyBorder="1" applyAlignment="1">
      <alignment horizontal="right" vertical="center" wrapText="1"/>
    </xf>
    <xf numFmtId="0" fontId="28" fillId="0" borderId="0" xfId="7" applyFont="1" applyBorder="1"/>
    <xf numFmtId="0" fontId="28" fillId="0" borderId="0" xfId="7" applyFont="1" applyFill="1" applyBorder="1" applyAlignment="1">
      <alignment vertical="center" wrapText="1"/>
    </xf>
    <xf numFmtId="9" fontId="0" fillId="0" borderId="0" xfId="0" applyNumberFormat="1"/>
    <xf numFmtId="1" fontId="28" fillId="0" borderId="0" xfId="7" applyNumberFormat="1" applyFont="1" applyFill="1" applyBorder="1" applyAlignment="1">
      <alignment horizontal="right" vertical="center" wrapText="1"/>
    </xf>
    <xf numFmtId="0" fontId="0" fillId="0" borderId="0" xfId="3" applyFont="1" applyFill="1" applyAlignment="1">
      <alignment wrapText="1"/>
    </xf>
    <xf numFmtId="9" fontId="7" fillId="0" borderId="0" xfId="3" applyNumberFormat="1" applyFill="1"/>
    <xf numFmtId="0" fontId="14" fillId="0" borderId="0" xfId="0" applyFont="1" applyAlignment="1">
      <alignment wrapText="1"/>
    </xf>
    <xf numFmtId="0" fontId="0" fillId="0" borderId="0" xfId="3" applyFont="1" applyFill="1" applyBorder="1"/>
    <xf numFmtId="164" fontId="0" fillId="0" borderId="0" xfId="6" applyNumberFormat="1" applyFont="1" applyFill="1" applyBorder="1"/>
    <xf numFmtId="0" fontId="0" fillId="0" borderId="0" xfId="3" applyFont="1" applyFill="1" applyBorder="1" applyAlignment="1">
      <alignment wrapText="1"/>
    </xf>
    <xf numFmtId="164" fontId="0" fillId="0" borderId="0" xfId="6" applyNumberFormat="1" applyFont="1" applyFill="1" applyBorder="1" applyAlignment="1">
      <alignment horizontal="center"/>
    </xf>
    <xf numFmtId="0" fontId="7" fillId="0" borderId="0" xfId="3" applyFill="1" applyAlignment="1"/>
    <xf numFmtId="0" fontId="14" fillId="0" borderId="0" xfId="3" applyFont="1" applyFill="1" applyAlignment="1">
      <alignment wrapText="1"/>
    </xf>
    <xf numFmtId="0" fontId="3" fillId="0" borderId="0" xfId="3" applyFont="1"/>
    <xf numFmtId="0" fontId="3" fillId="0" borderId="0" xfId="3" applyFont="1" applyAlignment="1">
      <alignment wrapText="1"/>
    </xf>
    <xf numFmtId="164" fontId="3" fillId="0" borderId="0" xfId="6" applyNumberFormat="1" applyFont="1" applyBorder="1"/>
    <xf numFmtId="0" fontId="3" fillId="19" borderId="0" xfId="3" applyFont="1" applyFill="1" applyAlignment="1">
      <alignment wrapText="1"/>
    </xf>
    <xf numFmtId="165" fontId="7" fillId="0" borderId="0" xfId="6" applyNumberFormat="1" applyBorder="1"/>
    <xf numFmtId="0" fontId="3" fillId="0" borderId="0" xfId="3" applyFont="1" applyFill="1" applyAlignment="1">
      <alignment wrapText="1"/>
    </xf>
    <xf numFmtId="1" fontId="7" fillId="0" borderId="0" xfId="3" applyNumberFormat="1" applyFill="1"/>
    <xf numFmtId="9" fontId="7" fillId="0" borderId="0" xfId="8" applyFill="1" applyBorder="1"/>
    <xf numFmtId="0" fontId="22" fillId="0" borderId="0" xfId="3" applyFont="1" applyFill="1"/>
    <xf numFmtId="9" fontId="33" fillId="14" borderId="0" xfId="0" applyNumberFormat="1" applyFont="1" applyFill="1" applyAlignment="1">
      <alignment wrapText="1"/>
    </xf>
    <xf numFmtId="0" fontId="17" fillId="0" borderId="0" xfId="3" applyFont="1" applyFill="1" applyBorder="1" applyAlignment="1">
      <alignment horizontal="left" vertical="top"/>
    </xf>
    <xf numFmtId="0" fontId="7" fillId="0" borderId="5" xfId="3" applyFill="1" applyBorder="1"/>
    <xf numFmtId="9" fontId="10" fillId="16" borderId="0" xfId="0" applyNumberFormat="1" applyFont="1" applyFill="1" applyAlignment="1">
      <alignment wrapText="1"/>
    </xf>
    <xf numFmtId="165" fontId="14" fillId="0" borderId="0" xfId="0" applyNumberFormat="1" applyFont="1"/>
    <xf numFmtId="165" fontId="22" fillId="0" borderId="0" xfId="3" applyNumberFormat="1" applyFont="1" applyFill="1"/>
    <xf numFmtId="165" fontId="7" fillId="0" borderId="0" xfId="3" applyNumberFormat="1" applyFill="1"/>
    <xf numFmtId="165" fontId="7" fillId="0" borderId="0" xfId="6" applyNumberFormat="1" applyFill="1" applyBorder="1"/>
    <xf numFmtId="164" fontId="7" fillId="0" borderId="0" xfId="3" applyNumberFormat="1" applyFill="1"/>
    <xf numFmtId="9" fontId="10" fillId="20" borderId="0" xfId="0" applyNumberFormat="1" applyFont="1" applyFill="1" applyAlignment="1">
      <alignment wrapText="1"/>
    </xf>
    <xf numFmtId="165" fontId="14" fillId="0" borderId="0" xfId="0" applyNumberFormat="1" applyFont="1" applyFill="1"/>
    <xf numFmtId="166" fontId="0" fillId="0" borderId="0" xfId="0" applyNumberFormat="1"/>
    <xf numFmtId="0" fontId="22" fillId="0" borderId="0" xfId="3" applyFont="1" applyAlignment="1">
      <alignment wrapText="1"/>
    </xf>
    <xf numFmtId="2" fontId="22" fillId="0" borderId="0" xfId="3" applyNumberFormat="1" applyFont="1"/>
    <xf numFmtId="9" fontId="22" fillId="0" borderId="0" xfId="3" applyNumberFormat="1" applyFont="1"/>
    <xf numFmtId="0" fontId="23" fillId="3" borderId="0" xfId="0" applyFont="1" applyFill="1"/>
    <xf numFmtId="9" fontId="22" fillId="0" borderId="0" xfId="3" applyNumberFormat="1" applyFont="1" applyFill="1"/>
    <xf numFmtId="9" fontId="0" fillId="0" borderId="0" xfId="8" applyFont="1"/>
    <xf numFmtId="0" fontId="7" fillId="0" borderId="0" xfId="3" applyFont="1" applyFill="1"/>
    <xf numFmtId="9" fontId="7" fillId="0" borderId="0" xfId="8" applyFont="1" applyFill="1" applyBorder="1"/>
    <xf numFmtId="9" fontId="7" fillId="0" borderId="0" xfId="3" applyNumberFormat="1" applyFont="1" applyFill="1"/>
    <xf numFmtId="165" fontId="0" fillId="7" borderId="0" xfId="6" applyNumberFormat="1" applyFont="1" applyFill="1" applyBorder="1" applyAlignment="1">
      <alignment wrapText="1"/>
    </xf>
    <xf numFmtId="2" fontId="7" fillId="0" borderId="0" xfId="3" applyNumberFormat="1" applyFill="1"/>
    <xf numFmtId="0" fontId="34" fillId="0" borderId="0" xfId="3" applyFont="1" applyFill="1" applyBorder="1" applyAlignment="1">
      <alignment horizontal="left" vertical="top"/>
    </xf>
    <xf numFmtId="0" fontId="34" fillId="0" borderId="0" xfId="3" applyFont="1" applyFill="1" applyBorder="1" applyAlignment="1">
      <alignment horizontal="center" vertical="top"/>
    </xf>
    <xf numFmtId="43" fontId="0" fillId="0" borderId="0" xfId="3" applyNumberFormat="1" applyFont="1" applyFill="1"/>
    <xf numFmtId="0" fontId="34" fillId="0" borderId="0" xfId="3" applyFont="1" applyFill="1" applyBorder="1" applyAlignment="1">
      <alignment horizontal="left" vertical="top" wrapText="1"/>
    </xf>
    <xf numFmtId="43" fontId="7" fillId="0" borderId="0" xfId="3" applyNumberFormat="1" applyAlignment="1">
      <alignment wrapText="1"/>
    </xf>
    <xf numFmtId="164" fontId="0" fillId="0" borderId="0" xfId="6" applyNumberFormat="1" applyFont="1" applyBorder="1"/>
    <xf numFmtId="0" fontId="35" fillId="0" borderId="0" xfId="3" applyFont="1" applyFill="1" applyBorder="1" applyAlignment="1">
      <alignment horizontal="center" vertical="top"/>
    </xf>
    <xf numFmtId="0" fontId="36" fillId="0" borderId="0" xfId="3" applyFont="1"/>
    <xf numFmtId="0" fontId="36" fillId="0" borderId="0" xfId="3" applyFont="1" applyAlignment="1">
      <alignment wrapText="1"/>
    </xf>
    <xf numFmtId="43" fontId="3" fillId="0" borderId="0" xfId="3" applyNumberFormat="1" applyFont="1"/>
    <xf numFmtId="0" fontId="36" fillId="0" borderId="0" xfId="3" applyFont="1" applyFill="1"/>
    <xf numFmtId="0" fontId="37" fillId="0" borderId="0" xfId="3" applyFont="1" applyFill="1" applyBorder="1" applyAlignment="1">
      <alignment horizontal="left" vertical="top"/>
    </xf>
    <xf numFmtId="0" fontId="37" fillId="0" borderId="0" xfId="3" applyFont="1" applyFill="1" applyBorder="1" applyAlignment="1">
      <alignment horizontal="center" vertical="top"/>
    </xf>
    <xf numFmtId="0" fontId="14" fillId="0" borderId="0" xfId="3" applyFont="1"/>
    <xf numFmtId="0" fontId="36" fillId="0" borderId="0" xfId="3" applyFont="1" applyFill="1" applyAlignment="1">
      <alignment wrapText="1"/>
    </xf>
    <xf numFmtId="0" fontId="2" fillId="0" borderId="0" xfId="7" applyFont="1" applyBorder="1" applyAlignment="1">
      <alignment vertical="center" wrapText="1"/>
    </xf>
    <xf numFmtId="0" fontId="36" fillId="0" borderId="0" xfId="3" applyFont="1" applyFill="1" applyBorder="1"/>
    <xf numFmtId="0" fontId="38" fillId="0" borderId="0" xfId="7" applyFont="1" applyBorder="1" applyAlignment="1">
      <alignment horizontal="right" vertical="center" wrapText="1"/>
    </xf>
    <xf numFmtId="0" fontId="38" fillId="0" borderId="0" xfId="7" applyFont="1" applyBorder="1"/>
    <xf numFmtId="0" fontId="14" fillId="0" borderId="0" xfId="3" applyFont="1" applyAlignment="1">
      <alignment wrapText="1"/>
    </xf>
    <xf numFmtId="164" fontId="14" fillId="0" borderId="0" xfId="6" applyNumberFormat="1" applyFont="1" applyFill="1" applyBorder="1"/>
    <xf numFmtId="0" fontId="3" fillId="0" borderId="0" xfId="6" applyNumberFormat="1" applyFont="1" applyFill="1" applyBorder="1"/>
    <xf numFmtId="43" fontId="14" fillId="0" borderId="0" xfId="6" applyFont="1" applyFill="1" applyBorder="1"/>
    <xf numFmtId="1" fontId="14" fillId="0" borderId="0" xfId="6" applyNumberFormat="1" applyFont="1" applyFill="1" applyBorder="1"/>
    <xf numFmtId="43" fontId="7" fillId="0" borderId="0" xfId="3" applyNumberFormat="1" applyFill="1"/>
    <xf numFmtId="164" fontId="36" fillId="0" borderId="0" xfId="6" applyNumberFormat="1" applyFont="1" applyBorder="1"/>
    <xf numFmtId="0" fontId="2" fillId="19" borderId="0" xfId="7" applyFont="1" applyFill="1" applyBorder="1" applyAlignment="1">
      <alignment vertical="top" wrapText="1"/>
    </xf>
    <xf numFmtId="0" fontId="1" fillId="0" borderId="0" xfId="7" applyFont="1" applyBorder="1" applyAlignment="1">
      <alignment horizontal="right" vertical="center" wrapText="1"/>
    </xf>
    <xf numFmtId="0" fontId="0" fillId="3" borderId="0" xfId="3" applyFont="1" applyFill="1" applyAlignment="1">
      <alignment wrapText="1"/>
    </xf>
    <xf numFmtId="9" fontId="1" fillId="0" borderId="0" xfId="7" applyNumberFormat="1" applyFont="1" applyBorder="1" applyAlignment="1">
      <alignment horizontal="right" vertical="center" wrapText="1"/>
    </xf>
    <xf numFmtId="0" fontId="3" fillId="4" borderId="0" xfId="3" applyFont="1" applyFill="1" applyAlignment="1">
      <alignment wrapText="1"/>
    </xf>
    <xf numFmtId="0" fontId="3" fillId="0" borderId="0" xfId="3" applyFont="1" applyFill="1" applyBorder="1"/>
    <xf numFmtId="0" fontId="38" fillId="0" borderId="0" xfId="7" applyFont="1" applyBorder="1" applyAlignment="1">
      <alignment vertical="center" wrapText="1"/>
    </xf>
    <xf numFmtId="9" fontId="10" fillId="5" borderId="0" xfId="0" applyNumberFormat="1" applyFont="1" applyFill="1" applyAlignment="1">
      <alignment wrapText="1"/>
    </xf>
    <xf numFmtId="166" fontId="0" fillId="5" borderId="0" xfId="0" applyNumberFormat="1" applyFill="1"/>
    <xf numFmtId="166" fontId="0" fillId="0" borderId="0" xfId="0" applyNumberFormat="1" applyAlignment="1">
      <alignment vertical="top"/>
    </xf>
    <xf numFmtId="43" fontId="0" fillId="0" borderId="0" xfId="0" applyNumberFormat="1"/>
    <xf numFmtId="0" fontId="3" fillId="0" borderId="0" xfId="0" applyFont="1" applyAlignment="1">
      <alignment vertical="top"/>
    </xf>
    <xf numFmtId="9" fontId="0" fillId="0" borderId="0" xfId="8" applyFont="1" applyAlignment="1">
      <alignment vertical="top"/>
    </xf>
    <xf numFmtId="43" fontId="0" fillId="18" borderId="0" xfId="6" applyNumberFormat="1" applyFont="1" applyFill="1"/>
    <xf numFmtId="43" fontId="23" fillId="18" borderId="0" xfId="6" applyNumberFormat="1" applyFont="1" applyFill="1" applyAlignment="1">
      <alignment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43" fontId="23" fillId="3" borderId="0" xfId="0" applyNumberFormat="1" applyFont="1" applyFill="1"/>
    <xf numFmtId="0" fontId="40" fillId="18" borderId="0" xfId="3" applyFont="1" applyFill="1" applyBorder="1"/>
    <xf numFmtId="0" fontId="41" fillId="18" borderId="0" xfId="0" applyFont="1" applyFill="1" applyAlignment="1">
      <alignment wrapText="1"/>
    </xf>
    <xf numFmtId="0" fontId="39" fillId="18" borderId="0" xfId="3" applyFont="1" applyFill="1" applyBorder="1"/>
    <xf numFmtId="0" fontId="39" fillId="18" borderId="0" xfId="0" applyFont="1" applyFill="1"/>
    <xf numFmtId="0" fontId="43" fillId="0" borderId="0" xfId="3" applyFont="1" applyFill="1" applyAlignment="1">
      <alignment vertical="top" wrapText="1"/>
    </xf>
    <xf numFmtId="0" fontId="43" fillId="0" borderId="0" xfId="3" applyFont="1" applyFill="1" applyAlignment="1">
      <alignment horizontal="left" vertical="top" wrapText="1"/>
    </xf>
    <xf numFmtId="0" fontId="39" fillId="0" borderId="0" xfId="0" applyFont="1" applyFill="1"/>
    <xf numFmtId="0" fontId="8" fillId="3" borderId="0" xfId="3" applyFont="1" applyFill="1"/>
    <xf numFmtId="0" fontId="3" fillId="19" borderId="0" xfId="0" applyFont="1" applyFill="1"/>
    <xf numFmtId="0" fontId="8" fillId="21" borderId="0" xfId="3" applyFont="1" applyFill="1" applyAlignment="1">
      <alignment vertical="top"/>
    </xf>
    <xf numFmtId="0" fontId="8" fillId="5" borderId="0" xfId="3" applyFont="1" applyFill="1"/>
    <xf numFmtId="165" fontId="8" fillId="5" borderId="0" xfId="3" applyNumberFormat="1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2" fillId="5" borderId="0" xfId="3" applyFont="1" applyFill="1" applyAlignment="1">
      <alignment vertical="top"/>
    </xf>
    <xf numFmtId="0" fontId="13" fillId="5" borderId="0" xfId="0" applyFont="1" applyFill="1" applyAlignment="1">
      <alignment wrapText="1"/>
    </xf>
    <xf numFmtId="0" fontId="12" fillId="5" borderId="0" xfId="3" applyFont="1" applyFill="1" applyAlignment="1">
      <alignment vertical="top" wrapText="1"/>
    </xf>
    <xf numFmtId="0" fontId="8" fillId="13" borderId="0" xfId="3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9" fillId="0" borderId="0" xfId="3" applyFont="1" applyFill="1"/>
    <xf numFmtId="9" fontId="6" fillId="0" borderId="0" xfId="0" applyNumberFormat="1" applyFont="1" applyAlignment="1">
      <alignment wrapText="1"/>
    </xf>
    <xf numFmtId="0" fontId="0" fillId="0" borderId="0" xfId="0" applyFont="1" applyFill="1"/>
    <xf numFmtId="0" fontId="40" fillId="0" borderId="0" xfId="0" applyFont="1" applyAlignment="1">
      <alignment wrapText="1"/>
    </xf>
    <xf numFmtId="0" fontId="2" fillId="0" borderId="0" xfId="3" applyFont="1" applyFill="1"/>
    <xf numFmtId="165" fontId="7" fillId="0" borderId="0" xfId="3" applyNumberFormat="1" applyAlignment="1">
      <alignment wrapText="1"/>
    </xf>
    <xf numFmtId="165" fontId="0" fillId="0" borderId="0" xfId="3" applyNumberFormat="1" applyFont="1" applyAlignment="1">
      <alignment wrapText="1"/>
    </xf>
    <xf numFmtId="43" fontId="7" fillId="0" borderId="0" xfId="6" applyFill="1" applyBorder="1"/>
    <xf numFmtId="9" fontId="1" fillId="3" borderId="0" xfId="2" applyFont="1" applyFill="1" applyBorder="1" applyAlignment="1">
      <alignment vertical="center" wrapText="1"/>
    </xf>
    <xf numFmtId="9" fontId="0" fillId="3" borderId="0" xfId="2" applyFont="1" applyFill="1" applyAlignment="1">
      <alignment wrapText="1"/>
    </xf>
    <xf numFmtId="0" fontId="0" fillId="13" borderId="0" xfId="0" applyFill="1"/>
    <xf numFmtId="0" fontId="3" fillId="13" borderId="0" xfId="0" applyFont="1" applyFill="1"/>
    <xf numFmtId="9" fontId="0" fillId="13" borderId="0" xfId="3" applyNumberFormat="1" applyFont="1" applyFill="1"/>
    <xf numFmtId="2" fontId="0" fillId="13" borderId="0" xfId="3" applyNumberFormat="1" applyFont="1" applyFill="1"/>
    <xf numFmtId="0" fontId="7" fillId="13" borderId="0" xfId="3" applyFill="1"/>
    <xf numFmtId="9" fontId="4" fillId="13" borderId="0" xfId="0" applyNumberFormat="1" applyFont="1" applyFill="1" applyAlignment="1">
      <alignment wrapText="1"/>
    </xf>
    <xf numFmtId="43" fontId="0" fillId="13" borderId="0" xfId="0" applyNumberFormat="1" applyFill="1"/>
    <xf numFmtId="166" fontId="5" fillId="0" borderId="0" xfId="0" applyNumberFormat="1" applyFont="1" applyFill="1"/>
    <xf numFmtId="9" fontId="7" fillId="13" borderId="0" xfId="3" applyNumberFormat="1" applyFill="1"/>
    <xf numFmtId="9" fontId="1" fillId="13" borderId="0" xfId="7" applyNumberFormat="1" applyFont="1" applyFill="1" applyBorder="1" applyAlignment="1">
      <alignment vertical="center" wrapText="1"/>
    </xf>
    <xf numFmtId="43" fontId="9" fillId="13" borderId="0" xfId="6" applyFont="1" applyFill="1" applyAlignment="1">
      <alignment vertical="top"/>
    </xf>
    <xf numFmtId="0" fontId="0" fillId="22" borderId="0" xfId="0" applyFill="1"/>
    <xf numFmtId="0" fontId="2" fillId="22" borderId="0" xfId="0" applyFont="1" applyFill="1" applyAlignment="1">
      <alignment vertical="top"/>
    </xf>
    <xf numFmtId="0" fontId="0" fillId="22" borderId="0" xfId="0" applyFill="1" applyAlignment="1">
      <alignment vertical="top"/>
    </xf>
    <xf numFmtId="0" fontId="46" fillId="0" borderId="0" xfId="3" applyFont="1" applyFill="1" applyAlignment="1">
      <alignment vertical="top" wrapText="1"/>
    </xf>
    <xf numFmtId="0" fontId="47" fillId="0" borderId="0" xfId="0" applyFont="1" applyFill="1"/>
    <xf numFmtId="0" fontId="9" fillId="20" borderId="0" xfId="3" applyFont="1" applyFill="1" applyAlignment="1">
      <alignment vertical="top" wrapText="1"/>
    </xf>
    <xf numFmtId="0" fontId="39" fillId="0" borderId="0" xfId="0" applyFont="1" applyFill="1" applyAlignment="1">
      <alignment wrapText="1"/>
    </xf>
    <xf numFmtId="0" fontId="8" fillId="0" borderId="0" xfId="4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43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0" fillId="3" borderId="0" xfId="0" applyFill="1" applyAlignment="1">
      <alignment vertical="top"/>
    </xf>
    <xf numFmtId="0" fontId="42" fillId="0" borderId="0" xfId="3" applyFont="1" applyFill="1" applyAlignment="1">
      <alignment vertical="top"/>
    </xf>
    <xf numFmtId="0" fontId="45" fillId="0" borderId="0" xfId="3" applyFont="1" applyFill="1" applyAlignment="1">
      <alignment vertical="top" wrapText="1"/>
    </xf>
    <xf numFmtId="0" fontId="2" fillId="0" borderId="0" xfId="0" applyFont="1" applyFill="1"/>
    <xf numFmtId="164" fontId="5" fillId="10" borderId="0" xfId="5" applyNumberFormat="1" applyFont="1" applyFill="1" applyBorder="1"/>
    <xf numFmtId="164" fontId="7" fillId="10" borderId="5" xfId="5" applyNumberFormat="1" applyFont="1" applyFill="1" applyBorder="1"/>
    <xf numFmtId="164" fontId="7" fillId="0" borderId="5" xfId="5" applyNumberFormat="1" applyFont="1" applyBorder="1"/>
    <xf numFmtId="0" fontId="15" fillId="0" borderId="0" xfId="3" applyFont="1" applyFill="1" applyBorder="1" applyAlignment="1">
      <alignment horizontal="left" vertical="top" wrapText="1"/>
    </xf>
    <xf numFmtId="12" fontId="4" fillId="0" borderId="0" xfId="0" applyNumberFormat="1" applyFont="1" applyFill="1" applyAlignment="1">
      <alignment wrapText="1"/>
    </xf>
    <xf numFmtId="12" fontId="0" fillId="0" borderId="0" xfId="0" applyNumberFormat="1" applyFill="1" applyAlignment="1">
      <alignment wrapText="1"/>
    </xf>
    <xf numFmtId="12" fontId="0" fillId="0" borderId="0" xfId="0" applyNumberFormat="1" applyFill="1"/>
    <xf numFmtId="12" fontId="39" fillId="18" borderId="0" xfId="8" applyNumberFormat="1" applyFont="1" applyFill="1" applyAlignment="1">
      <alignment wrapText="1"/>
    </xf>
    <xf numFmtId="12" fontId="39" fillId="18" borderId="0" xfId="0" applyNumberFormat="1" applyFont="1" applyFill="1" applyAlignment="1">
      <alignment wrapText="1"/>
    </xf>
    <xf numFmtId="12" fontId="0" fillId="0" borderId="0" xfId="6" applyNumberFormat="1" applyFont="1" applyFill="1" applyAlignment="1">
      <alignment wrapText="1"/>
    </xf>
    <xf numFmtId="12" fontId="3" fillId="5" borderId="0" xfId="1" applyNumberFormat="1" applyFont="1" applyFill="1" applyAlignment="1">
      <alignment wrapText="1"/>
    </xf>
    <xf numFmtId="12" fontId="0" fillId="5" borderId="0" xfId="0" applyNumberFormat="1" applyFill="1"/>
    <xf numFmtId="12" fontId="0" fillId="18" borderId="0" xfId="8" applyNumberFormat="1" applyFont="1" applyFill="1" applyAlignment="1">
      <alignment wrapText="1"/>
    </xf>
    <xf numFmtId="12" fontId="3" fillId="18" borderId="0" xfId="0" applyNumberFormat="1" applyFont="1" applyFill="1" applyAlignment="1">
      <alignment wrapText="1"/>
    </xf>
    <xf numFmtId="9" fontId="0" fillId="3" borderId="0" xfId="2" applyFont="1" applyFill="1" applyBorder="1" applyAlignment="1">
      <alignment vertical="center" wrapText="1"/>
    </xf>
    <xf numFmtId="12" fontId="0" fillId="22" borderId="0" xfId="0" applyNumberFormat="1" applyFill="1" applyAlignment="1">
      <alignment vertical="top"/>
    </xf>
    <xf numFmtId="12" fontId="0" fillId="22" borderId="0" xfId="0" applyNumberFormat="1" applyFill="1"/>
    <xf numFmtId="0" fontId="2" fillId="3" borderId="0" xfId="0" applyFont="1" applyFill="1"/>
    <xf numFmtId="164" fontId="7" fillId="10" borderId="0" xfId="19" applyNumberFormat="1" applyFont="1" applyFill="1" applyBorder="1"/>
    <xf numFmtId="164" fontId="1" fillId="10" borderId="0" xfId="19" applyNumberFormat="1" applyFont="1" applyFill="1" applyBorder="1"/>
    <xf numFmtId="164" fontId="7" fillId="0" borderId="0" xfId="19" applyNumberFormat="1" applyFont="1" applyBorder="1"/>
    <xf numFmtId="164" fontId="7" fillId="0" borderId="0" xfId="19" applyNumberFormat="1" applyFont="1" applyFill="1" applyBorder="1"/>
    <xf numFmtId="164" fontId="1" fillId="0" borderId="0" xfId="19" applyNumberFormat="1" applyFont="1" applyBorder="1"/>
    <xf numFmtId="9" fontId="0" fillId="23" borderId="0" xfId="0" applyNumberFormat="1" applyFill="1" applyBorder="1"/>
    <xf numFmtId="0" fontId="0" fillId="24" borderId="0" xfId="0" applyFill="1"/>
    <xf numFmtId="167" fontId="0" fillId="0" borderId="0" xfId="0" applyNumberFormat="1"/>
    <xf numFmtId="164" fontId="7" fillId="3" borderId="0" xfId="5" applyNumberFormat="1" applyFont="1" applyFill="1" applyBorder="1"/>
    <xf numFmtId="0" fontId="17" fillId="3" borderId="0" xfId="4" applyFont="1" applyFill="1" applyBorder="1" applyAlignment="1">
      <alignment horizontal="left" vertical="top" wrapText="1"/>
    </xf>
    <xf numFmtId="0" fontId="48" fillId="3" borderId="0" xfId="3" applyFont="1" applyFill="1" applyBorder="1" applyAlignment="1">
      <alignment horizontal="left" vertical="top" wrapText="1"/>
    </xf>
    <xf numFmtId="0" fontId="49" fillId="3" borderId="0" xfId="0" applyFont="1" applyFill="1" applyAlignment="1">
      <alignment wrapText="1"/>
    </xf>
    <xf numFmtId="0" fontId="7" fillId="25" borderId="0" xfId="3" applyFill="1"/>
    <xf numFmtId="0" fontId="3" fillId="25" borderId="0" xfId="3" applyFont="1" applyFill="1"/>
    <xf numFmtId="0" fontId="0" fillId="25" borderId="0" xfId="3" applyFont="1" applyFill="1"/>
    <xf numFmtId="0" fontId="7" fillId="25" borderId="0" xfId="3" applyFill="1" applyAlignment="1">
      <alignment wrapText="1"/>
    </xf>
    <xf numFmtId="0" fontId="7" fillId="25" borderId="9" xfId="3" applyFill="1" applyBorder="1" applyAlignment="1">
      <alignment horizontal="left" vertical="top"/>
    </xf>
    <xf numFmtId="0" fontId="7" fillId="5" borderId="0" xfId="3" applyFill="1"/>
    <xf numFmtId="0" fontId="50" fillId="5" borderId="4" xfId="3" applyFont="1" applyFill="1" applyBorder="1" applyAlignment="1">
      <alignment horizontal="left" vertical="top"/>
    </xf>
    <xf numFmtId="0" fontId="0" fillId="5" borderId="0" xfId="3" applyFont="1" applyFill="1" applyAlignment="1">
      <alignment wrapText="1"/>
    </xf>
    <xf numFmtId="0" fontId="50" fillId="26" borderId="4" xfId="3" applyFont="1" applyFill="1" applyBorder="1" applyAlignment="1">
      <alignment horizontal="left" vertical="top" wrapText="1"/>
    </xf>
    <xf numFmtId="0" fontId="51" fillId="27" borderId="6" xfId="3" applyFont="1" applyFill="1" applyBorder="1" applyAlignment="1">
      <alignment horizontal="center" vertical="top"/>
    </xf>
    <xf numFmtId="0" fontId="51" fillId="0" borderId="0" xfId="3" applyFont="1" applyFill="1" applyBorder="1" applyAlignment="1">
      <alignment horizontal="center" vertical="top"/>
    </xf>
    <xf numFmtId="0" fontId="52" fillId="28" borderId="10" xfId="3" applyFont="1" applyFill="1" applyBorder="1" applyAlignment="1">
      <alignment horizontal="left" vertical="top"/>
    </xf>
    <xf numFmtId="0" fontId="53" fillId="26" borderId="4" xfId="3" applyFont="1" applyFill="1" applyBorder="1" applyAlignment="1">
      <alignment horizontal="center" vertical="top"/>
    </xf>
    <xf numFmtId="0" fontId="54" fillId="0" borderId="0" xfId="3" applyFont="1" applyBorder="1" applyAlignment="1">
      <alignment horizontal="center" vertical="top"/>
    </xf>
    <xf numFmtId="0" fontId="54" fillId="0" borderId="0" xfId="3" applyFont="1" applyBorder="1" applyAlignment="1">
      <alignment horizontal="left" vertical="top"/>
    </xf>
    <xf numFmtId="0" fontId="54" fillId="0" borderId="10" xfId="3" applyFont="1" applyBorder="1" applyAlignment="1">
      <alignment horizontal="left" vertical="top"/>
    </xf>
    <xf numFmtId="0" fontId="54" fillId="0" borderId="0" xfId="3" applyFont="1" applyFill="1" applyBorder="1" applyAlignment="1">
      <alignment horizontal="center" vertical="top"/>
    </xf>
    <xf numFmtId="0" fontId="54" fillId="0" borderId="0" xfId="3" applyFont="1" applyFill="1" applyBorder="1" applyAlignment="1">
      <alignment horizontal="left" vertical="top"/>
    </xf>
    <xf numFmtId="0" fontId="54" fillId="0" borderId="9" xfId="3" applyFont="1" applyBorder="1" applyAlignment="1">
      <alignment horizontal="left" vertical="top"/>
    </xf>
    <xf numFmtId="0" fontId="54" fillId="0" borderId="11" xfId="3" applyFont="1" applyBorder="1" applyAlignment="1">
      <alignment horizontal="left" vertical="top"/>
    </xf>
    <xf numFmtId="0" fontId="54" fillId="0" borderId="12" xfId="3" applyFont="1" applyBorder="1" applyAlignment="1">
      <alignment horizontal="left" vertical="top"/>
    </xf>
    <xf numFmtId="0" fontId="53" fillId="26" borderId="6" xfId="3" applyFont="1" applyFill="1" applyBorder="1" applyAlignment="1">
      <alignment horizontal="center" vertical="top"/>
    </xf>
    <xf numFmtId="0" fontId="53" fillId="0" borderId="0" xfId="3" applyFont="1" applyFill="1" applyBorder="1" applyAlignment="1">
      <alignment horizontal="center" vertical="top"/>
    </xf>
    <xf numFmtId="0" fontId="53" fillId="0" borderId="0" xfId="3" applyFont="1" applyFill="1" applyBorder="1" applyAlignment="1">
      <alignment horizontal="left" vertical="top"/>
    </xf>
    <xf numFmtId="0" fontId="7" fillId="0" borderId="0" xfId="3" applyBorder="1" applyAlignment="1">
      <alignment horizontal="left" vertical="top"/>
    </xf>
    <xf numFmtId="0" fontId="7" fillId="26" borderId="0" xfId="3" applyFill="1" applyBorder="1" applyAlignment="1">
      <alignment horizontal="left" vertical="top"/>
    </xf>
    <xf numFmtId="0" fontId="51" fillId="29" borderId="4" xfId="3" applyFont="1" applyFill="1" applyBorder="1" applyAlignment="1">
      <alignment horizontal="left" vertical="top" wrapText="1"/>
    </xf>
    <xf numFmtId="0" fontId="51" fillId="27" borderId="4" xfId="3" applyFont="1" applyFill="1" applyBorder="1" applyAlignment="1">
      <alignment horizontal="left" vertical="top" wrapText="1"/>
    </xf>
    <xf numFmtId="0" fontId="51" fillId="27" borderId="4" xfId="3" applyFont="1" applyFill="1" applyBorder="1" applyAlignment="1">
      <alignment horizontal="center" vertical="top" wrapText="1"/>
    </xf>
    <xf numFmtId="0" fontId="51" fillId="0" borderId="0" xfId="3" applyFont="1" applyFill="1" applyBorder="1" applyAlignment="1">
      <alignment horizontal="center" vertical="top" wrapText="1"/>
    </xf>
    <xf numFmtId="0" fontId="51" fillId="0" borderId="0" xfId="3" applyFont="1" applyFill="1" applyBorder="1" applyAlignment="1">
      <alignment horizontal="left" vertical="top" wrapText="1"/>
    </xf>
    <xf numFmtId="0" fontId="18" fillId="29" borderId="4" xfId="3" applyFont="1" applyFill="1" applyBorder="1" applyAlignment="1">
      <alignment horizontal="center" vertical="top"/>
    </xf>
    <xf numFmtId="0" fontId="18" fillId="0" borderId="4" xfId="3" applyFont="1" applyBorder="1" applyAlignment="1">
      <alignment horizontal="center" vertical="top"/>
    </xf>
    <xf numFmtId="0" fontId="18" fillId="0" borderId="0" xfId="3" applyFont="1" applyFill="1" applyBorder="1" applyAlignment="1">
      <alignment horizontal="left" vertical="top"/>
    </xf>
    <xf numFmtId="0" fontId="18" fillId="0" borderId="0" xfId="3" applyFont="1" applyFill="1" applyBorder="1" applyAlignment="1">
      <alignment horizontal="right" vertical="top"/>
    </xf>
    <xf numFmtId="0" fontId="18" fillId="30" borderId="4" xfId="3" applyFont="1" applyFill="1" applyBorder="1" applyAlignment="1">
      <alignment horizontal="center" vertical="top"/>
    </xf>
    <xf numFmtId="0" fontId="55" fillId="0" borderId="9" xfId="3" applyFont="1" applyBorder="1" applyAlignment="1">
      <alignment horizontal="center" vertical="top"/>
    </xf>
    <xf numFmtId="0" fontId="55" fillId="0" borderId="0" xfId="3" applyFont="1" applyBorder="1" applyAlignment="1">
      <alignment horizontal="center" vertical="top"/>
    </xf>
    <xf numFmtId="0" fontId="55" fillId="0" borderId="10" xfId="3" applyFont="1" applyBorder="1" applyAlignment="1">
      <alignment horizontal="center" vertical="top"/>
    </xf>
    <xf numFmtId="0" fontId="3" fillId="20" borderId="0" xfId="3" applyFont="1" applyFill="1"/>
    <xf numFmtId="0" fontId="7" fillId="20" borderId="0" xfId="3" applyFill="1"/>
    <xf numFmtId="0" fontId="0" fillId="31" borderId="0" xfId="3" applyFont="1" applyFill="1"/>
    <xf numFmtId="0" fontId="7" fillId="31" borderId="0" xfId="3" applyFill="1"/>
    <xf numFmtId="0" fontId="0" fillId="8" borderId="0" xfId="3" applyFont="1" applyFill="1"/>
    <xf numFmtId="0" fontId="7" fillId="8" borderId="0" xfId="3" applyFill="1"/>
    <xf numFmtId="0" fontId="52" fillId="28" borderId="13" xfId="3" applyFont="1" applyFill="1" applyBorder="1" applyAlignment="1">
      <alignment horizontal="left" vertical="top"/>
    </xf>
    <xf numFmtId="0" fontId="55" fillId="0" borderId="0" xfId="3" applyFont="1" applyBorder="1" applyAlignment="1">
      <alignment horizontal="right" vertical="top"/>
    </xf>
    <xf numFmtId="0" fontId="55" fillId="0" borderId="0" xfId="3" applyFont="1" applyBorder="1" applyAlignment="1">
      <alignment horizontal="left" vertical="top"/>
    </xf>
    <xf numFmtId="0" fontId="55" fillId="0" borderId="10" xfId="3" applyFont="1" applyBorder="1" applyAlignment="1">
      <alignment horizontal="left" vertical="top"/>
    </xf>
    <xf numFmtId="0" fontId="54" fillId="0" borderId="12" xfId="3" applyFont="1" applyBorder="1" applyAlignment="1">
      <alignment horizontal="center" vertical="top"/>
    </xf>
    <xf numFmtId="0" fontId="55" fillId="0" borderId="9" xfId="3" applyFont="1" applyBorder="1" applyAlignment="1">
      <alignment horizontal="left" vertical="top"/>
    </xf>
    <xf numFmtId="0" fontId="9" fillId="3" borderId="0" xfId="3" applyFont="1" applyFill="1"/>
    <xf numFmtId="0" fontId="9" fillId="16" borderId="0" xfId="3" applyFont="1" applyFill="1"/>
    <xf numFmtId="0" fontId="12" fillId="16" borderId="0" xfId="3" applyFont="1" applyFill="1" applyBorder="1"/>
    <xf numFmtId="0" fontId="9" fillId="16" borderId="0" xfId="3" applyFont="1" applyFill="1" applyBorder="1"/>
    <xf numFmtId="0" fontId="12" fillId="0" borderId="0" xfId="3" applyFont="1" applyFill="1"/>
    <xf numFmtId="0" fontId="12" fillId="0" borderId="0" xfId="3" applyFont="1" applyFill="1" applyBorder="1"/>
    <xf numFmtId="0" fontId="8" fillId="16" borderId="0" xfId="3" applyFont="1" applyFill="1" applyBorder="1" applyAlignment="1">
      <alignment vertical="top" wrapText="1"/>
    </xf>
    <xf numFmtId="0" fontId="8" fillId="16" borderId="0" xfId="3" applyFont="1" applyFill="1"/>
    <xf numFmtId="0" fontId="8" fillId="16" borderId="0" xfId="3" applyFont="1" applyFill="1" applyBorder="1"/>
    <xf numFmtId="0" fontId="58" fillId="16" borderId="0" xfId="3" applyFont="1" applyFill="1" applyBorder="1" applyAlignment="1">
      <alignment horizontal="center" vertical="top"/>
    </xf>
    <xf numFmtId="0" fontId="9" fillId="16" borderId="0" xfId="3" applyFont="1" applyFill="1" applyBorder="1" applyAlignment="1">
      <alignment horizontal="right"/>
    </xf>
    <xf numFmtId="0" fontId="58" fillId="16" borderId="0" xfId="3" applyFont="1" applyFill="1" applyBorder="1" applyAlignment="1">
      <alignment horizontal="right" vertical="top"/>
    </xf>
    <xf numFmtId="1" fontId="9" fillId="0" borderId="0" xfId="3" applyNumberFormat="1" applyFont="1" applyFill="1"/>
    <xf numFmtId="0" fontId="9" fillId="0" borderId="0" xfId="3" applyFont="1" applyFill="1" applyBorder="1"/>
    <xf numFmtId="0" fontId="9" fillId="4" borderId="0" xfId="3" applyFont="1" applyFill="1"/>
    <xf numFmtId="1" fontId="9" fillId="3" borderId="0" xfId="3" applyNumberFormat="1" applyFont="1" applyFill="1"/>
    <xf numFmtId="0" fontId="3" fillId="3" borderId="0" xfId="3" applyFont="1" applyFill="1"/>
    <xf numFmtId="0" fontId="7" fillId="3" borderId="0" xfId="3" applyFill="1"/>
    <xf numFmtId="0" fontId="9" fillId="10" borderId="0" xfId="3" applyFont="1" applyFill="1"/>
    <xf numFmtId="0" fontId="1" fillId="10" borderId="0" xfId="15" applyFill="1"/>
    <xf numFmtId="0" fontId="1" fillId="0" borderId="0" xfId="15"/>
    <xf numFmtId="0" fontId="45" fillId="10" borderId="0" xfId="3" applyFont="1" applyFill="1"/>
    <xf numFmtId="0" fontId="20" fillId="22" borderId="0" xfId="3" applyFont="1" applyFill="1"/>
    <xf numFmtId="0" fontId="58" fillId="0" borderId="0" xfId="3" applyFont="1" applyFill="1" applyBorder="1" applyAlignment="1">
      <alignment horizontal="left" vertical="top"/>
    </xf>
    <xf numFmtId="0" fontId="58" fillId="0" borderId="0" xfId="3" applyFont="1" applyBorder="1" applyAlignment="1">
      <alignment horizontal="left" vertical="top"/>
    </xf>
    <xf numFmtId="0" fontId="59" fillId="25" borderId="0" xfId="3" applyFont="1" applyFill="1"/>
    <xf numFmtId="0" fontId="1" fillId="0" borderId="0" xfId="15" applyFont="1"/>
    <xf numFmtId="0" fontId="58" fillId="0" borderId="4" xfId="3" applyFont="1" applyBorder="1" applyAlignment="1">
      <alignment horizontal="left" vertical="top" wrapText="1"/>
    </xf>
    <xf numFmtId="0" fontId="58" fillId="0" borderId="14" xfId="3" applyFont="1" applyBorder="1" applyAlignment="1">
      <alignment horizontal="left" vertical="top" wrapText="1"/>
    </xf>
    <xf numFmtId="0" fontId="58" fillId="0" borderId="6" xfId="3" applyFont="1" applyBorder="1" applyAlignment="1">
      <alignment horizontal="left" vertical="top" wrapText="1"/>
    </xf>
    <xf numFmtId="0" fontId="58" fillId="0" borderId="4" xfId="3" applyFont="1" applyBorder="1" applyAlignment="1">
      <alignment horizontal="left" vertical="top"/>
    </xf>
    <xf numFmtId="0" fontId="58" fillId="0" borderId="4" xfId="3" applyFont="1" applyBorder="1" applyAlignment="1">
      <alignment horizontal="center" vertical="top"/>
    </xf>
    <xf numFmtId="0" fontId="7" fillId="0" borderId="0" xfId="3" applyFill="1" applyAlignment="1">
      <alignment vertical="top" wrapText="1"/>
    </xf>
    <xf numFmtId="164" fontId="0" fillId="0" borderId="0" xfId="6" applyNumberFormat="1" applyFont="1" applyFill="1" applyAlignment="1">
      <alignment vertical="top"/>
    </xf>
    <xf numFmtId="0" fontId="1" fillId="0" borderId="0" xfId="15" applyFill="1"/>
    <xf numFmtId="0" fontId="3" fillId="0" borderId="0" xfId="3" applyFont="1" applyFill="1" applyAlignment="1"/>
    <xf numFmtId="0" fontId="2" fillId="0" borderId="0" xfId="15" applyFont="1"/>
    <xf numFmtId="0" fontId="8" fillId="0" borderId="0" xfId="3" applyFont="1"/>
    <xf numFmtId="164" fontId="9" fillId="0" borderId="0" xfId="6" applyNumberFormat="1" applyFont="1" applyFill="1"/>
    <xf numFmtId="0" fontId="3" fillId="32" borderId="0" xfId="3" applyFont="1" applyFill="1"/>
    <xf numFmtId="1" fontId="7" fillId="32" borderId="0" xfId="3" applyNumberFormat="1" applyFill="1"/>
    <xf numFmtId="0" fontId="7" fillId="32" borderId="0" xfId="3" applyFill="1"/>
    <xf numFmtId="0" fontId="12" fillId="5" borderId="0" xfId="3" applyFont="1" applyFill="1"/>
    <xf numFmtId="0" fontId="44" fillId="3" borderId="0" xfId="0" applyFont="1" applyFill="1" applyAlignment="1">
      <alignment wrapText="1"/>
    </xf>
    <xf numFmtId="0" fontId="8" fillId="10" borderId="0" xfId="3" applyFont="1" applyFill="1" applyAlignment="1">
      <alignment horizontal="left"/>
    </xf>
    <xf numFmtId="0" fontId="56" fillId="16" borderId="0" xfId="3" applyFont="1" applyFill="1" applyBorder="1" applyAlignment="1">
      <alignment horizontal="center" vertical="top" wrapText="1"/>
    </xf>
    <xf numFmtId="0" fontId="12" fillId="3" borderId="0" xfId="3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4" fillId="0" borderId="0" xfId="3" applyFont="1" applyFill="1" applyBorder="1" applyAlignment="1">
      <alignment horizontal="left" vertical="top" wrapText="1"/>
    </xf>
    <xf numFmtId="0" fontId="34" fillId="0" borderId="0" xfId="3" applyFont="1" applyFill="1" applyBorder="1" applyAlignment="1">
      <alignment horizontal="center" vertical="top"/>
    </xf>
  </cellXfs>
  <cellStyles count="20">
    <cellStyle name="Comma" xfId="1" builtinId="3"/>
    <cellStyle name="Comma 2" xfId="6"/>
    <cellStyle name="Comma 3" xfId="5"/>
    <cellStyle name="Comma 3 2" xfId="9"/>
    <cellStyle name="Comma 3 4" xfId="19"/>
    <cellStyle name="Normal" xfId="0" builtinId="0"/>
    <cellStyle name="Normal 2" xfId="3"/>
    <cellStyle name="Normal 3" xfId="10"/>
    <cellStyle name="Normal 3 2" xfId="11"/>
    <cellStyle name="Normal 3 3" xfId="12"/>
    <cellStyle name="Normal 4" xfId="7"/>
    <cellStyle name="Normal 4 2" xfId="13"/>
    <cellStyle name="Normal 4 3" xfId="14"/>
    <cellStyle name="Normal 5" xfId="4"/>
    <cellStyle name="Normal 5 2" xfId="15"/>
    <cellStyle name="Normal 6" xfId="16"/>
    <cellStyle name="Percent" xfId="2" builtinId="5"/>
    <cellStyle name="Percent 2" xfId="17"/>
    <cellStyle name="Percent 2 2" xfId="8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2"/>
  <sheetViews>
    <sheetView showFormulas="1" workbookViewId="0"/>
  </sheetViews>
  <sheetFormatPr defaultRowHeight="15"/>
  <cols>
    <col min="1" max="1" width="9.140625" style="131"/>
    <col min="2" max="2" width="21.140625" style="131" customWidth="1"/>
    <col min="3" max="3" width="26.42578125" style="131" customWidth="1"/>
    <col min="4" max="4" width="16.5703125" style="131" customWidth="1"/>
    <col min="5" max="5" width="8.42578125" style="131" customWidth="1"/>
    <col min="6" max="6" width="9.28515625" style="131" customWidth="1"/>
    <col min="7" max="7" width="9.5703125" style="131" customWidth="1"/>
    <col min="8" max="8" width="16.42578125" style="131" customWidth="1"/>
    <col min="9" max="16384" width="9.140625" style="131"/>
  </cols>
  <sheetData>
    <row r="1" spans="1:15">
      <c r="B1" s="367"/>
      <c r="C1" s="368" t="s">
        <v>523</v>
      </c>
      <c r="D1" s="368" t="s">
        <v>524</v>
      </c>
      <c r="E1" s="367"/>
      <c r="F1" s="367"/>
      <c r="G1" s="367"/>
      <c r="H1" s="367"/>
    </row>
    <row r="2" spans="1:15">
      <c r="B2" s="367" t="s">
        <v>525</v>
      </c>
      <c r="C2" s="367"/>
      <c r="D2" s="369" t="s">
        <v>526</v>
      </c>
      <c r="E2" s="367"/>
      <c r="F2" s="367"/>
      <c r="G2" s="367"/>
      <c r="H2" s="367"/>
      <c r="I2" s="131" t="s">
        <v>527</v>
      </c>
    </row>
    <row r="3" spans="1:15">
      <c r="B3" s="367" t="s">
        <v>528</v>
      </c>
      <c r="C3" s="367"/>
      <c r="D3" s="369" t="s">
        <v>529</v>
      </c>
      <c r="E3" s="367"/>
      <c r="F3" s="367"/>
      <c r="G3" s="367"/>
      <c r="H3" s="367"/>
      <c r="I3" s="131" t="s">
        <v>530</v>
      </c>
    </row>
    <row r="4" spans="1:15">
      <c r="B4" s="367" t="s">
        <v>531</v>
      </c>
      <c r="C4" s="367"/>
      <c r="D4" s="369" t="s">
        <v>532</v>
      </c>
      <c r="E4" s="367"/>
      <c r="F4" s="367"/>
      <c r="G4" s="367"/>
      <c r="H4" s="367"/>
    </row>
    <row r="5" spans="1:15" ht="45">
      <c r="B5" s="367" t="s">
        <v>12</v>
      </c>
      <c r="C5" s="370" t="s">
        <v>533</v>
      </c>
      <c r="D5" s="369" t="s">
        <v>534</v>
      </c>
      <c r="E5" s="367"/>
      <c r="F5" s="367"/>
      <c r="G5" s="367"/>
      <c r="H5" s="367"/>
    </row>
    <row r="6" spans="1:15" ht="45">
      <c r="B6" s="371" t="s">
        <v>535</v>
      </c>
      <c r="C6" s="370" t="s">
        <v>536</v>
      </c>
      <c r="D6" s="367"/>
      <c r="E6" s="367"/>
      <c r="F6" s="367"/>
      <c r="G6" s="367"/>
      <c r="H6" s="367"/>
    </row>
    <row r="7" spans="1:15">
      <c r="A7" s="372"/>
      <c r="B7" s="373" t="s">
        <v>537</v>
      </c>
      <c r="C7" s="374"/>
      <c r="D7" s="372"/>
      <c r="E7" s="372"/>
      <c r="F7" s="372"/>
      <c r="G7" s="372"/>
      <c r="H7" s="367"/>
    </row>
    <row r="8" spans="1:15" ht="21.95" customHeight="1">
      <c r="A8" s="375"/>
      <c r="B8" s="376" t="s">
        <v>538</v>
      </c>
      <c r="C8" s="376"/>
      <c r="D8" s="376"/>
      <c r="E8" s="376"/>
      <c r="I8" s="376" t="s">
        <v>539</v>
      </c>
      <c r="J8" s="376"/>
      <c r="K8" s="376"/>
      <c r="L8" s="376"/>
      <c r="M8" s="377"/>
      <c r="N8" s="190"/>
      <c r="O8" s="377"/>
    </row>
    <row r="9" spans="1:15" ht="21.6" customHeight="1">
      <c r="A9" s="375" t="s">
        <v>540</v>
      </c>
      <c r="B9" s="378" t="s">
        <v>541</v>
      </c>
      <c r="C9" s="378" t="s">
        <v>542</v>
      </c>
      <c r="D9" s="378" t="s">
        <v>543</v>
      </c>
      <c r="E9" s="378" t="s">
        <v>544</v>
      </c>
      <c r="F9" s="378" t="s">
        <v>545</v>
      </c>
      <c r="G9" s="378" t="s">
        <v>546</v>
      </c>
      <c r="H9" s="378" t="s">
        <v>547</v>
      </c>
      <c r="I9" s="378" t="s">
        <v>541</v>
      </c>
      <c r="J9" s="378" t="s">
        <v>542</v>
      </c>
      <c r="K9" s="378" t="s">
        <v>543</v>
      </c>
      <c r="L9" s="378" t="s">
        <v>544</v>
      </c>
      <c r="M9" s="378" t="s">
        <v>545</v>
      </c>
      <c r="N9" s="378" t="s">
        <v>546</v>
      </c>
      <c r="O9" s="378" t="s">
        <v>547</v>
      </c>
    </row>
    <row r="10" spans="1:15" ht="15.2" customHeight="1">
      <c r="A10" s="379">
        <v>61</v>
      </c>
      <c r="B10" s="131">
        <v>12.1</v>
      </c>
      <c r="C10" s="131">
        <v>13</v>
      </c>
      <c r="D10" s="131">
        <v>14.1</v>
      </c>
      <c r="E10" s="131">
        <v>15.3</v>
      </c>
      <c r="F10" s="131">
        <v>16.7</v>
      </c>
      <c r="G10" s="131">
        <v>18.3</v>
      </c>
      <c r="H10" s="131">
        <v>20.399999999999999</v>
      </c>
      <c r="I10" s="131">
        <v>11.8</v>
      </c>
      <c r="J10" s="131">
        <v>12.7</v>
      </c>
      <c r="K10" s="131">
        <v>13.9</v>
      </c>
      <c r="L10" s="131">
        <v>15.2</v>
      </c>
      <c r="M10" s="131">
        <v>16.899999999999999</v>
      </c>
      <c r="N10" s="131">
        <v>18.899999999999999</v>
      </c>
      <c r="O10" s="131">
        <v>21.3</v>
      </c>
    </row>
    <row r="11" spans="1:15" ht="12.4" customHeight="1">
      <c r="A11" s="379">
        <v>62</v>
      </c>
      <c r="B11" s="131">
        <v>12.1</v>
      </c>
      <c r="C11" s="131">
        <v>13</v>
      </c>
      <c r="D11" s="131">
        <v>14.1</v>
      </c>
      <c r="E11" s="131">
        <v>15.3</v>
      </c>
      <c r="F11" s="131">
        <v>16.7</v>
      </c>
      <c r="G11" s="131">
        <v>18.3</v>
      </c>
      <c r="H11" s="131">
        <v>20.399999999999999</v>
      </c>
      <c r="I11" s="131">
        <v>11.8</v>
      </c>
      <c r="J11" s="131">
        <v>12.7</v>
      </c>
      <c r="K11" s="131">
        <v>13.9</v>
      </c>
      <c r="L11" s="131">
        <v>15.2</v>
      </c>
      <c r="M11" s="131">
        <v>16.899999999999999</v>
      </c>
      <c r="N11" s="131">
        <v>18.899999999999999</v>
      </c>
      <c r="O11" s="131">
        <v>21.4</v>
      </c>
    </row>
    <row r="12" spans="1:15" ht="12.75" customHeight="1">
      <c r="A12" s="379">
        <v>63</v>
      </c>
      <c r="B12" s="131">
        <v>12.1</v>
      </c>
      <c r="C12" s="131">
        <v>13</v>
      </c>
      <c r="D12" s="131">
        <v>14.1</v>
      </c>
      <c r="E12" s="131">
        <v>15.3</v>
      </c>
      <c r="F12" s="131">
        <v>16.7</v>
      </c>
      <c r="G12" s="131">
        <v>18.3</v>
      </c>
      <c r="H12" s="131">
        <v>20.399999999999999</v>
      </c>
      <c r="I12" s="131">
        <v>11.8</v>
      </c>
      <c r="J12" s="131">
        <v>12.7</v>
      </c>
      <c r="K12" s="131">
        <v>13.9</v>
      </c>
      <c r="L12" s="131">
        <v>15.2</v>
      </c>
      <c r="M12" s="131">
        <v>16.899999999999999</v>
      </c>
      <c r="N12" s="131">
        <v>18.899999999999999</v>
      </c>
      <c r="O12" s="131">
        <v>21.5</v>
      </c>
    </row>
    <row r="13" spans="1:15" ht="12.4" customHeight="1">
      <c r="A13" s="379">
        <v>64</v>
      </c>
      <c r="B13" s="131">
        <v>12.1</v>
      </c>
      <c r="C13" s="131">
        <v>13</v>
      </c>
      <c r="D13" s="131">
        <v>14.1</v>
      </c>
      <c r="E13" s="131">
        <v>15.3</v>
      </c>
      <c r="F13" s="131">
        <v>16.7</v>
      </c>
      <c r="G13" s="131">
        <v>18.3</v>
      </c>
      <c r="H13" s="131">
        <v>20.399999999999999</v>
      </c>
      <c r="I13" s="131">
        <v>11.8</v>
      </c>
      <c r="J13" s="131">
        <v>12.7</v>
      </c>
      <c r="K13" s="131">
        <v>13.9</v>
      </c>
      <c r="L13" s="131">
        <v>15.2</v>
      </c>
      <c r="M13" s="131">
        <v>16.899999999999999</v>
      </c>
      <c r="N13" s="131">
        <v>18.899999999999999</v>
      </c>
      <c r="O13" s="131">
        <v>21.5</v>
      </c>
    </row>
    <row r="14" spans="1:15" ht="13.15" customHeight="1">
      <c r="A14" s="379">
        <v>65</v>
      </c>
      <c r="B14" s="131">
        <v>12.1</v>
      </c>
      <c r="C14" s="131">
        <v>13</v>
      </c>
      <c r="D14" s="131">
        <v>14.1</v>
      </c>
      <c r="E14" s="131">
        <v>15.3</v>
      </c>
      <c r="F14" s="131">
        <v>16.7</v>
      </c>
      <c r="G14" s="131">
        <v>18.3</v>
      </c>
      <c r="H14" s="131">
        <v>20.399999999999999</v>
      </c>
      <c r="I14" s="131">
        <v>11.8</v>
      </c>
      <c r="J14" s="131">
        <v>12.7</v>
      </c>
      <c r="K14" s="131">
        <v>13.9</v>
      </c>
      <c r="L14" s="131">
        <v>15.2</v>
      </c>
      <c r="M14" s="131">
        <v>16.899999999999999</v>
      </c>
      <c r="N14" s="131">
        <v>19</v>
      </c>
      <c r="O14" s="131">
        <v>21.6</v>
      </c>
    </row>
    <row r="15" spans="1:15" ht="12.75" customHeight="1">
      <c r="A15" s="379">
        <v>66</v>
      </c>
      <c r="B15" s="380">
        <v>12.1</v>
      </c>
      <c r="C15" s="380">
        <v>13</v>
      </c>
      <c r="D15" s="380">
        <v>14.1</v>
      </c>
      <c r="E15" s="380">
        <v>15.3</v>
      </c>
      <c r="F15" s="380">
        <v>16.7</v>
      </c>
      <c r="G15" s="380">
        <v>18.399999999999999</v>
      </c>
      <c r="H15" s="381">
        <v>20.399999999999999</v>
      </c>
      <c r="I15" s="380">
        <v>11.7</v>
      </c>
      <c r="J15" s="380">
        <v>12.7</v>
      </c>
      <c r="K15" s="380">
        <v>13.9</v>
      </c>
      <c r="L15" s="380">
        <v>15.2</v>
      </c>
      <c r="M15" s="380">
        <v>16.899999999999999</v>
      </c>
      <c r="N15" s="380">
        <v>19</v>
      </c>
      <c r="O15" s="381">
        <v>21.7</v>
      </c>
    </row>
    <row r="16" spans="1:15" ht="12.4" customHeight="1">
      <c r="A16" s="379">
        <v>67</v>
      </c>
      <c r="B16" s="380">
        <v>12.1</v>
      </c>
      <c r="C16" s="380">
        <v>13</v>
      </c>
      <c r="D16" s="380">
        <v>14.1</v>
      </c>
      <c r="E16" s="380">
        <v>15.3</v>
      </c>
      <c r="F16" s="380">
        <v>16.7</v>
      </c>
      <c r="G16" s="380">
        <v>18.399999999999999</v>
      </c>
      <c r="H16" s="381">
        <v>20.399999999999999</v>
      </c>
      <c r="I16" s="380">
        <v>11.7</v>
      </c>
      <c r="J16" s="380">
        <v>12.7</v>
      </c>
      <c r="K16" s="380">
        <v>13.9</v>
      </c>
      <c r="L16" s="380">
        <v>15.2</v>
      </c>
      <c r="M16" s="380">
        <v>16.899999999999999</v>
      </c>
      <c r="N16" s="380">
        <v>19</v>
      </c>
      <c r="O16" s="381">
        <v>21.7</v>
      </c>
    </row>
    <row r="17" spans="1:15" ht="12.4" customHeight="1">
      <c r="A17" s="379">
        <v>68</v>
      </c>
      <c r="B17" s="380">
        <v>12.1</v>
      </c>
      <c r="C17" s="380">
        <v>13</v>
      </c>
      <c r="D17" s="380">
        <v>14.1</v>
      </c>
      <c r="E17" s="380">
        <v>15.3</v>
      </c>
      <c r="F17" s="380">
        <v>16.7</v>
      </c>
      <c r="G17" s="380">
        <v>18.399999999999999</v>
      </c>
      <c r="H17" s="381">
        <v>20.5</v>
      </c>
      <c r="I17" s="380">
        <v>11.7</v>
      </c>
      <c r="J17" s="380">
        <v>12.7</v>
      </c>
      <c r="K17" s="380">
        <v>13.9</v>
      </c>
      <c r="L17" s="380">
        <v>15.3</v>
      </c>
      <c r="M17" s="380">
        <v>17</v>
      </c>
      <c r="N17" s="380">
        <v>19.100000000000001</v>
      </c>
      <c r="O17" s="381">
        <v>21.8</v>
      </c>
    </row>
    <row r="18" spans="1:15" ht="12.75" customHeight="1">
      <c r="A18" s="379">
        <v>69</v>
      </c>
      <c r="B18" s="380">
        <v>12.1</v>
      </c>
      <c r="C18" s="380">
        <v>13</v>
      </c>
      <c r="D18" s="380">
        <v>14.1</v>
      </c>
      <c r="E18" s="380">
        <v>15.3</v>
      </c>
      <c r="F18" s="380">
        <v>16.7</v>
      </c>
      <c r="G18" s="380">
        <v>18.399999999999999</v>
      </c>
      <c r="H18" s="381">
        <v>20.5</v>
      </c>
      <c r="I18" s="380">
        <v>11.7</v>
      </c>
      <c r="J18" s="380">
        <v>12.7</v>
      </c>
      <c r="K18" s="380">
        <v>13.9</v>
      </c>
      <c r="L18" s="380">
        <v>15.3</v>
      </c>
      <c r="M18" s="380">
        <v>17</v>
      </c>
      <c r="N18" s="380">
        <v>19.100000000000001</v>
      </c>
      <c r="O18" s="381">
        <v>21.9</v>
      </c>
    </row>
    <row r="19" spans="1:15" ht="12.4" customHeight="1">
      <c r="A19" s="379">
        <v>70</v>
      </c>
      <c r="B19" s="380">
        <v>12.1</v>
      </c>
      <c r="C19" s="380">
        <v>13</v>
      </c>
      <c r="D19" s="380">
        <v>14.1</v>
      </c>
      <c r="E19" s="380">
        <v>15.3</v>
      </c>
      <c r="F19" s="380">
        <v>16.7</v>
      </c>
      <c r="G19" s="380">
        <v>18.5</v>
      </c>
      <c r="H19" s="381">
        <v>20.6</v>
      </c>
      <c r="I19" s="380">
        <v>11.7</v>
      </c>
      <c r="J19" s="380">
        <v>12.7</v>
      </c>
      <c r="K19" s="380">
        <v>13.9</v>
      </c>
      <c r="L19" s="380">
        <v>15.3</v>
      </c>
      <c r="M19" s="380">
        <v>17</v>
      </c>
      <c r="N19" s="380">
        <v>19.100000000000001</v>
      </c>
      <c r="O19" s="381">
        <v>22</v>
      </c>
    </row>
    <row r="20" spans="1:15" ht="13.15" customHeight="1">
      <c r="A20" s="379">
        <v>71</v>
      </c>
      <c r="B20" s="380">
        <v>12.1</v>
      </c>
      <c r="C20" s="380">
        <v>13</v>
      </c>
      <c r="D20" s="380">
        <v>14.1</v>
      </c>
      <c r="E20" s="380">
        <v>15.3</v>
      </c>
      <c r="F20" s="380">
        <v>16.7</v>
      </c>
      <c r="G20" s="380">
        <v>18.5</v>
      </c>
      <c r="H20" s="381">
        <v>20.6</v>
      </c>
      <c r="I20" s="380">
        <v>11.7</v>
      </c>
      <c r="J20" s="380">
        <v>12.7</v>
      </c>
      <c r="K20" s="380">
        <v>13.9</v>
      </c>
      <c r="L20" s="380">
        <v>15.3</v>
      </c>
      <c r="M20" s="380">
        <v>17</v>
      </c>
      <c r="N20" s="380">
        <v>19.2</v>
      </c>
      <c r="O20" s="381">
        <v>22.1</v>
      </c>
    </row>
    <row r="21" spans="1:15" ht="12.6" customHeight="1">
      <c r="A21" s="379">
        <v>72</v>
      </c>
      <c r="B21" s="380">
        <v>12.1</v>
      </c>
      <c r="C21" s="380">
        <v>13</v>
      </c>
      <c r="D21" s="380">
        <v>14.1</v>
      </c>
      <c r="E21" s="380">
        <v>15.3</v>
      </c>
      <c r="F21" s="380">
        <v>16.8</v>
      </c>
      <c r="G21" s="380">
        <v>18.5</v>
      </c>
      <c r="H21" s="381">
        <v>20.7</v>
      </c>
      <c r="I21" s="380">
        <v>11.7</v>
      </c>
      <c r="J21" s="380">
        <v>12.7</v>
      </c>
      <c r="K21" s="380">
        <v>13.9</v>
      </c>
      <c r="L21" s="380">
        <v>15.3</v>
      </c>
      <c r="M21" s="380">
        <v>17</v>
      </c>
      <c r="N21" s="380">
        <v>19.2</v>
      </c>
      <c r="O21" s="381">
        <v>22.1</v>
      </c>
    </row>
    <row r="22" spans="1:15" ht="12.75" customHeight="1">
      <c r="A22" s="379">
        <v>73</v>
      </c>
      <c r="B22" s="380">
        <v>12.1</v>
      </c>
      <c r="C22" s="380">
        <v>13</v>
      </c>
      <c r="D22" s="380">
        <v>14.1</v>
      </c>
      <c r="E22" s="380">
        <v>15.3</v>
      </c>
      <c r="F22" s="380">
        <v>16.8</v>
      </c>
      <c r="G22" s="380">
        <v>18.600000000000001</v>
      </c>
      <c r="H22" s="381">
        <v>20.8</v>
      </c>
      <c r="I22" s="380">
        <v>11.7</v>
      </c>
      <c r="J22" s="380">
        <v>12.7</v>
      </c>
      <c r="K22" s="380">
        <v>13.9</v>
      </c>
      <c r="L22" s="380">
        <v>15.3</v>
      </c>
      <c r="M22" s="380">
        <v>17</v>
      </c>
      <c r="N22" s="380">
        <v>19.3</v>
      </c>
      <c r="O22" s="381">
        <v>22.2</v>
      </c>
    </row>
    <row r="23" spans="1:15" ht="12.4" customHeight="1">
      <c r="A23" s="379">
        <v>74</v>
      </c>
      <c r="B23" s="380">
        <v>12.2</v>
      </c>
      <c r="C23" s="380">
        <v>13.1</v>
      </c>
      <c r="D23" s="380">
        <v>14.1</v>
      </c>
      <c r="E23" s="380">
        <v>15.3</v>
      </c>
      <c r="F23" s="380">
        <v>16.8</v>
      </c>
      <c r="G23" s="380">
        <v>18.600000000000001</v>
      </c>
      <c r="H23" s="381">
        <v>20.8</v>
      </c>
      <c r="I23" s="380">
        <v>11.7</v>
      </c>
      <c r="J23" s="380">
        <v>12.7</v>
      </c>
      <c r="K23" s="380">
        <v>13.9</v>
      </c>
      <c r="L23" s="380">
        <v>15.3</v>
      </c>
      <c r="M23" s="380">
        <v>17</v>
      </c>
      <c r="N23" s="380">
        <v>19.3</v>
      </c>
      <c r="O23" s="381">
        <v>22.3</v>
      </c>
    </row>
    <row r="24" spans="1:15" ht="13.15" customHeight="1">
      <c r="A24" s="379">
        <v>75</v>
      </c>
      <c r="B24" s="380">
        <v>12.2</v>
      </c>
      <c r="C24" s="380">
        <v>13.1</v>
      </c>
      <c r="D24" s="380">
        <v>14.1</v>
      </c>
      <c r="E24" s="380">
        <v>15.3</v>
      </c>
      <c r="F24" s="380">
        <v>16.8</v>
      </c>
      <c r="G24" s="380">
        <v>18.600000000000001</v>
      </c>
      <c r="H24" s="381">
        <v>20.9</v>
      </c>
      <c r="I24" s="380">
        <v>11.7</v>
      </c>
      <c r="J24" s="380">
        <v>12.7</v>
      </c>
      <c r="K24" s="380">
        <v>13.9</v>
      </c>
      <c r="L24" s="380">
        <v>15.3</v>
      </c>
      <c r="M24" s="380">
        <v>17.100000000000001</v>
      </c>
      <c r="N24" s="380">
        <v>19.3</v>
      </c>
      <c r="O24" s="381">
        <v>22.4</v>
      </c>
    </row>
    <row r="25" spans="1:15" ht="12.4" customHeight="1">
      <c r="A25" s="379">
        <v>76</v>
      </c>
      <c r="B25" s="380">
        <v>12.2</v>
      </c>
      <c r="C25" s="380">
        <v>13.1</v>
      </c>
      <c r="D25" s="380">
        <v>14.1</v>
      </c>
      <c r="E25" s="380">
        <v>15.4</v>
      </c>
      <c r="F25" s="380">
        <v>16.8</v>
      </c>
      <c r="G25" s="380">
        <v>18.7</v>
      </c>
      <c r="H25" s="381">
        <v>21</v>
      </c>
      <c r="I25" s="380">
        <v>11.7</v>
      </c>
      <c r="J25" s="380">
        <v>12.7</v>
      </c>
      <c r="K25" s="380">
        <v>13.9</v>
      </c>
      <c r="L25" s="380">
        <v>15.3</v>
      </c>
      <c r="M25" s="380">
        <v>17.100000000000001</v>
      </c>
      <c r="N25" s="380">
        <v>19.399999999999999</v>
      </c>
      <c r="O25" s="381">
        <v>22.5</v>
      </c>
    </row>
    <row r="26" spans="1:15" ht="13.5" customHeight="1">
      <c r="A26" s="379">
        <v>77</v>
      </c>
      <c r="B26" s="380">
        <v>12.2</v>
      </c>
      <c r="C26" s="380">
        <v>13.1</v>
      </c>
      <c r="D26" s="380">
        <v>14.1</v>
      </c>
      <c r="E26" s="380">
        <v>15.4</v>
      </c>
      <c r="F26" s="380">
        <v>16.899999999999999</v>
      </c>
      <c r="G26" s="380">
        <v>18.7</v>
      </c>
      <c r="H26" s="381">
        <v>21</v>
      </c>
      <c r="I26" s="380">
        <v>11.7</v>
      </c>
      <c r="J26" s="380">
        <v>12.7</v>
      </c>
      <c r="K26" s="380">
        <v>13.9</v>
      </c>
      <c r="L26" s="380">
        <v>15.3</v>
      </c>
      <c r="M26" s="380">
        <v>17.100000000000001</v>
      </c>
      <c r="N26" s="380">
        <v>19.399999999999999</v>
      </c>
      <c r="O26" s="381">
        <v>22.6</v>
      </c>
    </row>
    <row r="27" spans="1:15" ht="12.4" customHeight="1">
      <c r="A27" s="379">
        <v>78</v>
      </c>
      <c r="B27" s="380">
        <v>12.2</v>
      </c>
      <c r="C27" s="380">
        <v>13.1</v>
      </c>
      <c r="D27" s="380">
        <v>14.1</v>
      </c>
      <c r="E27" s="380">
        <v>15.4</v>
      </c>
      <c r="F27" s="380">
        <v>16.899999999999999</v>
      </c>
      <c r="G27" s="380">
        <v>18.7</v>
      </c>
      <c r="H27" s="381">
        <v>21.1</v>
      </c>
      <c r="I27" s="380">
        <v>11.7</v>
      </c>
      <c r="J27" s="380">
        <v>12.7</v>
      </c>
      <c r="K27" s="380">
        <v>13.9</v>
      </c>
      <c r="L27" s="380">
        <v>15.3</v>
      </c>
      <c r="M27" s="380">
        <v>17.100000000000001</v>
      </c>
      <c r="N27" s="380">
        <v>19.5</v>
      </c>
      <c r="O27" s="381">
        <v>22.7</v>
      </c>
    </row>
    <row r="28" spans="1:15" ht="12.4" customHeight="1">
      <c r="A28" s="379">
        <v>79</v>
      </c>
      <c r="B28" s="380">
        <v>12.2</v>
      </c>
      <c r="C28" s="380">
        <v>13.1</v>
      </c>
      <c r="D28" s="380">
        <v>14.1</v>
      </c>
      <c r="E28" s="380">
        <v>15.4</v>
      </c>
      <c r="F28" s="380">
        <v>16.899999999999999</v>
      </c>
      <c r="G28" s="380">
        <v>18.8</v>
      </c>
      <c r="H28" s="381">
        <v>21.2</v>
      </c>
      <c r="I28" s="380">
        <v>11.7</v>
      </c>
      <c r="J28" s="380">
        <v>12.7</v>
      </c>
      <c r="K28" s="380">
        <v>13.9</v>
      </c>
      <c r="L28" s="380">
        <v>15.3</v>
      </c>
      <c r="M28" s="380">
        <v>17.2</v>
      </c>
      <c r="N28" s="380">
        <v>19.5</v>
      </c>
      <c r="O28" s="381">
        <v>22.8</v>
      </c>
    </row>
    <row r="29" spans="1:15" ht="12.4" customHeight="1">
      <c r="A29" s="379">
        <v>80</v>
      </c>
      <c r="B29" s="380">
        <v>12.2</v>
      </c>
      <c r="C29" s="380">
        <v>13.1</v>
      </c>
      <c r="D29" s="380">
        <v>14.2</v>
      </c>
      <c r="E29" s="380">
        <v>15.4</v>
      </c>
      <c r="F29" s="380">
        <v>16.899999999999999</v>
      </c>
      <c r="G29" s="380">
        <v>18.8</v>
      </c>
      <c r="H29" s="381">
        <v>21.3</v>
      </c>
      <c r="I29" s="380">
        <v>11.7</v>
      </c>
      <c r="J29" s="380">
        <v>12.7</v>
      </c>
      <c r="K29" s="380">
        <v>13.9</v>
      </c>
      <c r="L29" s="380">
        <v>15.3</v>
      </c>
      <c r="M29" s="380">
        <v>17.2</v>
      </c>
      <c r="N29" s="380">
        <v>19.600000000000001</v>
      </c>
      <c r="O29" s="381">
        <v>22.9</v>
      </c>
    </row>
    <row r="30" spans="1:15" ht="13.15" customHeight="1">
      <c r="A30" s="379">
        <v>81</v>
      </c>
      <c r="B30" s="380">
        <v>12.2</v>
      </c>
      <c r="C30" s="380">
        <v>13.1</v>
      </c>
      <c r="D30" s="380">
        <v>14.2</v>
      </c>
      <c r="E30" s="380">
        <v>15.4</v>
      </c>
      <c r="F30" s="380">
        <v>17</v>
      </c>
      <c r="G30" s="380">
        <v>18.899999999999999</v>
      </c>
      <c r="H30" s="381">
        <v>21.3</v>
      </c>
      <c r="I30" s="380">
        <v>11.7</v>
      </c>
      <c r="J30" s="380">
        <v>12.7</v>
      </c>
      <c r="K30" s="380">
        <v>13.9</v>
      </c>
      <c r="L30" s="380">
        <v>15.4</v>
      </c>
      <c r="M30" s="380">
        <v>17.2</v>
      </c>
      <c r="N30" s="380">
        <v>19.600000000000001</v>
      </c>
      <c r="O30" s="381">
        <v>23</v>
      </c>
    </row>
    <row r="31" spans="1:15" ht="12.4" customHeight="1">
      <c r="A31" s="379">
        <v>82</v>
      </c>
      <c r="B31" s="380">
        <v>12.2</v>
      </c>
      <c r="C31" s="380">
        <v>13.1</v>
      </c>
      <c r="D31" s="380">
        <v>14.2</v>
      </c>
      <c r="E31" s="380">
        <v>15.4</v>
      </c>
      <c r="F31" s="380">
        <v>17</v>
      </c>
      <c r="G31" s="380">
        <v>18.899999999999999</v>
      </c>
      <c r="H31" s="381">
        <v>21.4</v>
      </c>
      <c r="I31" s="380">
        <v>11.7</v>
      </c>
      <c r="J31" s="380">
        <v>12.7</v>
      </c>
      <c r="K31" s="380">
        <v>13.9</v>
      </c>
      <c r="L31" s="380">
        <v>15.4</v>
      </c>
      <c r="M31" s="380">
        <v>17.2</v>
      </c>
      <c r="N31" s="380">
        <v>19.7</v>
      </c>
      <c r="O31" s="381">
        <v>23.1</v>
      </c>
    </row>
    <row r="32" spans="1:15" ht="12.75" customHeight="1">
      <c r="A32" s="379">
        <v>83</v>
      </c>
      <c r="B32" s="380">
        <v>12.2</v>
      </c>
      <c r="C32" s="380">
        <v>13.1</v>
      </c>
      <c r="D32" s="380">
        <v>14.2</v>
      </c>
      <c r="E32" s="380">
        <v>15.5</v>
      </c>
      <c r="F32" s="380">
        <v>17</v>
      </c>
      <c r="G32" s="380">
        <v>19</v>
      </c>
      <c r="H32" s="381">
        <v>21.5</v>
      </c>
      <c r="I32" s="380">
        <v>11.7</v>
      </c>
      <c r="J32" s="380">
        <v>12.7</v>
      </c>
      <c r="K32" s="380">
        <v>13.9</v>
      </c>
      <c r="L32" s="380">
        <v>15.4</v>
      </c>
      <c r="M32" s="380">
        <v>17.3</v>
      </c>
      <c r="N32" s="380">
        <v>19.7</v>
      </c>
      <c r="O32" s="381">
        <v>23.2</v>
      </c>
    </row>
    <row r="33" spans="1:15" ht="12.4" customHeight="1">
      <c r="A33" s="379">
        <v>84</v>
      </c>
      <c r="B33" s="380">
        <v>12.3</v>
      </c>
      <c r="C33" s="380">
        <v>13.1</v>
      </c>
      <c r="D33" s="380">
        <v>14.2</v>
      </c>
      <c r="E33" s="380">
        <v>15.5</v>
      </c>
      <c r="F33" s="380">
        <v>17</v>
      </c>
      <c r="G33" s="380">
        <v>19</v>
      </c>
      <c r="H33" s="381">
        <v>21.6</v>
      </c>
      <c r="I33" s="380">
        <v>11.8</v>
      </c>
      <c r="J33" s="380">
        <v>12.7</v>
      </c>
      <c r="K33" s="380">
        <v>13.9</v>
      </c>
      <c r="L33" s="380">
        <v>15.4</v>
      </c>
      <c r="M33" s="380">
        <v>17.3</v>
      </c>
      <c r="N33" s="380">
        <v>19.8</v>
      </c>
      <c r="O33" s="381">
        <v>23.3</v>
      </c>
    </row>
    <row r="34" spans="1:15" ht="14.65" customHeight="1">
      <c r="A34" s="379">
        <v>85</v>
      </c>
      <c r="B34" s="380">
        <v>12.3</v>
      </c>
      <c r="C34" s="380">
        <v>13.2</v>
      </c>
      <c r="D34" s="380">
        <v>14.2</v>
      </c>
      <c r="E34" s="380">
        <v>15.5</v>
      </c>
      <c r="F34" s="380">
        <v>17.100000000000001</v>
      </c>
      <c r="G34" s="380">
        <v>19.100000000000001</v>
      </c>
      <c r="H34" s="381">
        <v>21.7</v>
      </c>
      <c r="I34" s="380">
        <v>11.8</v>
      </c>
      <c r="J34" s="380">
        <v>12.7</v>
      </c>
      <c r="K34" s="380">
        <v>13.9</v>
      </c>
      <c r="L34" s="380">
        <v>15.4</v>
      </c>
      <c r="M34" s="380">
        <v>17.3</v>
      </c>
      <c r="N34" s="380">
        <v>19.8</v>
      </c>
      <c r="O34" s="381">
        <v>23.4</v>
      </c>
    </row>
    <row r="35" spans="1:15" ht="12.4" customHeight="1">
      <c r="A35" s="379">
        <v>86</v>
      </c>
      <c r="B35" s="380">
        <v>12.3</v>
      </c>
      <c r="C35" s="380">
        <v>13.2</v>
      </c>
      <c r="D35" s="380">
        <v>14.2</v>
      </c>
      <c r="E35" s="380">
        <v>15.5</v>
      </c>
      <c r="F35" s="380">
        <v>17.100000000000001</v>
      </c>
      <c r="G35" s="380">
        <v>19.100000000000001</v>
      </c>
      <c r="H35" s="382">
        <v>21.8</v>
      </c>
      <c r="I35" s="380">
        <v>11.8</v>
      </c>
      <c r="J35" s="380">
        <v>12.8</v>
      </c>
      <c r="K35" s="380">
        <v>14</v>
      </c>
      <c r="L35" s="380">
        <v>15.4</v>
      </c>
      <c r="M35" s="380">
        <v>17.399999999999999</v>
      </c>
      <c r="N35" s="380">
        <v>19.899999999999999</v>
      </c>
      <c r="O35" s="382">
        <v>23.5</v>
      </c>
    </row>
    <row r="36" spans="1:15" ht="12.75" customHeight="1">
      <c r="A36" s="379">
        <v>87</v>
      </c>
      <c r="B36" s="383">
        <v>12.3</v>
      </c>
      <c r="C36" s="383">
        <v>13.2</v>
      </c>
      <c r="D36" s="383">
        <v>14.3</v>
      </c>
      <c r="E36" s="383">
        <v>15.5</v>
      </c>
      <c r="F36" s="383">
        <v>17.100000000000001</v>
      </c>
      <c r="G36" s="383">
        <v>19.2</v>
      </c>
      <c r="H36" s="384">
        <v>21.9</v>
      </c>
      <c r="I36" s="131">
        <v>11.8</v>
      </c>
      <c r="J36" s="131">
        <v>12.8</v>
      </c>
      <c r="K36" s="131">
        <v>14</v>
      </c>
      <c r="L36" s="131">
        <v>15.5</v>
      </c>
      <c r="M36" s="131">
        <v>17.399999999999999</v>
      </c>
      <c r="N36" s="131">
        <v>20</v>
      </c>
      <c r="O36" s="131">
        <v>23.6</v>
      </c>
    </row>
    <row r="37" spans="1:15" ht="12.95" customHeight="1">
      <c r="A37" s="379">
        <v>88</v>
      </c>
      <c r="B37" s="383">
        <v>12.3</v>
      </c>
      <c r="C37" s="383">
        <v>13.2</v>
      </c>
      <c r="D37" s="383">
        <v>14.3</v>
      </c>
      <c r="E37" s="383">
        <v>15.6</v>
      </c>
      <c r="F37" s="383">
        <v>17.2</v>
      </c>
      <c r="G37" s="383">
        <v>19.2</v>
      </c>
      <c r="H37" s="384">
        <v>22</v>
      </c>
      <c r="I37" s="131">
        <v>11.8</v>
      </c>
      <c r="J37" s="131">
        <v>12.8</v>
      </c>
      <c r="K37" s="131">
        <v>14</v>
      </c>
      <c r="L37" s="131">
        <v>15.5</v>
      </c>
      <c r="M37" s="131">
        <v>17.399999999999999</v>
      </c>
      <c r="N37" s="131">
        <v>20</v>
      </c>
      <c r="O37" s="131">
        <v>23.7</v>
      </c>
    </row>
    <row r="38" spans="1:15" ht="12.4" customHeight="1">
      <c r="A38" s="379">
        <v>89</v>
      </c>
      <c r="B38" s="383">
        <v>12.3</v>
      </c>
      <c r="C38" s="383">
        <v>13.2</v>
      </c>
      <c r="D38" s="383">
        <v>14.3</v>
      </c>
      <c r="E38" s="383">
        <v>15.6</v>
      </c>
      <c r="F38" s="383">
        <v>17.2</v>
      </c>
      <c r="G38" s="383">
        <v>19.3</v>
      </c>
      <c r="H38" s="384">
        <v>22</v>
      </c>
      <c r="I38" s="131">
        <v>11.8</v>
      </c>
      <c r="J38" s="131">
        <v>12.8</v>
      </c>
      <c r="K38" s="131">
        <v>14</v>
      </c>
      <c r="L38" s="131">
        <v>15.5</v>
      </c>
      <c r="M38" s="131">
        <v>17.5</v>
      </c>
      <c r="N38" s="131">
        <v>20.100000000000001</v>
      </c>
      <c r="O38" s="131">
        <v>23.9</v>
      </c>
    </row>
    <row r="39" spans="1:15" ht="12.4" customHeight="1">
      <c r="A39" s="379">
        <v>90</v>
      </c>
      <c r="B39" s="383">
        <v>12.3</v>
      </c>
      <c r="C39" s="383">
        <v>13.2</v>
      </c>
      <c r="D39" s="383">
        <v>14.3</v>
      </c>
      <c r="E39" s="383">
        <v>15.6</v>
      </c>
      <c r="F39" s="383">
        <v>17.2</v>
      </c>
      <c r="G39" s="383">
        <v>19.3</v>
      </c>
      <c r="H39" s="384">
        <v>22.1</v>
      </c>
      <c r="I39" s="131">
        <v>11.8</v>
      </c>
      <c r="J39" s="131">
        <v>12.8</v>
      </c>
      <c r="K39" s="131">
        <v>14</v>
      </c>
      <c r="L39" s="131">
        <v>15.5</v>
      </c>
      <c r="M39" s="131">
        <v>17.5</v>
      </c>
      <c r="N39" s="131">
        <v>20.100000000000001</v>
      </c>
      <c r="O39" s="131">
        <v>24</v>
      </c>
    </row>
    <row r="40" spans="1:15" ht="13.15" customHeight="1">
      <c r="A40" s="379">
        <v>91</v>
      </c>
      <c r="B40" s="380">
        <v>12.3</v>
      </c>
      <c r="C40" s="380">
        <v>13.2</v>
      </c>
      <c r="D40" s="380">
        <v>14.3</v>
      </c>
      <c r="E40" s="380">
        <v>15.6</v>
      </c>
      <c r="F40" s="380">
        <v>17.3</v>
      </c>
      <c r="G40" s="380">
        <v>19.399999999999999</v>
      </c>
      <c r="H40" s="381">
        <v>22.4</v>
      </c>
      <c r="I40" s="131">
        <v>11.8</v>
      </c>
      <c r="J40" s="131">
        <v>12.8</v>
      </c>
      <c r="K40" s="131">
        <v>14</v>
      </c>
      <c r="L40" s="131">
        <v>15.6</v>
      </c>
      <c r="M40" s="131">
        <v>17.5</v>
      </c>
      <c r="N40" s="131">
        <v>20.2</v>
      </c>
      <c r="O40" s="131">
        <v>24.1</v>
      </c>
    </row>
    <row r="41" spans="1:15" ht="12.4" customHeight="1">
      <c r="A41" s="379">
        <v>92</v>
      </c>
      <c r="B41" s="380">
        <v>12.3</v>
      </c>
      <c r="C41" s="380">
        <v>13.2</v>
      </c>
      <c r="D41" s="380">
        <v>14.3</v>
      </c>
      <c r="E41" s="380">
        <v>15.6</v>
      </c>
      <c r="F41" s="380">
        <v>17.3</v>
      </c>
      <c r="G41" s="380">
        <v>19.399999999999999</v>
      </c>
      <c r="H41" s="381">
        <v>22.4</v>
      </c>
      <c r="I41" s="380">
        <v>11.8</v>
      </c>
      <c r="J41" s="380">
        <v>12.8</v>
      </c>
      <c r="K41" s="380">
        <v>14</v>
      </c>
      <c r="L41" s="380">
        <v>15.6</v>
      </c>
      <c r="M41" s="380">
        <v>17.600000000000001</v>
      </c>
      <c r="N41" s="380">
        <v>20.3</v>
      </c>
      <c r="O41" s="381">
        <v>24.2</v>
      </c>
    </row>
    <row r="42" spans="1:15" ht="12.4" customHeight="1">
      <c r="A42" s="379">
        <v>93</v>
      </c>
      <c r="B42" s="380">
        <v>12.4</v>
      </c>
      <c r="C42" s="380">
        <v>13.3</v>
      </c>
      <c r="D42" s="380">
        <v>14.3</v>
      </c>
      <c r="E42" s="380">
        <v>15.7</v>
      </c>
      <c r="F42" s="380">
        <v>17.3</v>
      </c>
      <c r="G42" s="380">
        <v>19.5</v>
      </c>
      <c r="H42" s="381">
        <v>22.5</v>
      </c>
      <c r="I42" s="380">
        <v>11.8</v>
      </c>
      <c r="J42" s="380">
        <v>12.8</v>
      </c>
      <c r="K42" s="380">
        <v>14.1</v>
      </c>
      <c r="L42" s="380">
        <v>15.6</v>
      </c>
      <c r="M42" s="380">
        <v>17.600000000000001</v>
      </c>
      <c r="N42" s="380">
        <v>20.3</v>
      </c>
      <c r="O42" s="381">
        <v>24.4</v>
      </c>
    </row>
    <row r="43" spans="1:15" ht="12.4" customHeight="1">
      <c r="A43" s="379">
        <v>94</v>
      </c>
      <c r="B43" s="380">
        <v>12.4</v>
      </c>
      <c r="C43" s="380">
        <v>13.3</v>
      </c>
      <c r="D43" s="380">
        <v>14.4</v>
      </c>
      <c r="E43" s="380">
        <v>15.7</v>
      </c>
      <c r="F43" s="380">
        <v>17.399999999999999</v>
      </c>
      <c r="G43" s="380">
        <v>19.600000000000001</v>
      </c>
      <c r="H43" s="381">
        <v>22.6</v>
      </c>
      <c r="I43" s="380">
        <v>11.9</v>
      </c>
      <c r="J43" s="380">
        <v>12.9</v>
      </c>
      <c r="K43" s="380">
        <v>14.1</v>
      </c>
      <c r="L43" s="380">
        <v>15.6</v>
      </c>
      <c r="M43" s="380">
        <v>17.600000000000001</v>
      </c>
      <c r="N43" s="380">
        <v>20.399999999999999</v>
      </c>
      <c r="O43" s="381">
        <v>24.5</v>
      </c>
    </row>
    <row r="44" spans="1:15" ht="12.4" customHeight="1">
      <c r="A44" s="379">
        <v>95</v>
      </c>
      <c r="B44" s="380">
        <v>12.4</v>
      </c>
      <c r="C44" s="380">
        <v>13.3</v>
      </c>
      <c r="D44" s="380">
        <v>14.4</v>
      </c>
      <c r="E44" s="380">
        <v>15.7</v>
      </c>
      <c r="F44" s="380">
        <v>17.399999999999999</v>
      </c>
      <c r="G44" s="380">
        <v>19.600000000000001</v>
      </c>
      <c r="H44" s="381">
        <v>22.7</v>
      </c>
      <c r="I44" s="380">
        <v>11.9</v>
      </c>
      <c r="J44" s="380">
        <v>12.9</v>
      </c>
      <c r="K44" s="380">
        <v>14.1</v>
      </c>
      <c r="L44" s="380">
        <v>15.7</v>
      </c>
      <c r="M44" s="380">
        <v>17.7</v>
      </c>
      <c r="N44" s="380">
        <v>20.5</v>
      </c>
      <c r="O44" s="381">
        <v>24.6</v>
      </c>
    </row>
    <row r="45" spans="1:15" ht="12.4" customHeight="1">
      <c r="A45" s="379">
        <v>96</v>
      </c>
      <c r="B45" s="380">
        <v>12.4</v>
      </c>
      <c r="C45" s="380">
        <v>13.3</v>
      </c>
      <c r="D45" s="380">
        <v>14.4</v>
      </c>
      <c r="E45" s="380">
        <v>15.7</v>
      </c>
      <c r="F45" s="380">
        <v>17.399999999999999</v>
      </c>
      <c r="G45" s="380">
        <v>19.7</v>
      </c>
      <c r="H45" s="381">
        <v>22.8</v>
      </c>
      <c r="I45" s="380">
        <v>11.9</v>
      </c>
      <c r="J45" s="380">
        <v>12.9</v>
      </c>
      <c r="K45" s="380">
        <v>14.1</v>
      </c>
      <c r="L45" s="380">
        <v>15.7</v>
      </c>
      <c r="M45" s="380">
        <v>17.7</v>
      </c>
      <c r="N45" s="380">
        <v>20.6</v>
      </c>
      <c r="O45" s="381">
        <v>24.8</v>
      </c>
    </row>
    <row r="46" spans="1:15" ht="12.4" customHeight="1">
      <c r="A46" s="379">
        <v>97</v>
      </c>
      <c r="B46" s="380">
        <v>12.4</v>
      </c>
      <c r="C46" s="380">
        <v>13.3</v>
      </c>
      <c r="D46" s="380">
        <v>14.4</v>
      </c>
      <c r="E46" s="380">
        <v>15.8</v>
      </c>
      <c r="F46" s="380">
        <v>17.5</v>
      </c>
      <c r="G46" s="380">
        <v>19.7</v>
      </c>
      <c r="H46" s="381">
        <v>22.9</v>
      </c>
      <c r="I46" s="380">
        <v>11.9</v>
      </c>
      <c r="J46" s="380">
        <v>12.9</v>
      </c>
      <c r="K46" s="380">
        <v>14.1</v>
      </c>
      <c r="L46" s="380">
        <v>15.7</v>
      </c>
      <c r="M46" s="380">
        <v>17.8</v>
      </c>
      <c r="N46" s="380">
        <v>20.6</v>
      </c>
      <c r="O46" s="381">
        <v>24.9</v>
      </c>
    </row>
    <row r="47" spans="1:15" ht="12.4" customHeight="1">
      <c r="A47" s="379">
        <v>98</v>
      </c>
      <c r="B47" s="380">
        <v>12.4</v>
      </c>
      <c r="C47" s="380">
        <v>13.3</v>
      </c>
      <c r="D47" s="380">
        <v>14.4</v>
      </c>
      <c r="E47" s="380">
        <v>15.8</v>
      </c>
      <c r="F47" s="380">
        <v>17.5</v>
      </c>
      <c r="G47" s="380">
        <v>19.8</v>
      </c>
      <c r="H47" s="381">
        <v>23</v>
      </c>
      <c r="I47" s="380">
        <v>11.9</v>
      </c>
      <c r="J47" s="380">
        <v>12.9</v>
      </c>
      <c r="K47" s="380">
        <v>14.2</v>
      </c>
      <c r="L47" s="380">
        <v>15.7</v>
      </c>
      <c r="M47" s="380">
        <v>17.8</v>
      </c>
      <c r="N47" s="380">
        <v>20.7</v>
      </c>
      <c r="O47" s="381">
        <v>25.1</v>
      </c>
    </row>
    <row r="48" spans="1:15" ht="12.4" customHeight="1">
      <c r="A48" s="379">
        <v>99</v>
      </c>
      <c r="B48" s="380">
        <v>12.4</v>
      </c>
      <c r="C48" s="380">
        <v>13.3</v>
      </c>
      <c r="D48" s="380">
        <v>14.4</v>
      </c>
      <c r="E48" s="380">
        <v>15.8</v>
      </c>
      <c r="F48" s="380">
        <v>17.5</v>
      </c>
      <c r="G48" s="380">
        <v>19.899999999999999</v>
      </c>
      <c r="H48" s="381">
        <v>23.1</v>
      </c>
      <c r="I48" s="380">
        <v>11.9</v>
      </c>
      <c r="J48" s="380">
        <v>12.9</v>
      </c>
      <c r="K48" s="380">
        <v>14.2</v>
      </c>
      <c r="L48" s="380">
        <v>15.8</v>
      </c>
      <c r="M48" s="380">
        <v>17.899999999999999</v>
      </c>
      <c r="N48" s="380">
        <v>20.8</v>
      </c>
      <c r="O48" s="381">
        <v>25.2</v>
      </c>
    </row>
    <row r="49" spans="1:15" ht="12.4" customHeight="1">
      <c r="A49" s="379">
        <v>100</v>
      </c>
      <c r="B49" s="380">
        <v>12.4</v>
      </c>
      <c r="C49" s="380">
        <v>13.4</v>
      </c>
      <c r="D49" s="380">
        <v>14.5</v>
      </c>
      <c r="E49" s="380">
        <v>15.8</v>
      </c>
      <c r="F49" s="380">
        <v>17.600000000000001</v>
      </c>
      <c r="G49" s="380">
        <v>19.899999999999999</v>
      </c>
      <c r="H49" s="381">
        <v>23.3</v>
      </c>
      <c r="I49" s="380">
        <v>11.9</v>
      </c>
      <c r="J49" s="380">
        <v>13</v>
      </c>
      <c r="K49" s="380">
        <v>14.2</v>
      </c>
      <c r="L49" s="380">
        <v>15.8</v>
      </c>
      <c r="M49" s="380">
        <v>17.899999999999999</v>
      </c>
      <c r="N49" s="380">
        <v>20.9</v>
      </c>
      <c r="O49" s="381">
        <v>25.3</v>
      </c>
    </row>
    <row r="50" spans="1:15" ht="12.4" customHeight="1">
      <c r="A50" s="379">
        <v>101</v>
      </c>
      <c r="B50" s="380">
        <v>12.5</v>
      </c>
      <c r="C50" s="380">
        <v>13.4</v>
      </c>
      <c r="D50" s="380">
        <v>14.5</v>
      </c>
      <c r="E50" s="380">
        <v>15.9</v>
      </c>
      <c r="F50" s="380">
        <v>17.600000000000001</v>
      </c>
      <c r="G50" s="380">
        <v>20</v>
      </c>
      <c r="H50" s="381">
        <v>23.4</v>
      </c>
      <c r="I50" s="380">
        <v>12</v>
      </c>
      <c r="J50" s="380">
        <v>13</v>
      </c>
      <c r="K50" s="380">
        <v>14.2</v>
      </c>
      <c r="L50" s="380">
        <v>15.8</v>
      </c>
      <c r="M50" s="380">
        <v>18</v>
      </c>
      <c r="N50" s="380">
        <v>20.9</v>
      </c>
      <c r="O50" s="381">
        <v>25.5</v>
      </c>
    </row>
    <row r="51" spans="1:15" ht="12.4" customHeight="1">
      <c r="A51" s="379">
        <v>102</v>
      </c>
      <c r="B51" s="380">
        <v>12.5</v>
      </c>
      <c r="C51" s="380">
        <v>13.4</v>
      </c>
      <c r="D51" s="380">
        <v>14.5</v>
      </c>
      <c r="E51" s="380">
        <v>15.9</v>
      </c>
      <c r="F51" s="380">
        <v>17.7</v>
      </c>
      <c r="G51" s="380">
        <v>20.100000000000001</v>
      </c>
      <c r="H51" s="381">
        <v>23.5</v>
      </c>
      <c r="I51" s="380">
        <v>12</v>
      </c>
      <c r="J51" s="380">
        <v>13</v>
      </c>
      <c r="K51" s="380">
        <v>14.3</v>
      </c>
      <c r="L51" s="380">
        <v>15.9</v>
      </c>
      <c r="M51" s="380">
        <v>18</v>
      </c>
      <c r="N51" s="380">
        <v>21</v>
      </c>
      <c r="O51" s="381">
        <v>25.6</v>
      </c>
    </row>
    <row r="52" spans="1:15" ht="12.4" customHeight="1">
      <c r="A52" s="379">
        <v>103</v>
      </c>
      <c r="B52" s="380">
        <v>12.5</v>
      </c>
      <c r="C52" s="380">
        <v>13.4</v>
      </c>
      <c r="D52" s="380">
        <v>14.5</v>
      </c>
      <c r="E52" s="380">
        <v>15.9</v>
      </c>
      <c r="F52" s="380">
        <v>17.7</v>
      </c>
      <c r="G52" s="380">
        <v>20.100000000000001</v>
      </c>
      <c r="H52" s="381">
        <v>23.6</v>
      </c>
      <c r="I52" s="380">
        <v>12</v>
      </c>
      <c r="J52" s="380">
        <v>13</v>
      </c>
      <c r="K52" s="380">
        <v>14.3</v>
      </c>
      <c r="L52" s="380">
        <v>15.9</v>
      </c>
      <c r="M52" s="380">
        <v>18.100000000000001</v>
      </c>
      <c r="N52" s="380">
        <v>21.1</v>
      </c>
      <c r="O52" s="381">
        <v>25.8</v>
      </c>
    </row>
    <row r="53" spans="1:15" ht="12.4" customHeight="1">
      <c r="A53" s="379">
        <v>104</v>
      </c>
      <c r="B53" s="380">
        <v>12.5</v>
      </c>
      <c r="C53" s="380">
        <v>13.4</v>
      </c>
      <c r="D53" s="380">
        <v>14.5</v>
      </c>
      <c r="E53" s="380">
        <v>15.9</v>
      </c>
      <c r="F53" s="380">
        <v>17.7</v>
      </c>
      <c r="G53" s="380">
        <v>20.2</v>
      </c>
      <c r="H53" s="381">
        <v>23.8</v>
      </c>
      <c r="I53" s="380">
        <v>12</v>
      </c>
      <c r="J53" s="380">
        <v>13</v>
      </c>
      <c r="K53" s="380">
        <v>14.3</v>
      </c>
      <c r="L53" s="380">
        <v>15.9</v>
      </c>
      <c r="M53" s="380">
        <v>18.100000000000001</v>
      </c>
      <c r="N53" s="380">
        <v>21.2</v>
      </c>
      <c r="O53" s="381">
        <v>25.9</v>
      </c>
    </row>
    <row r="54" spans="1:15" ht="12.4" customHeight="1">
      <c r="A54" s="379">
        <v>105</v>
      </c>
      <c r="B54" s="380">
        <v>12.5</v>
      </c>
      <c r="C54" s="380">
        <v>13.4</v>
      </c>
      <c r="D54" s="380">
        <v>14.6</v>
      </c>
      <c r="E54" s="380">
        <v>16</v>
      </c>
      <c r="F54" s="380">
        <v>17.8</v>
      </c>
      <c r="G54" s="380">
        <v>20.3</v>
      </c>
      <c r="H54" s="381">
        <v>23.9</v>
      </c>
      <c r="I54" s="380">
        <v>12</v>
      </c>
      <c r="J54" s="380">
        <v>13.1</v>
      </c>
      <c r="K54" s="380">
        <v>14.3</v>
      </c>
      <c r="L54" s="380">
        <v>16</v>
      </c>
      <c r="M54" s="380">
        <v>18.2</v>
      </c>
      <c r="N54" s="380">
        <v>21.3</v>
      </c>
      <c r="O54" s="381">
        <v>26.1</v>
      </c>
    </row>
    <row r="55" spans="1:15" ht="12.4" customHeight="1">
      <c r="A55" s="379">
        <v>106</v>
      </c>
      <c r="B55" s="380">
        <v>12.5</v>
      </c>
      <c r="C55" s="380">
        <v>13.5</v>
      </c>
      <c r="D55" s="380">
        <v>14.6</v>
      </c>
      <c r="E55" s="380">
        <v>16</v>
      </c>
      <c r="F55" s="380">
        <v>17.8</v>
      </c>
      <c r="G55" s="380">
        <v>20.3</v>
      </c>
      <c r="H55" s="381">
        <v>24</v>
      </c>
      <c r="I55" s="380">
        <v>12.1</v>
      </c>
      <c r="J55" s="380">
        <v>13.1</v>
      </c>
      <c r="K55" s="380">
        <v>14.4</v>
      </c>
      <c r="L55" s="380">
        <v>16</v>
      </c>
      <c r="M55" s="380">
        <v>18.2</v>
      </c>
      <c r="N55" s="380">
        <v>21.3</v>
      </c>
      <c r="O55" s="381">
        <v>26.2</v>
      </c>
    </row>
    <row r="56" spans="1:15" ht="12.4" customHeight="1">
      <c r="A56" s="379">
        <v>107</v>
      </c>
      <c r="B56" s="380">
        <v>12.5</v>
      </c>
      <c r="C56" s="380">
        <v>13.5</v>
      </c>
      <c r="D56" s="380">
        <v>14.6</v>
      </c>
      <c r="E56" s="380">
        <v>16</v>
      </c>
      <c r="F56" s="380">
        <v>17.899999999999999</v>
      </c>
      <c r="G56" s="380">
        <v>20.399999999999999</v>
      </c>
      <c r="H56" s="381">
        <v>24.2</v>
      </c>
      <c r="I56" s="380">
        <v>12.1</v>
      </c>
      <c r="J56" s="380">
        <v>13.1</v>
      </c>
      <c r="K56" s="380">
        <v>14.4</v>
      </c>
      <c r="L56" s="380">
        <v>16.100000000000001</v>
      </c>
      <c r="M56" s="380">
        <v>18.3</v>
      </c>
      <c r="N56" s="380">
        <v>21.4</v>
      </c>
      <c r="O56" s="381">
        <v>26.4</v>
      </c>
    </row>
    <row r="57" spans="1:15" ht="12.4" customHeight="1">
      <c r="A57" s="379">
        <v>108</v>
      </c>
      <c r="B57" s="380">
        <v>12.6</v>
      </c>
      <c r="C57" s="380">
        <v>13.5</v>
      </c>
      <c r="D57" s="380">
        <v>14.6</v>
      </c>
      <c r="E57" s="380">
        <v>16</v>
      </c>
      <c r="F57" s="380">
        <v>17.899999999999999</v>
      </c>
      <c r="G57" s="380">
        <v>20.5</v>
      </c>
      <c r="H57" s="381">
        <v>24.3</v>
      </c>
      <c r="I57" s="380">
        <v>12.1</v>
      </c>
      <c r="J57" s="380">
        <v>13.1</v>
      </c>
      <c r="K57" s="380">
        <v>14.4</v>
      </c>
      <c r="L57" s="380">
        <v>16.100000000000001</v>
      </c>
      <c r="M57" s="380">
        <v>18.3</v>
      </c>
      <c r="N57" s="380">
        <v>21.5</v>
      </c>
      <c r="O57" s="381">
        <v>26.5</v>
      </c>
    </row>
    <row r="58" spans="1:15" ht="12.4" customHeight="1">
      <c r="A58" s="379">
        <v>109</v>
      </c>
      <c r="B58" s="380">
        <v>12.6</v>
      </c>
      <c r="C58" s="380">
        <v>13.5</v>
      </c>
      <c r="D58" s="380">
        <v>14.6</v>
      </c>
      <c r="E58" s="380">
        <v>16.100000000000001</v>
      </c>
      <c r="F58" s="380">
        <v>18</v>
      </c>
      <c r="G58" s="380">
        <v>20.5</v>
      </c>
      <c r="H58" s="381">
        <v>24.4</v>
      </c>
      <c r="I58" s="380">
        <v>12.1</v>
      </c>
      <c r="J58" s="380">
        <v>13.2</v>
      </c>
      <c r="K58" s="380">
        <v>14.5</v>
      </c>
      <c r="L58" s="380">
        <v>16.100000000000001</v>
      </c>
      <c r="M58" s="380">
        <v>18.399999999999999</v>
      </c>
      <c r="N58" s="380">
        <v>21.6</v>
      </c>
      <c r="O58" s="381">
        <v>26.7</v>
      </c>
    </row>
    <row r="59" spans="1:15" ht="12.4" customHeight="1">
      <c r="A59" s="379">
        <v>110</v>
      </c>
      <c r="B59" s="380">
        <v>12.6</v>
      </c>
      <c r="C59" s="380">
        <v>13.5</v>
      </c>
      <c r="D59" s="380">
        <v>14.7</v>
      </c>
      <c r="E59" s="380">
        <v>16.100000000000001</v>
      </c>
      <c r="F59" s="380">
        <v>18</v>
      </c>
      <c r="G59" s="380">
        <v>20.6</v>
      </c>
      <c r="H59" s="381">
        <v>24.6</v>
      </c>
      <c r="I59" s="380">
        <v>12.1</v>
      </c>
      <c r="J59" s="380">
        <v>13.2</v>
      </c>
      <c r="K59" s="380">
        <v>14.5</v>
      </c>
      <c r="L59" s="380">
        <v>16.2</v>
      </c>
      <c r="M59" s="380">
        <v>18.399999999999999</v>
      </c>
      <c r="N59" s="380">
        <v>21.7</v>
      </c>
      <c r="O59" s="381">
        <v>26.8</v>
      </c>
    </row>
    <row r="60" spans="1:15" ht="12.4" customHeight="1">
      <c r="A60" s="379">
        <v>111</v>
      </c>
      <c r="B60" s="380">
        <v>12.6</v>
      </c>
      <c r="C60" s="380">
        <v>13.5</v>
      </c>
      <c r="D60" s="380">
        <v>14.7</v>
      </c>
      <c r="E60" s="380">
        <v>16.100000000000001</v>
      </c>
      <c r="F60" s="380">
        <v>18</v>
      </c>
      <c r="G60" s="380">
        <v>20.7</v>
      </c>
      <c r="H60" s="382">
        <v>24.7</v>
      </c>
      <c r="I60" s="380">
        <v>12.2</v>
      </c>
      <c r="J60" s="380">
        <v>13.2</v>
      </c>
      <c r="K60" s="380">
        <v>14.5</v>
      </c>
      <c r="L60" s="380">
        <v>16.2</v>
      </c>
      <c r="M60" s="380">
        <v>18.5</v>
      </c>
      <c r="N60" s="380">
        <v>21.8</v>
      </c>
      <c r="O60" s="382">
        <v>27</v>
      </c>
    </row>
    <row r="61" spans="1:15" ht="12.4" customHeight="1">
      <c r="A61" s="379">
        <v>112</v>
      </c>
      <c r="B61" s="385">
        <v>12.6</v>
      </c>
      <c r="C61" s="385">
        <v>13.6</v>
      </c>
      <c r="D61" s="385">
        <v>14.7</v>
      </c>
      <c r="E61" s="385">
        <v>16.2</v>
      </c>
      <c r="F61" s="385">
        <v>18.100000000000001</v>
      </c>
      <c r="G61" s="385">
        <v>20.8</v>
      </c>
      <c r="H61" s="385">
        <v>24.9</v>
      </c>
      <c r="I61" s="385">
        <v>12.2</v>
      </c>
      <c r="J61" s="385">
        <v>13.2</v>
      </c>
      <c r="K61" s="385">
        <v>14.6</v>
      </c>
      <c r="L61" s="385">
        <v>16.3</v>
      </c>
      <c r="M61" s="385">
        <v>18.600000000000001</v>
      </c>
      <c r="N61" s="385">
        <v>21.9</v>
      </c>
      <c r="O61" s="385">
        <v>27.2</v>
      </c>
    </row>
    <row r="62" spans="1:15" ht="12.4" customHeight="1">
      <c r="A62" s="379">
        <v>113</v>
      </c>
      <c r="B62" s="381">
        <v>12.6</v>
      </c>
      <c r="C62" s="381">
        <v>13.6</v>
      </c>
      <c r="D62" s="381">
        <v>14.7</v>
      </c>
      <c r="E62" s="381">
        <v>16.2</v>
      </c>
      <c r="F62" s="381">
        <v>18.100000000000001</v>
      </c>
      <c r="G62" s="381">
        <v>20.8</v>
      </c>
      <c r="H62" s="381">
        <v>25</v>
      </c>
      <c r="I62" s="381">
        <v>12.2</v>
      </c>
      <c r="J62" s="381">
        <v>13.3</v>
      </c>
      <c r="K62" s="381">
        <v>14.6</v>
      </c>
      <c r="L62" s="381">
        <v>16.3</v>
      </c>
      <c r="M62" s="381">
        <v>18.600000000000001</v>
      </c>
      <c r="N62" s="381">
        <v>21.9</v>
      </c>
      <c r="O62" s="381">
        <v>27.3</v>
      </c>
    </row>
    <row r="63" spans="1:15" ht="12.4" customHeight="1">
      <c r="A63" s="379">
        <v>114</v>
      </c>
      <c r="B63" s="381">
        <v>12.7</v>
      </c>
      <c r="C63" s="381">
        <v>13.6</v>
      </c>
      <c r="D63" s="381">
        <v>14.8</v>
      </c>
      <c r="E63" s="381">
        <v>16.2</v>
      </c>
      <c r="F63" s="381">
        <v>18.2</v>
      </c>
      <c r="G63" s="381">
        <v>20.9</v>
      </c>
      <c r="H63" s="381">
        <v>25.1</v>
      </c>
      <c r="I63" s="381">
        <v>12.2</v>
      </c>
      <c r="J63" s="381">
        <v>13.3</v>
      </c>
      <c r="K63" s="381">
        <v>14.6</v>
      </c>
      <c r="L63" s="381">
        <v>16.3</v>
      </c>
      <c r="M63" s="381">
        <v>18.7</v>
      </c>
      <c r="N63" s="381">
        <v>22</v>
      </c>
      <c r="O63" s="381">
        <v>27.5</v>
      </c>
    </row>
    <row r="64" spans="1:15" ht="12.4" customHeight="1">
      <c r="A64" s="379">
        <v>115</v>
      </c>
      <c r="B64" s="381">
        <v>12.7</v>
      </c>
      <c r="C64" s="381">
        <v>13.6</v>
      </c>
      <c r="D64" s="381">
        <v>14.8</v>
      </c>
      <c r="E64" s="381">
        <v>16.3</v>
      </c>
      <c r="F64" s="381">
        <v>18.2</v>
      </c>
      <c r="G64" s="381">
        <v>21</v>
      </c>
      <c r="H64" s="381">
        <v>25.3</v>
      </c>
      <c r="I64" s="381">
        <v>12.3</v>
      </c>
      <c r="J64" s="381">
        <v>13.3</v>
      </c>
      <c r="K64" s="381">
        <v>14.7</v>
      </c>
      <c r="L64" s="381">
        <v>16.399999999999999</v>
      </c>
      <c r="M64" s="381">
        <v>18.7</v>
      </c>
      <c r="N64" s="381">
        <v>22.1</v>
      </c>
      <c r="O64" s="381">
        <v>27.6</v>
      </c>
    </row>
    <row r="65" spans="1:15" ht="12.4" customHeight="1">
      <c r="A65" s="379">
        <v>116</v>
      </c>
      <c r="B65" s="381">
        <v>12.7</v>
      </c>
      <c r="C65" s="381">
        <v>13.6</v>
      </c>
      <c r="D65" s="381">
        <v>14.8</v>
      </c>
      <c r="E65" s="381">
        <v>16.3</v>
      </c>
      <c r="F65" s="381">
        <v>18.3</v>
      </c>
      <c r="G65" s="381">
        <v>21.1</v>
      </c>
      <c r="H65" s="381">
        <v>25.5</v>
      </c>
      <c r="I65" s="381">
        <v>12.3</v>
      </c>
      <c r="J65" s="381">
        <v>13.4</v>
      </c>
      <c r="K65" s="381">
        <v>14.7</v>
      </c>
      <c r="L65" s="381">
        <v>16.399999999999999</v>
      </c>
      <c r="M65" s="381">
        <v>18.8</v>
      </c>
      <c r="N65" s="381">
        <v>22.2</v>
      </c>
      <c r="O65" s="381">
        <v>27.8</v>
      </c>
    </row>
    <row r="66" spans="1:15" ht="12.4" customHeight="1">
      <c r="A66" s="379">
        <v>117</v>
      </c>
      <c r="B66" s="381">
        <v>12.7</v>
      </c>
      <c r="C66" s="381">
        <v>13.7</v>
      </c>
      <c r="D66" s="381">
        <v>14.8</v>
      </c>
      <c r="E66" s="381">
        <v>16.3</v>
      </c>
      <c r="F66" s="381">
        <v>18.3</v>
      </c>
      <c r="G66" s="381">
        <v>21.2</v>
      </c>
      <c r="H66" s="381">
        <v>25.6</v>
      </c>
      <c r="I66" s="381">
        <v>12.3</v>
      </c>
      <c r="J66" s="381">
        <v>13.4</v>
      </c>
      <c r="K66" s="381">
        <v>14.7</v>
      </c>
      <c r="L66" s="381">
        <v>16.5</v>
      </c>
      <c r="M66" s="381">
        <v>18.8</v>
      </c>
      <c r="N66" s="381">
        <v>22.3</v>
      </c>
      <c r="O66" s="381">
        <v>27.9</v>
      </c>
    </row>
    <row r="67" spans="1:15" ht="12.4" customHeight="1">
      <c r="A67" s="379">
        <v>118</v>
      </c>
      <c r="B67" s="381">
        <v>12.7</v>
      </c>
      <c r="C67" s="381">
        <v>13.7</v>
      </c>
      <c r="D67" s="381">
        <v>14.9</v>
      </c>
      <c r="E67" s="381">
        <v>16.399999999999999</v>
      </c>
      <c r="F67" s="381">
        <v>18.399999999999999</v>
      </c>
      <c r="G67" s="381">
        <v>21.2</v>
      </c>
      <c r="H67" s="381">
        <v>25.8</v>
      </c>
      <c r="I67" s="381">
        <v>12.3</v>
      </c>
      <c r="J67" s="381">
        <v>13.4</v>
      </c>
      <c r="K67" s="381">
        <v>14.8</v>
      </c>
      <c r="L67" s="381">
        <v>16.5</v>
      </c>
      <c r="M67" s="381">
        <v>18.899999999999999</v>
      </c>
      <c r="N67" s="381">
        <v>22.4</v>
      </c>
      <c r="O67" s="381">
        <v>28.1</v>
      </c>
    </row>
    <row r="68" spans="1:15" ht="12.4" customHeight="1">
      <c r="A68" s="379">
        <v>119</v>
      </c>
      <c r="B68" s="381">
        <v>12.8</v>
      </c>
      <c r="C68" s="381">
        <v>13.7</v>
      </c>
      <c r="D68" s="381">
        <v>14.9</v>
      </c>
      <c r="E68" s="381">
        <v>16.399999999999999</v>
      </c>
      <c r="F68" s="381">
        <v>18.399999999999999</v>
      </c>
      <c r="G68" s="381">
        <v>21.3</v>
      </c>
      <c r="H68" s="381">
        <v>25.9</v>
      </c>
      <c r="I68" s="381">
        <v>12.4</v>
      </c>
      <c r="J68" s="381">
        <v>13.4</v>
      </c>
      <c r="K68" s="381">
        <v>14.8</v>
      </c>
      <c r="L68" s="381">
        <v>16.600000000000001</v>
      </c>
      <c r="M68" s="381">
        <v>19</v>
      </c>
      <c r="N68" s="381">
        <v>22.5</v>
      </c>
      <c r="O68" s="381">
        <v>28.2</v>
      </c>
    </row>
    <row r="69" spans="1:15" ht="12.4" customHeight="1">
      <c r="A69" s="379">
        <v>120</v>
      </c>
      <c r="B69" s="381">
        <v>12.8</v>
      </c>
      <c r="C69" s="381">
        <v>13.7</v>
      </c>
      <c r="D69" s="381">
        <v>14.9</v>
      </c>
      <c r="E69" s="381">
        <v>16.399999999999999</v>
      </c>
      <c r="F69" s="381">
        <v>18.5</v>
      </c>
      <c r="G69" s="381">
        <v>21.4</v>
      </c>
      <c r="H69" s="381">
        <v>26.1</v>
      </c>
      <c r="I69" s="381">
        <v>12.4</v>
      </c>
      <c r="J69" s="381">
        <v>13.5</v>
      </c>
      <c r="K69" s="381">
        <v>14.8</v>
      </c>
      <c r="L69" s="381">
        <v>16.600000000000001</v>
      </c>
      <c r="M69" s="381">
        <v>19</v>
      </c>
      <c r="N69" s="381">
        <v>22.6</v>
      </c>
      <c r="O69" s="381">
        <v>28.4</v>
      </c>
    </row>
    <row r="70" spans="1:15" ht="12.4" customHeight="1">
      <c r="A70" s="379">
        <v>121</v>
      </c>
      <c r="B70" s="381">
        <v>12.8</v>
      </c>
      <c r="C70" s="381">
        <v>13.8</v>
      </c>
      <c r="D70" s="381">
        <v>15</v>
      </c>
      <c r="E70" s="381">
        <v>16.5</v>
      </c>
      <c r="F70" s="381">
        <v>18.5</v>
      </c>
      <c r="G70" s="381">
        <v>21.5</v>
      </c>
      <c r="H70" s="381">
        <v>26.2</v>
      </c>
      <c r="I70" s="381">
        <v>12.4</v>
      </c>
      <c r="J70" s="381">
        <v>13.5</v>
      </c>
      <c r="K70" s="381">
        <v>14.9</v>
      </c>
      <c r="L70" s="381">
        <v>16.7</v>
      </c>
      <c r="M70" s="381">
        <v>19.100000000000001</v>
      </c>
      <c r="N70" s="381">
        <v>22.7</v>
      </c>
      <c r="O70" s="381">
        <v>28.5</v>
      </c>
    </row>
    <row r="71" spans="1:15" ht="12.4" customHeight="1">
      <c r="A71" s="379">
        <v>122</v>
      </c>
      <c r="B71" s="381">
        <v>12.8</v>
      </c>
      <c r="C71" s="381">
        <v>13.8</v>
      </c>
      <c r="D71" s="381">
        <v>15</v>
      </c>
      <c r="E71" s="381">
        <v>16.5</v>
      </c>
      <c r="F71" s="381">
        <v>18.600000000000001</v>
      </c>
      <c r="G71" s="381">
        <v>21.6</v>
      </c>
      <c r="H71" s="381">
        <v>26.4</v>
      </c>
      <c r="I71" s="381">
        <v>12.4</v>
      </c>
      <c r="J71" s="381">
        <v>13.5</v>
      </c>
      <c r="K71" s="381">
        <v>14.9</v>
      </c>
      <c r="L71" s="381">
        <v>16.7</v>
      </c>
      <c r="M71" s="381">
        <v>19.2</v>
      </c>
      <c r="N71" s="381">
        <v>22.8</v>
      </c>
      <c r="O71" s="381">
        <v>28.7</v>
      </c>
    </row>
    <row r="72" spans="1:15" ht="12.4" customHeight="1">
      <c r="A72" s="379">
        <v>123</v>
      </c>
      <c r="B72" s="381">
        <v>12.8</v>
      </c>
      <c r="C72" s="381">
        <v>13.8</v>
      </c>
      <c r="D72" s="381">
        <v>15</v>
      </c>
      <c r="E72" s="381">
        <v>16.600000000000001</v>
      </c>
      <c r="F72" s="381">
        <v>18.600000000000001</v>
      </c>
      <c r="G72" s="381">
        <v>21.7</v>
      </c>
      <c r="H72" s="381">
        <v>26.6</v>
      </c>
      <c r="I72" s="381">
        <v>12.5</v>
      </c>
      <c r="J72" s="381">
        <v>13.6</v>
      </c>
      <c r="K72" s="381">
        <v>15</v>
      </c>
      <c r="L72" s="381">
        <v>16.8</v>
      </c>
      <c r="M72" s="381">
        <v>19.2</v>
      </c>
      <c r="N72" s="381">
        <v>22.8</v>
      </c>
      <c r="O72" s="381">
        <v>28.8</v>
      </c>
    </row>
    <row r="73" spans="1:15" ht="12.4" customHeight="1">
      <c r="A73" s="379">
        <v>124</v>
      </c>
      <c r="B73" s="381">
        <v>12.9</v>
      </c>
      <c r="C73" s="381">
        <v>13.8</v>
      </c>
      <c r="D73" s="381">
        <v>15</v>
      </c>
      <c r="E73" s="381">
        <v>16.600000000000001</v>
      </c>
      <c r="F73" s="381">
        <v>18.7</v>
      </c>
      <c r="G73" s="381">
        <v>21.7</v>
      </c>
      <c r="H73" s="381">
        <v>26.7</v>
      </c>
      <c r="I73" s="381">
        <v>12.5</v>
      </c>
      <c r="J73" s="381">
        <v>13.6</v>
      </c>
      <c r="K73" s="381">
        <v>15</v>
      </c>
      <c r="L73" s="381">
        <v>16.8</v>
      </c>
      <c r="M73" s="381">
        <v>19.3</v>
      </c>
      <c r="N73" s="381">
        <v>22.9</v>
      </c>
      <c r="O73" s="381">
        <v>29</v>
      </c>
    </row>
    <row r="74" spans="1:15" ht="12.4" customHeight="1">
      <c r="A74" s="379">
        <v>125</v>
      </c>
      <c r="B74" s="381">
        <v>12.9</v>
      </c>
      <c r="C74" s="381">
        <v>13.9</v>
      </c>
      <c r="D74" s="381">
        <v>15.1</v>
      </c>
      <c r="E74" s="381">
        <v>16.600000000000001</v>
      </c>
      <c r="F74" s="381">
        <v>18.8</v>
      </c>
      <c r="G74" s="381">
        <v>21.8</v>
      </c>
      <c r="H74" s="381">
        <v>26.9</v>
      </c>
      <c r="I74" s="381">
        <v>12.5</v>
      </c>
      <c r="J74" s="381">
        <v>13.6</v>
      </c>
      <c r="K74" s="381">
        <v>15</v>
      </c>
      <c r="L74" s="381">
        <v>16.899999999999999</v>
      </c>
      <c r="M74" s="381">
        <v>19.399999999999999</v>
      </c>
      <c r="N74" s="381">
        <v>23</v>
      </c>
      <c r="O74" s="381">
        <v>29.1</v>
      </c>
    </row>
    <row r="75" spans="1:15" ht="12.4" customHeight="1">
      <c r="A75" s="379">
        <v>126</v>
      </c>
      <c r="B75" s="381">
        <v>12.9</v>
      </c>
      <c r="C75" s="381">
        <v>13.9</v>
      </c>
      <c r="D75" s="381">
        <v>15.1</v>
      </c>
      <c r="E75" s="381">
        <v>16.7</v>
      </c>
      <c r="F75" s="381">
        <v>18.8</v>
      </c>
      <c r="G75" s="381">
        <v>21.9</v>
      </c>
      <c r="H75" s="381">
        <v>27</v>
      </c>
      <c r="I75" s="381">
        <v>12.5</v>
      </c>
      <c r="J75" s="381">
        <v>13.7</v>
      </c>
      <c r="K75" s="381">
        <v>15.1</v>
      </c>
      <c r="L75" s="381">
        <v>16.899999999999999</v>
      </c>
      <c r="M75" s="381">
        <v>19.399999999999999</v>
      </c>
      <c r="N75" s="381">
        <v>23.1</v>
      </c>
      <c r="O75" s="381">
        <v>29.3</v>
      </c>
    </row>
    <row r="76" spans="1:15" ht="12.4" customHeight="1">
      <c r="A76" s="379">
        <v>127</v>
      </c>
      <c r="B76" s="381">
        <v>12.9</v>
      </c>
      <c r="C76" s="381">
        <v>13.9</v>
      </c>
      <c r="D76" s="381">
        <v>15.1</v>
      </c>
      <c r="E76" s="381">
        <v>16.7</v>
      </c>
      <c r="F76" s="381">
        <v>18.899999999999999</v>
      </c>
      <c r="G76" s="381">
        <v>22</v>
      </c>
      <c r="H76" s="381">
        <v>27.2</v>
      </c>
      <c r="I76" s="381">
        <v>12.6</v>
      </c>
      <c r="J76" s="381">
        <v>13.7</v>
      </c>
      <c r="K76" s="381">
        <v>15.1</v>
      </c>
      <c r="L76" s="381">
        <v>17</v>
      </c>
      <c r="M76" s="381">
        <v>19.5</v>
      </c>
      <c r="N76" s="381">
        <v>23.2</v>
      </c>
      <c r="O76" s="381">
        <v>29.4</v>
      </c>
    </row>
    <row r="77" spans="1:15" ht="12.4" customHeight="1">
      <c r="A77" s="379">
        <v>128</v>
      </c>
      <c r="B77" s="381">
        <v>13</v>
      </c>
      <c r="C77" s="381">
        <v>13.9</v>
      </c>
      <c r="D77" s="381">
        <v>15.2</v>
      </c>
      <c r="E77" s="381">
        <v>16.8</v>
      </c>
      <c r="F77" s="381">
        <v>18.899999999999999</v>
      </c>
      <c r="G77" s="381">
        <v>22.1</v>
      </c>
      <c r="H77" s="381">
        <v>27.4</v>
      </c>
      <c r="I77" s="381">
        <v>12.6</v>
      </c>
      <c r="J77" s="381">
        <v>13.7</v>
      </c>
      <c r="K77" s="381">
        <v>15.2</v>
      </c>
      <c r="L77" s="381">
        <v>17</v>
      </c>
      <c r="M77" s="381">
        <v>19.600000000000001</v>
      </c>
      <c r="N77" s="381">
        <v>23.3</v>
      </c>
      <c r="O77" s="381">
        <v>29.6</v>
      </c>
    </row>
    <row r="78" spans="1:15" ht="12.4" customHeight="1">
      <c r="A78" s="379">
        <v>129</v>
      </c>
      <c r="B78" s="381">
        <v>13</v>
      </c>
      <c r="C78" s="381">
        <v>14</v>
      </c>
      <c r="D78" s="381">
        <v>15.2</v>
      </c>
      <c r="E78" s="381">
        <v>16.8</v>
      </c>
      <c r="F78" s="381">
        <v>19</v>
      </c>
      <c r="G78" s="381">
        <v>22.2</v>
      </c>
      <c r="H78" s="381">
        <v>27.5</v>
      </c>
      <c r="I78" s="381">
        <v>12.6</v>
      </c>
      <c r="J78" s="381">
        <v>13.8</v>
      </c>
      <c r="K78" s="381">
        <v>15.2</v>
      </c>
      <c r="L78" s="381">
        <v>17.100000000000001</v>
      </c>
      <c r="M78" s="381">
        <v>19.600000000000001</v>
      </c>
      <c r="N78" s="381">
        <v>23.4</v>
      </c>
      <c r="O78" s="381">
        <v>29.7</v>
      </c>
    </row>
    <row r="79" spans="1:15" ht="12.4" customHeight="1">
      <c r="A79" s="379">
        <v>130</v>
      </c>
      <c r="B79" s="381">
        <v>13</v>
      </c>
      <c r="C79" s="381">
        <v>14</v>
      </c>
      <c r="D79" s="381">
        <v>15.2</v>
      </c>
      <c r="E79" s="381">
        <v>16.899999999999999</v>
      </c>
      <c r="F79" s="381">
        <v>19</v>
      </c>
      <c r="G79" s="381">
        <v>22.3</v>
      </c>
      <c r="H79" s="381">
        <v>27.7</v>
      </c>
      <c r="I79" s="381">
        <v>12.7</v>
      </c>
      <c r="J79" s="381">
        <v>13.8</v>
      </c>
      <c r="K79" s="381">
        <v>15.3</v>
      </c>
      <c r="L79" s="381">
        <v>17.100000000000001</v>
      </c>
      <c r="M79" s="381">
        <v>19.7</v>
      </c>
      <c r="N79" s="381">
        <v>23.5</v>
      </c>
      <c r="O79" s="381">
        <v>29.9</v>
      </c>
    </row>
    <row r="80" spans="1:15" ht="12.4" customHeight="1">
      <c r="A80" s="379">
        <v>131</v>
      </c>
      <c r="B80" s="381">
        <v>13</v>
      </c>
      <c r="C80" s="381">
        <v>14</v>
      </c>
      <c r="D80" s="381">
        <v>15.3</v>
      </c>
      <c r="E80" s="381">
        <v>16.899999999999999</v>
      </c>
      <c r="F80" s="381">
        <v>19.100000000000001</v>
      </c>
      <c r="G80" s="381">
        <v>22.4</v>
      </c>
      <c r="H80" s="381">
        <v>27.9</v>
      </c>
      <c r="I80" s="381">
        <v>12.7</v>
      </c>
      <c r="J80" s="381">
        <v>13.8</v>
      </c>
      <c r="K80" s="381">
        <v>15.3</v>
      </c>
      <c r="L80" s="381">
        <v>17.2</v>
      </c>
      <c r="M80" s="381">
        <v>19.8</v>
      </c>
      <c r="N80" s="381">
        <v>23.6</v>
      </c>
      <c r="O80" s="381">
        <v>30</v>
      </c>
    </row>
    <row r="81" spans="1:15" ht="12.4" customHeight="1">
      <c r="A81" s="379">
        <v>132</v>
      </c>
      <c r="B81" s="381">
        <v>13.1</v>
      </c>
      <c r="C81" s="381">
        <v>14.1</v>
      </c>
      <c r="D81" s="381">
        <v>15.3</v>
      </c>
      <c r="E81" s="381">
        <v>16.899999999999999</v>
      </c>
      <c r="F81" s="381">
        <v>19.2</v>
      </c>
      <c r="G81" s="381">
        <v>22.5</v>
      </c>
      <c r="H81" s="381">
        <v>28</v>
      </c>
      <c r="I81" s="381">
        <v>12.7</v>
      </c>
      <c r="J81" s="381">
        <v>13.9</v>
      </c>
      <c r="K81" s="381">
        <v>15.3</v>
      </c>
      <c r="L81" s="381">
        <v>17.2</v>
      </c>
      <c r="M81" s="381">
        <v>19.899999999999999</v>
      </c>
      <c r="N81" s="381">
        <v>23.7</v>
      </c>
      <c r="O81" s="381">
        <v>30.2</v>
      </c>
    </row>
    <row r="82" spans="1:15" ht="12.4" customHeight="1">
      <c r="A82" s="379">
        <v>133</v>
      </c>
      <c r="B82" s="381">
        <v>13.1</v>
      </c>
      <c r="C82" s="381">
        <v>14.1</v>
      </c>
      <c r="D82" s="381">
        <v>15.3</v>
      </c>
      <c r="E82" s="381">
        <v>17</v>
      </c>
      <c r="F82" s="381">
        <v>19.2</v>
      </c>
      <c r="G82" s="381">
        <v>22.5</v>
      </c>
      <c r="H82" s="381">
        <v>28.2</v>
      </c>
      <c r="I82" s="381">
        <v>12.8</v>
      </c>
      <c r="J82" s="381">
        <v>13.9</v>
      </c>
      <c r="K82" s="381">
        <v>15.4</v>
      </c>
      <c r="L82" s="381">
        <v>17.3</v>
      </c>
      <c r="M82" s="381">
        <v>19.899999999999999</v>
      </c>
      <c r="N82" s="381">
        <v>23.8</v>
      </c>
      <c r="O82" s="381">
        <v>30.3</v>
      </c>
    </row>
    <row r="83" spans="1:15" ht="12.4" customHeight="1">
      <c r="A83" s="379">
        <v>134</v>
      </c>
      <c r="B83" s="381">
        <v>13.1</v>
      </c>
      <c r="C83" s="381">
        <v>14.1</v>
      </c>
      <c r="D83" s="381">
        <v>15.4</v>
      </c>
      <c r="E83" s="381">
        <v>17</v>
      </c>
      <c r="F83" s="381">
        <v>19.3</v>
      </c>
      <c r="G83" s="381">
        <v>22.6</v>
      </c>
      <c r="H83" s="381">
        <v>28.4</v>
      </c>
      <c r="I83" s="381">
        <v>12.8</v>
      </c>
      <c r="J83" s="381">
        <v>14</v>
      </c>
      <c r="K83" s="381">
        <v>15.4</v>
      </c>
      <c r="L83" s="381">
        <v>17.399999999999999</v>
      </c>
      <c r="M83" s="381">
        <v>20</v>
      </c>
      <c r="N83" s="381">
        <v>23.9</v>
      </c>
      <c r="O83" s="381">
        <v>30.5</v>
      </c>
    </row>
    <row r="84" spans="1:15" ht="12.4" customHeight="1">
      <c r="A84" s="379">
        <v>135</v>
      </c>
      <c r="B84" s="382">
        <v>13.1</v>
      </c>
      <c r="C84" s="382">
        <v>14.1</v>
      </c>
      <c r="D84" s="382">
        <v>15.4</v>
      </c>
      <c r="E84" s="382">
        <v>17.100000000000001</v>
      </c>
      <c r="F84" s="386">
        <v>19.3</v>
      </c>
      <c r="G84" s="386">
        <v>22.7</v>
      </c>
      <c r="H84" s="382">
        <v>28.5</v>
      </c>
      <c r="I84" s="382">
        <v>12.8</v>
      </c>
      <c r="J84" s="382">
        <v>14</v>
      </c>
      <c r="K84" s="382">
        <v>15.5</v>
      </c>
      <c r="L84" s="382">
        <v>17.399999999999999</v>
      </c>
      <c r="M84" s="387">
        <v>20.100000000000001</v>
      </c>
      <c r="N84" s="387">
        <v>24</v>
      </c>
      <c r="O84" s="382">
        <v>30.6</v>
      </c>
    </row>
    <row r="85" spans="1:15" ht="12.4" customHeight="1">
      <c r="A85" s="379">
        <v>136</v>
      </c>
      <c r="B85" s="385">
        <v>13.2</v>
      </c>
      <c r="C85" s="385">
        <v>14.2</v>
      </c>
      <c r="D85" s="385">
        <v>15.5</v>
      </c>
      <c r="E85" s="385">
        <v>17.100000000000001</v>
      </c>
      <c r="F85" s="385">
        <v>19.399999999999999</v>
      </c>
      <c r="G85" s="385">
        <v>22.8</v>
      </c>
      <c r="H85" s="385">
        <v>28.7</v>
      </c>
      <c r="I85" s="385">
        <v>12.9</v>
      </c>
      <c r="J85" s="385">
        <v>14</v>
      </c>
      <c r="K85" s="385">
        <v>15.5</v>
      </c>
      <c r="L85" s="385">
        <v>17.5</v>
      </c>
      <c r="M85" s="385">
        <v>20.2</v>
      </c>
      <c r="N85" s="385">
        <v>24.1</v>
      </c>
      <c r="O85" s="385">
        <v>30.8</v>
      </c>
    </row>
    <row r="86" spans="1:15" ht="12.4" customHeight="1">
      <c r="A86" s="379">
        <v>137</v>
      </c>
      <c r="B86" s="381">
        <v>13.2</v>
      </c>
      <c r="C86" s="381">
        <v>14.2</v>
      </c>
      <c r="D86" s="381">
        <v>15.5</v>
      </c>
      <c r="E86" s="381">
        <v>17.2</v>
      </c>
      <c r="F86" s="381">
        <v>19.5</v>
      </c>
      <c r="G86" s="381">
        <v>22.9</v>
      </c>
      <c r="H86" s="381">
        <v>28.8</v>
      </c>
      <c r="I86" s="381">
        <v>12.9</v>
      </c>
      <c r="J86" s="381">
        <v>14.1</v>
      </c>
      <c r="K86" s="381">
        <v>15.6</v>
      </c>
      <c r="L86" s="381">
        <v>17.5</v>
      </c>
      <c r="M86" s="381">
        <v>20.2</v>
      </c>
      <c r="N86" s="381">
        <v>24.2</v>
      </c>
      <c r="O86" s="381">
        <v>30.9</v>
      </c>
    </row>
    <row r="87" spans="1:15" ht="12.4" customHeight="1">
      <c r="A87" s="379">
        <v>138</v>
      </c>
      <c r="B87" s="381">
        <v>13.2</v>
      </c>
      <c r="C87" s="381">
        <v>14.2</v>
      </c>
      <c r="D87" s="381">
        <v>15.5</v>
      </c>
      <c r="E87" s="381">
        <v>17.2</v>
      </c>
      <c r="F87" s="381">
        <v>19.5</v>
      </c>
      <c r="G87" s="381">
        <v>23</v>
      </c>
      <c r="H87" s="381">
        <v>29</v>
      </c>
      <c r="I87" s="381">
        <v>12.9</v>
      </c>
      <c r="J87" s="381">
        <v>14.1</v>
      </c>
      <c r="K87" s="381">
        <v>15.6</v>
      </c>
      <c r="L87" s="381">
        <v>17.600000000000001</v>
      </c>
      <c r="M87" s="381">
        <v>20.3</v>
      </c>
      <c r="N87" s="381">
        <v>24.3</v>
      </c>
      <c r="O87" s="381">
        <v>31.1</v>
      </c>
    </row>
    <row r="88" spans="1:15" ht="12.4" customHeight="1">
      <c r="A88" s="379">
        <v>139</v>
      </c>
      <c r="B88" s="381">
        <v>13.2</v>
      </c>
      <c r="C88" s="381">
        <v>14.3</v>
      </c>
      <c r="D88" s="381">
        <v>15.6</v>
      </c>
      <c r="E88" s="381">
        <v>17.3</v>
      </c>
      <c r="F88" s="381">
        <v>19.600000000000001</v>
      </c>
      <c r="G88" s="381">
        <v>23.1</v>
      </c>
      <c r="H88" s="381">
        <v>29.2</v>
      </c>
      <c r="I88" s="381">
        <v>13</v>
      </c>
      <c r="J88" s="381">
        <v>14.2</v>
      </c>
      <c r="K88" s="381">
        <v>15.7</v>
      </c>
      <c r="L88" s="381">
        <v>17.7</v>
      </c>
      <c r="M88" s="381">
        <v>20.399999999999999</v>
      </c>
      <c r="N88" s="381">
        <v>24.4</v>
      </c>
      <c r="O88" s="381">
        <v>31.2</v>
      </c>
    </row>
    <row r="89" spans="1:15" ht="12.4" customHeight="1">
      <c r="A89" s="379">
        <v>140</v>
      </c>
      <c r="B89" s="381">
        <v>13.3</v>
      </c>
      <c r="C89" s="381">
        <v>14.3</v>
      </c>
      <c r="D89" s="381">
        <v>15.6</v>
      </c>
      <c r="E89" s="381">
        <v>17.3</v>
      </c>
      <c r="F89" s="381">
        <v>19.7</v>
      </c>
      <c r="G89" s="381">
        <v>23.2</v>
      </c>
      <c r="H89" s="381">
        <v>29.3</v>
      </c>
      <c r="I89" s="381">
        <v>13</v>
      </c>
      <c r="J89" s="381">
        <v>14.2</v>
      </c>
      <c r="K89" s="381">
        <v>15.7</v>
      </c>
      <c r="L89" s="381">
        <v>17.7</v>
      </c>
      <c r="M89" s="381">
        <v>20.5</v>
      </c>
      <c r="N89" s="381">
        <v>24.5</v>
      </c>
      <c r="O89" s="381">
        <v>31.4</v>
      </c>
    </row>
    <row r="90" spans="1:15" ht="12.4" customHeight="1">
      <c r="A90" s="379">
        <v>141</v>
      </c>
      <c r="B90" s="381">
        <v>13.3</v>
      </c>
      <c r="C90" s="381">
        <v>14.3</v>
      </c>
      <c r="D90" s="381">
        <v>15.7</v>
      </c>
      <c r="E90" s="381">
        <v>17.399999999999999</v>
      </c>
      <c r="F90" s="381">
        <v>19.7</v>
      </c>
      <c r="G90" s="381">
        <v>23.3</v>
      </c>
      <c r="H90" s="381">
        <v>29.5</v>
      </c>
      <c r="I90" s="381">
        <v>13</v>
      </c>
      <c r="J90" s="381">
        <v>14.3</v>
      </c>
      <c r="K90" s="381">
        <v>15.8</v>
      </c>
      <c r="L90" s="381">
        <v>17.8</v>
      </c>
      <c r="M90" s="381">
        <v>20.6</v>
      </c>
      <c r="N90" s="381">
        <v>24.7</v>
      </c>
      <c r="O90" s="381">
        <v>31.5</v>
      </c>
    </row>
    <row r="91" spans="1:15" ht="12.4" customHeight="1">
      <c r="A91" s="379">
        <v>142</v>
      </c>
      <c r="B91" s="381">
        <v>13.3</v>
      </c>
      <c r="C91" s="381">
        <v>14.4</v>
      </c>
      <c r="D91" s="381">
        <v>15.7</v>
      </c>
      <c r="E91" s="381">
        <v>17.399999999999999</v>
      </c>
      <c r="F91" s="381">
        <v>19.8</v>
      </c>
      <c r="G91" s="381">
        <v>23.4</v>
      </c>
      <c r="H91" s="381">
        <v>29.6</v>
      </c>
      <c r="I91" s="381">
        <v>13.1</v>
      </c>
      <c r="J91" s="381">
        <v>14.3</v>
      </c>
      <c r="K91" s="381">
        <v>15.8</v>
      </c>
      <c r="L91" s="381">
        <v>17.899999999999999</v>
      </c>
      <c r="M91" s="381">
        <v>20.6</v>
      </c>
      <c r="N91" s="381">
        <v>24.8</v>
      </c>
      <c r="O91" s="381">
        <v>31.6</v>
      </c>
    </row>
    <row r="92" spans="1:15" ht="12.4" customHeight="1">
      <c r="A92" s="379">
        <v>143</v>
      </c>
      <c r="B92" s="381">
        <v>13.4</v>
      </c>
      <c r="C92" s="381">
        <v>14.4</v>
      </c>
      <c r="D92" s="381">
        <v>15.7</v>
      </c>
      <c r="E92" s="381">
        <v>17.5</v>
      </c>
      <c r="F92" s="381">
        <v>19.899999999999999</v>
      </c>
      <c r="G92" s="381">
        <v>23.5</v>
      </c>
      <c r="H92" s="381">
        <v>29.8</v>
      </c>
      <c r="I92" s="381">
        <v>13.1</v>
      </c>
      <c r="J92" s="381">
        <v>14.3</v>
      </c>
      <c r="K92" s="381">
        <v>15.9</v>
      </c>
      <c r="L92" s="381">
        <v>17.899999999999999</v>
      </c>
      <c r="M92" s="381">
        <v>20.7</v>
      </c>
      <c r="N92" s="381">
        <v>24.9</v>
      </c>
      <c r="O92" s="381">
        <v>31.8</v>
      </c>
    </row>
    <row r="93" spans="1:15" ht="12.4" customHeight="1">
      <c r="A93" s="379">
        <v>144</v>
      </c>
      <c r="B93" s="381">
        <v>13.4</v>
      </c>
      <c r="C93" s="381">
        <v>14.5</v>
      </c>
      <c r="D93" s="381">
        <v>15.8</v>
      </c>
      <c r="E93" s="381">
        <v>17.5</v>
      </c>
      <c r="F93" s="381">
        <v>19.899999999999999</v>
      </c>
      <c r="G93" s="381">
        <v>23.6</v>
      </c>
      <c r="H93" s="381">
        <v>30</v>
      </c>
      <c r="I93" s="381">
        <v>13.2</v>
      </c>
      <c r="J93" s="381">
        <v>14.4</v>
      </c>
      <c r="K93" s="381">
        <v>16</v>
      </c>
      <c r="L93" s="381">
        <v>18</v>
      </c>
      <c r="M93" s="381">
        <v>20.8</v>
      </c>
      <c r="N93" s="381">
        <v>25</v>
      </c>
      <c r="O93" s="381">
        <v>31.9</v>
      </c>
    </row>
    <row r="94" spans="1:15" ht="12.4" customHeight="1">
      <c r="A94" s="379">
        <v>145</v>
      </c>
      <c r="B94" s="381">
        <v>13.4</v>
      </c>
      <c r="C94" s="381">
        <v>14.5</v>
      </c>
      <c r="D94" s="381">
        <v>15.8</v>
      </c>
      <c r="E94" s="381">
        <v>17.600000000000001</v>
      </c>
      <c r="F94" s="381">
        <v>20</v>
      </c>
      <c r="G94" s="381">
        <v>23.7</v>
      </c>
      <c r="H94" s="381">
        <v>30.1</v>
      </c>
      <c r="I94" s="381">
        <v>13.2</v>
      </c>
      <c r="J94" s="381">
        <v>14.4</v>
      </c>
      <c r="K94" s="381">
        <v>16</v>
      </c>
      <c r="L94" s="381">
        <v>18.100000000000001</v>
      </c>
      <c r="M94" s="381">
        <v>20.9</v>
      </c>
      <c r="N94" s="381">
        <v>25.1</v>
      </c>
      <c r="O94" s="381">
        <v>32</v>
      </c>
    </row>
    <row r="95" spans="1:15" ht="12.4" customHeight="1">
      <c r="A95" s="379">
        <v>146</v>
      </c>
      <c r="B95" s="381">
        <v>13.5</v>
      </c>
      <c r="C95" s="381">
        <v>14.5</v>
      </c>
      <c r="D95" s="381">
        <v>15.9</v>
      </c>
      <c r="E95" s="381">
        <v>17.600000000000001</v>
      </c>
      <c r="F95" s="381">
        <v>20.100000000000001</v>
      </c>
      <c r="G95" s="381">
        <v>23.8</v>
      </c>
      <c r="H95" s="381">
        <v>30.3</v>
      </c>
      <c r="I95" s="381">
        <v>13.2</v>
      </c>
      <c r="J95" s="381">
        <v>14.5</v>
      </c>
      <c r="K95" s="381">
        <v>16.100000000000001</v>
      </c>
      <c r="L95" s="381">
        <v>18.100000000000001</v>
      </c>
      <c r="M95" s="381">
        <v>21</v>
      </c>
      <c r="N95" s="381">
        <v>25.2</v>
      </c>
      <c r="O95" s="381">
        <v>32.200000000000003</v>
      </c>
    </row>
    <row r="96" spans="1:15" ht="12.4" customHeight="1">
      <c r="A96" s="379">
        <v>147</v>
      </c>
      <c r="B96" s="381">
        <v>13.5</v>
      </c>
      <c r="C96" s="381">
        <v>14.6</v>
      </c>
      <c r="D96" s="381">
        <v>15.9</v>
      </c>
      <c r="E96" s="381">
        <v>17.7</v>
      </c>
      <c r="F96" s="381">
        <v>20.2</v>
      </c>
      <c r="G96" s="381">
        <v>23.9</v>
      </c>
      <c r="H96" s="381">
        <v>30.4</v>
      </c>
      <c r="I96" s="381">
        <v>13.3</v>
      </c>
      <c r="J96" s="381">
        <v>14.5</v>
      </c>
      <c r="K96" s="381">
        <v>16.100000000000001</v>
      </c>
      <c r="L96" s="381">
        <v>18.2</v>
      </c>
      <c r="M96" s="381">
        <v>21.1</v>
      </c>
      <c r="N96" s="381">
        <v>25.3</v>
      </c>
      <c r="O96" s="381">
        <v>32.299999999999997</v>
      </c>
    </row>
    <row r="97" spans="1:15" ht="12.4" customHeight="1">
      <c r="A97" s="379">
        <v>148</v>
      </c>
      <c r="B97" s="381">
        <v>13.5</v>
      </c>
      <c r="C97" s="381">
        <v>14.6</v>
      </c>
      <c r="D97" s="381">
        <v>16</v>
      </c>
      <c r="E97" s="381">
        <v>17.8</v>
      </c>
      <c r="F97" s="381">
        <v>20.2</v>
      </c>
      <c r="G97" s="381">
        <v>24</v>
      </c>
      <c r="H97" s="381">
        <v>30.6</v>
      </c>
      <c r="I97" s="381">
        <v>13.3</v>
      </c>
      <c r="J97" s="381">
        <v>14.6</v>
      </c>
      <c r="K97" s="381">
        <v>16.2</v>
      </c>
      <c r="L97" s="381">
        <v>18.3</v>
      </c>
      <c r="M97" s="381">
        <v>21.1</v>
      </c>
      <c r="N97" s="381">
        <v>25.4</v>
      </c>
      <c r="O97" s="381">
        <v>32.4</v>
      </c>
    </row>
    <row r="98" spans="1:15" ht="12.4" customHeight="1">
      <c r="A98" s="379">
        <v>149</v>
      </c>
      <c r="B98" s="381">
        <v>13.6</v>
      </c>
      <c r="C98" s="381">
        <v>14.6</v>
      </c>
      <c r="D98" s="381">
        <v>16</v>
      </c>
      <c r="E98" s="381">
        <v>17.8</v>
      </c>
      <c r="F98" s="381">
        <v>20.3</v>
      </c>
      <c r="G98" s="381">
        <v>24.1</v>
      </c>
      <c r="H98" s="381">
        <v>30.7</v>
      </c>
      <c r="I98" s="381">
        <v>13.3</v>
      </c>
      <c r="J98" s="381">
        <v>14.6</v>
      </c>
      <c r="K98" s="381">
        <v>16.2</v>
      </c>
      <c r="L98" s="381">
        <v>18.3</v>
      </c>
      <c r="M98" s="381">
        <v>21.2</v>
      </c>
      <c r="N98" s="381">
        <v>25.5</v>
      </c>
      <c r="O98" s="381">
        <v>32.6</v>
      </c>
    </row>
    <row r="99" spans="1:15" ht="12.4" customHeight="1">
      <c r="A99" s="379">
        <v>150</v>
      </c>
      <c r="B99" s="381">
        <v>13.6</v>
      </c>
      <c r="C99" s="381">
        <v>14.7</v>
      </c>
      <c r="D99" s="381">
        <v>16.100000000000001</v>
      </c>
      <c r="E99" s="381">
        <v>17.899999999999999</v>
      </c>
      <c r="F99" s="381">
        <v>20.399999999999999</v>
      </c>
      <c r="G99" s="381">
        <v>24.2</v>
      </c>
      <c r="H99" s="381">
        <v>30.9</v>
      </c>
      <c r="I99" s="381">
        <v>13.4</v>
      </c>
      <c r="J99" s="381">
        <v>14.7</v>
      </c>
      <c r="K99" s="381">
        <v>16.3</v>
      </c>
      <c r="L99" s="381">
        <v>18.399999999999999</v>
      </c>
      <c r="M99" s="381">
        <v>21.3</v>
      </c>
      <c r="N99" s="381">
        <v>25.6</v>
      </c>
      <c r="O99" s="381">
        <v>32.700000000000003</v>
      </c>
    </row>
    <row r="100" spans="1:15" ht="12.4" customHeight="1">
      <c r="A100" s="379">
        <v>151</v>
      </c>
      <c r="B100" s="381">
        <v>13.6</v>
      </c>
      <c r="C100" s="381">
        <v>14.7</v>
      </c>
      <c r="D100" s="381">
        <v>16.100000000000001</v>
      </c>
      <c r="E100" s="381">
        <v>17.899999999999999</v>
      </c>
      <c r="F100" s="381">
        <v>20.399999999999999</v>
      </c>
      <c r="G100" s="381">
        <v>24.3</v>
      </c>
      <c r="H100" s="381">
        <v>31</v>
      </c>
      <c r="I100" s="381">
        <v>13.4</v>
      </c>
      <c r="J100" s="381">
        <v>14.7</v>
      </c>
      <c r="K100" s="381">
        <v>16.3</v>
      </c>
      <c r="L100" s="381">
        <v>18.5</v>
      </c>
      <c r="M100" s="381">
        <v>21.4</v>
      </c>
      <c r="N100" s="381">
        <v>25.7</v>
      </c>
      <c r="O100" s="381">
        <v>32.799999999999997</v>
      </c>
    </row>
    <row r="101" spans="1:15" ht="12.4" customHeight="1">
      <c r="A101" s="379">
        <v>152</v>
      </c>
      <c r="B101" s="381">
        <v>13.7</v>
      </c>
      <c r="C101" s="381">
        <v>14.8</v>
      </c>
      <c r="D101" s="381">
        <v>16.2</v>
      </c>
      <c r="E101" s="381">
        <v>18</v>
      </c>
      <c r="F101" s="381">
        <v>20.5</v>
      </c>
      <c r="G101" s="381">
        <v>24.4</v>
      </c>
      <c r="H101" s="381">
        <v>31.1</v>
      </c>
      <c r="I101" s="381">
        <v>13.5</v>
      </c>
      <c r="J101" s="381">
        <v>14.8</v>
      </c>
      <c r="K101" s="381">
        <v>16.399999999999999</v>
      </c>
      <c r="L101" s="381">
        <v>18.5</v>
      </c>
      <c r="M101" s="381">
        <v>21.5</v>
      </c>
      <c r="N101" s="381">
        <v>25.8</v>
      </c>
      <c r="O101" s="381">
        <v>33</v>
      </c>
    </row>
    <row r="102" spans="1:15" ht="12.4" customHeight="1">
      <c r="A102" s="379">
        <v>153</v>
      </c>
      <c r="B102" s="381">
        <v>13.7</v>
      </c>
      <c r="C102" s="381">
        <v>14.8</v>
      </c>
      <c r="D102" s="381">
        <v>16.2</v>
      </c>
      <c r="E102" s="381">
        <v>18</v>
      </c>
      <c r="F102" s="381">
        <v>20.6</v>
      </c>
      <c r="G102" s="381">
        <v>24.5</v>
      </c>
      <c r="H102" s="381">
        <v>31.3</v>
      </c>
      <c r="I102" s="381">
        <v>13.5</v>
      </c>
      <c r="J102" s="381">
        <v>14.8</v>
      </c>
      <c r="K102" s="381">
        <v>16.399999999999999</v>
      </c>
      <c r="L102" s="381">
        <v>18.600000000000001</v>
      </c>
      <c r="M102" s="381">
        <v>21.6</v>
      </c>
      <c r="N102" s="381">
        <v>25.9</v>
      </c>
      <c r="O102" s="381">
        <v>33.1</v>
      </c>
    </row>
    <row r="103" spans="1:15" ht="12.4" customHeight="1">
      <c r="A103" s="379">
        <v>154</v>
      </c>
      <c r="B103" s="381">
        <v>13.7</v>
      </c>
      <c r="C103" s="381">
        <v>14.8</v>
      </c>
      <c r="D103" s="381">
        <v>16.3</v>
      </c>
      <c r="E103" s="381">
        <v>18.100000000000001</v>
      </c>
      <c r="F103" s="381">
        <v>20.7</v>
      </c>
      <c r="G103" s="381">
        <v>24.6</v>
      </c>
      <c r="H103" s="381">
        <v>31.4</v>
      </c>
      <c r="I103" s="381">
        <v>13.5</v>
      </c>
      <c r="J103" s="381">
        <v>14.8</v>
      </c>
      <c r="K103" s="381">
        <v>16.5</v>
      </c>
      <c r="L103" s="381">
        <v>18.7</v>
      </c>
      <c r="M103" s="381">
        <v>21.6</v>
      </c>
      <c r="N103" s="381">
        <v>26</v>
      </c>
      <c r="O103" s="381">
        <v>33.200000000000003</v>
      </c>
    </row>
    <row r="104" spans="1:15" ht="12.4" customHeight="1">
      <c r="A104" s="379">
        <v>155</v>
      </c>
      <c r="B104" s="381">
        <v>13.8</v>
      </c>
      <c r="C104" s="381">
        <v>14.9</v>
      </c>
      <c r="D104" s="381">
        <v>16.3</v>
      </c>
      <c r="E104" s="381">
        <v>18.2</v>
      </c>
      <c r="F104" s="381">
        <v>20.8</v>
      </c>
      <c r="G104" s="381">
        <v>24.7</v>
      </c>
      <c r="H104" s="381">
        <v>31.6</v>
      </c>
      <c r="I104" s="381">
        <v>13.6</v>
      </c>
      <c r="J104" s="381">
        <v>14.9</v>
      </c>
      <c r="K104" s="381">
        <v>16.600000000000001</v>
      </c>
      <c r="L104" s="381">
        <v>18.7</v>
      </c>
      <c r="M104" s="381">
        <v>21.7</v>
      </c>
      <c r="N104" s="381">
        <v>26.1</v>
      </c>
      <c r="O104" s="381">
        <v>33.299999999999997</v>
      </c>
    </row>
    <row r="105" spans="1:15" ht="12.4" customHeight="1">
      <c r="A105" s="379">
        <v>156</v>
      </c>
      <c r="B105" s="381">
        <v>13.8</v>
      </c>
      <c r="C105" s="381">
        <v>14.9</v>
      </c>
      <c r="D105" s="381">
        <v>16.399999999999999</v>
      </c>
      <c r="E105" s="381">
        <v>18.2</v>
      </c>
      <c r="F105" s="381">
        <v>20.8</v>
      </c>
      <c r="G105" s="381">
        <v>24.8</v>
      </c>
      <c r="H105" s="381">
        <v>31.7</v>
      </c>
      <c r="I105" s="381">
        <v>13.6</v>
      </c>
      <c r="J105" s="381">
        <v>14.9</v>
      </c>
      <c r="K105" s="381">
        <v>16.600000000000001</v>
      </c>
      <c r="L105" s="381">
        <v>18.8</v>
      </c>
      <c r="M105" s="381">
        <v>21.8</v>
      </c>
      <c r="N105" s="381">
        <v>26.2</v>
      </c>
      <c r="O105" s="381">
        <v>33.4</v>
      </c>
    </row>
    <row r="106" spans="1:15" ht="12.4" customHeight="1">
      <c r="A106" s="379">
        <v>157</v>
      </c>
      <c r="B106" s="381">
        <v>13.8</v>
      </c>
      <c r="C106" s="381">
        <v>15</v>
      </c>
      <c r="D106" s="381">
        <v>16.399999999999999</v>
      </c>
      <c r="E106" s="381">
        <v>18.3</v>
      </c>
      <c r="F106" s="381">
        <v>20.9</v>
      </c>
      <c r="G106" s="381">
        <v>24.9</v>
      </c>
      <c r="H106" s="381">
        <v>31.8</v>
      </c>
      <c r="I106" s="381">
        <v>13.6</v>
      </c>
      <c r="J106" s="381">
        <v>15</v>
      </c>
      <c r="K106" s="381">
        <v>16.7</v>
      </c>
      <c r="L106" s="381">
        <v>18.899999999999999</v>
      </c>
      <c r="M106" s="381">
        <v>21.9</v>
      </c>
      <c r="N106" s="381">
        <v>26.3</v>
      </c>
      <c r="O106" s="381">
        <v>33.6</v>
      </c>
    </row>
    <row r="107" spans="1:15" ht="12.4" customHeight="1">
      <c r="A107" s="379">
        <v>158</v>
      </c>
      <c r="B107" s="381">
        <v>13.9</v>
      </c>
      <c r="C107" s="381">
        <v>15</v>
      </c>
      <c r="D107" s="381">
        <v>16.5</v>
      </c>
      <c r="E107" s="381">
        <v>18.399999999999999</v>
      </c>
      <c r="F107" s="381">
        <v>21</v>
      </c>
      <c r="G107" s="381">
        <v>25</v>
      </c>
      <c r="H107" s="381">
        <v>31.9</v>
      </c>
      <c r="I107" s="381">
        <v>13.7</v>
      </c>
      <c r="J107" s="381">
        <v>15</v>
      </c>
      <c r="K107" s="381">
        <v>16.7</v>
      </c>
      <c r="L107" s="381">
        <v>18.899999999999999</v>
      </c>
      <c r="M107" s="381">
        <v>22</v>
      </c>
      <c r="N107" s="381">
        <v>26.4</v>
      </c>
      <c r="O107" s="381">
        <v>33.700000000000003</v>
      </c>
    </row>
    <row r="108" spans="1:15" ht="12.4" customHeight="1">
      <c r="A108" s="379">
        <v>159</v>
      </c>
      <c r="B108" s="382">
        <v>13.9</v>
      </c>
      <c r="C108" s="382">
        <v>15.1</v>
      </c>
      <c r="D108" s="382">
        <v>16.5</v>
      </c>
      <c r="E108" s="382">
        <v>18.399999999999999</v>
      </c>
      <c r="F108" s="386">
        <v>21.1</v>
      </c>
      <c r="G108" s="386">
        <v>25.1</v>
      </c>
      <c r="H108" s="382">
        <v>32.1</v>
      </c>
      <c r="I108" s="382">
        <v>13.7</v>
      </c>
      <c r="J108" s="382">
        <v>15.1</v>
      </c>
      <c r="K108" s="382">
        <v>16.8</v>
      </c>
      <c r="L108" s="382">
        <v>19</v>
      </c>
      <c r="M108" s="387">
        <v>22</v>
      </c>
      <c r="N108" s="387">
        <v>26.5</v>
      </c>
      <c r="O108" s="382">
        <v>33.799999999999997</v>
      </c>
    </row>
    <row r="109" spans="1:15" ht="12.4" customHeight="1">
      <c r="A109" s="379">
        <v>160</v>
      </c>
      <c r="B109" s="385">
        <v>14</v>
      </c>
      <c r="C109" s="385">
        <v>15.1</v>
      </c>
      <c r="D109" s="385">
        <v>16.600000000000001</v>
      </c>
      <c r="E109" s="385">
        <v>18.5</v>
      </c>
      <c r="F109" s="385">
        <v>21.1</v>
      </c>
      <c r="G109" s="385">
        <v>25.2</v>
      </c>
      <c r="H109" s="385">
        <v>32.200000000000003</v>
      </c>
      <c r="I109" s="385">
        <v>13.8</v>
      </c>
      <c r="J109" s="385">
        <v>15.1</v>
      </c>
      <c r="K109" s="385">
        <v>16.8</v>
      </c>
      <c r="L109" s="385">
        <v>19.100000000000001</v>
      </c>
      <c r="M109" s="385">
        <v>22.1</v>
      </c>
      <c r="N109" s="385">
        <v>26.6</v>
      </c>
      <c r="O109" s="385">
        <v>33.9</v>
      </c>
    </row>
    <row r="110" spans="1:15" ht="12.4" customHeight="1">
      <c r="A110" s="379">
        <v>161</v>
      </c>
      <c r="B110" s="381">
        <v>14</v>
      </c>
      <c r="C110" s="381">
        <v>15.2</v>
      </c>
      <c r="D110" s="381">
        <v>16.600000000000001</v>
      </c>
      <c r="E110" s="381">
        <v>18.600000000000001</v>
      </c>
      <c r="F110" s="381">
        <v>21.2</v>
      </c>
      <c r="G110" s="381">
        <v>25.2</v>
      </c>
      <c r="H110" s="381">
        <v>32.299999999999997</v>
      </c>
      <c r="I110" s="381">
        <v>13.8</v>
      </c>
      <c r="J110" s="381">
        <v>15.2</v>
      </c>
      <c r="K110" s="381">
        <v>16.899999999999999</v>
      </c>
      <c r="L110" s="381">
        <v>19.100000000000001</v>
      </c>
      <c r="M110" s="381">
        <v>22.2</v>
      </c>
      <c r="N110" s="381">
        <v>26.7</v>
      </c>
      <c r="O110" s="381">
        <v>34</v>
      </c>
    </row>
    <row r="111" spans="1:15" ht="12.4" customHeight="1">
      <c r="A111" s="379">
        <v>162</v>
      </c>
      <c r="B111" s="381">
        <v>14</v>
      </c>
      <c r="C111" s="381">
        <v>15.2</v>
      </c>
      <c r="D111" s="381">
        <v>16.7</v>
      </c>
      <c r="E111" s="381">
        <v>18.600000000000001</v>
      </c>
      <c r="F111" s="381">
        <v>21.3</v>
      </c>
      <c r="G111" s="381">
        <v>25.3</v>
      </c>
      <c r="H111" s="381">
        <v>32.4</v>
      </c>
      <c r="I111" s="381">
        <v>13.8</v>
      </c>
      <c r="J111" s="381">
        <v>15.2</v>
      </c>
      <c r="K111" s="381">
        <v>16.899999999999999</v>
      </c>
      <c r="L111" s="381">
        <v>19.2</v>
      </c>
      <c r="M111" s="381">
        <v>22.3</v>
      </c>
      <c r="N111" s="381">
        <v>26.8</v>
      </c>
      <c r="O111" s="381">
        <v>34.1</v>
      </c>
    </row>
    <row r="112" spans="1:15" ht="12.4" customHeight="1">
      <c r="A112" s="379">
        <v>163</v>
      </c>
      <c r="B112" s="381">
        <v>14.1</v>
      </c>
      <c r="C112" s="381">
        <v>15.2</v>
      </c>
      <c r="D112" s="381">
        <v>16.7</v>
      </c>
      <c r="E112" s="381">
        <v>18.7</v>
      </c>
      <c r="F112" s="381">
        <v>21.4</v>
      </c>
      <c r="G112" s="381">
        <v>25.4</v>
      </c>
      <c r="H112" s="381">
        <v>32.6</v>
      </c>
      <c r="I112" s="381">
        <v>13.9</v>
      </c>
      <c r="J112" s="381">
        <v>15.2</v>
      </c>
      <c r="K112" s="381">
        <v>17</v>
      </c>
      <c r="L112" s="381">
        <v>19.3</v>
      </c>
      <c r="M112" s="381">
        <v>22.4</v>
      </c>
      <c r="N112" s="381">
        <v>26.9</v>
      </c>
      <c r="O112" s="381">
        <v>34.200000000000003</v>
      </c>
    </row>
    <row r="113" spans="1:15" ht="12.4" customHeight="1">
      <c r="A113" s="379">
        <v>164</v>
      </c>
      <c r="B113" s="381">
        <v>14.1</v>
      </c>
      <c r="C113" s="381">
        <v>15.3</v>
      </c>
      <c r="D113" s="381">
        <v>16.8</v>
      </c>
      <c r="E113" s="381">
        <v>18.7</v>
      </c>
      <c r="F113" s="381">
        <v>21.5</v>
      </c>
      <c r="G113" s="381">
        <v>25.5</v>
      </c>
      <c r="H113" s="381">
        <v>32.700000000000003</v>
      </c>
      <c r="I113" s="381">
        <v>13.9</v>
      </c>
      <c r="J113" s="381">
        <v>15.3</v>
      </c>
      <c r="K113" s="381">
        <v>17</v>
      </c>
      <c r="L113" s="381">
        <v>19.3</v>
      </c>
      <c r="M113" s="381">
        <v>22.4</v>
      </c>
      <c r="N113" s="381">
        <v>27</v>
      </c>
      <c r="O113" s="381">
        <v>34.299999999999997</v>
      </c>
    </row>
    <row r="114" spans="1:15" ht="12.4" customHeight="1">
      <c r="A114" s="379">
        <v>165</v>
      </c>
      <c r="B114" s="381">
        <v>14.1</v>
      </c>
      <c r="C114" s="381">
        <v>15.3</v>
      </c>
      <c r="D114" s="381">
        <v>16.8</v>
      </c>
      <c r="E114" s="381">
        <v>18.8</v>
      </c>
      <c r="F114" s="381">
        <v>21.5</v>
      </c>
      <c r="G114" s="381">
        <v>25.6</v>
      </c>
      <c r="H114" s="381">
        <v>32.799999999999997</v>
      </c>
      <c r="I114" s="381">
        <v>13.9</v>
      </c>
      <c r="J114" s="381">
        <v>15.3</v>
      </c>
      <c r="K114" s="381">
        <v>17.100000000000001</v>
      </c>
      <c r="L114" s="381">
        <v>19.399999999999999</v>
      </c>
      <c r="M114" s="381">
        <v>22.5</v>
      </c>
      <c r="N114" s="381">
        <v>27.1</v>
      </c>
      <c r="O114" s="381">
        <v>34.4</v>
      </c>
    </row>
    <row r="115" spans="1:15" ht="12.4" customHeight="1">
      <c r="A115" s="379">
        <v>166</v>
      </c>
      <c r="B115" s="381">
        <v>14.2</v>
      </c>
      <c r="C115" s="381">
        <v>15.4</v>
      </c>
      <c r="D115" s="381">
        <v>16.899999999999999</v>
      </c>
      <c r="E115" s="381">
        <v>18.899999999999999</v>
      </c>
      <c r="F115" s="381">
        <v>21.6</v>
      </c>
      <c r="G115" s="381">
        <v>25.7</v>
      </c>
      <c r="H115" s="381">
        <v>32.9</v>
      </c>
      <c r="I115" s="381">
        <v>14</v>
      </c>
      <c r="J115" s="381">
        <v>15.4</v>
      </c>
      <c r="K115" s="381">
        <v>17.100000000000001</v>
      </c>
      <c r="L115" s="381">
        <v>19.399999999999999</v>
      </c>
      <c r="M115" s="381">
        <v>22.6</v>
      </c>
      <c r="N115" s="381">
        <v>27.1</v>
      </c>
      <c r="O115" s="381">
        <v>34.5</v>
      </c>
    </row>
    <row r="116" spans="1:15" ht="12.4" customHeight="1">
      <c r="A116" s="379">
        <v>167</v>
      </c>
      <c r="B116" s="381">
        <v>14.2</v>
      </c>
      <c r="C116" s="381">
        <v>15.4</v>
      </c>
      <c r="D116" s="381">
        <v>17</v>
      </c>
      <c r="E116" s="381">
        <v>18.899999999999999</v>
      </c>
      <c r="F116" s="381">
        <v>21.7</v>
      </c>
      <c r="G116" s="381">
        <v>25.8</v>
      </c>
      <c r="H116" s="381">
        <v>33</v>
      </c>
      <c r="I116" s="381">
        <v>14</v>
      </c>
      <c r="J116" s="381">
        <v>15.4</v>
      </c>
      <c r="K116" s="381">
        <v>17.2</v>
      </c>
      <c r="L116" s="381">
        <v>19.5</v>
      </c>
      <c r="M116" s="381">
        <v>22.7</v>
      </c>
      <c r="N116" s="381">
        <v>27.2</v>
      </c>
      <c r="O116" s="381">
        <v>34.6</v>
      </c>
    </row>
    <row r="117" spans="1:15" ht="12.4" customHeight="1">
      <c r="A117" s="379">
        <v>168</v>
      </c>
      <c r="B117" s="381">
        <v>14.3</v>
      </c>
      <c r="C117" s="381">
        <v>15.5</v>
      </c>
      <c r="D117" s="381">
        <v>17</v>
      </c>
      <c r="E117" s="381">
        <v>19</v>
      </c>
      <c r="F117" s="381">
        <v>21.8</v>
      </c>
      <c r="G117" s="381">
        <v>25.9</v>
      </c>
      <c r="H117" s="381">
        <v>33.1</v>
      </c>
      <c r="I117" s="381">
        <v>14</v>
      </c>
      <c r="J117" s="381">
        <v>15.4</v>
      </c>
      <c r="K117" s="381">
        <v>17.2</v>
      </c>
      <c r="L117" s="381">
        <v>19.600000000000001</v>
      </c>
      <c r="M117" s="381">
        <v>22.7</v>
      </c>
      <c r="N117" s="381">
        <v>27.3</v>
      </c>
      <c r="O117" s="381">
        <v>34.700000000000003</v>
      </c>
    </row>
    <row r="118" spans="1:15" ht="12.4" customHeight="1">
      <c r="A118" s="379">
        <v>169</v>
      </c>
      <c r="B118" s="381">
        <v>14.3</v>
      </c>
      <c r="C118" s="381">
        <v>15.5</v>
      </c>
      <c r="D118" s="381">
        <v>17.100000000000001</v>
      </c>
      <c r="E118" s="381">
        <v>19.100000000000001</v>
      </c>
      <c r="F118" s="381">
        <v>21.8</v>
      </c>
      <c r="G118" s="381">
        <v>26</v>
      </c>
      <c r="H118" s="381">
        <v>33.200000000000003</v>
      </c>
      <c r="I118" s="381">
        <v>14.1</v>
      </c>
      <c r="J118" s="381">
        <v>15.5</v>
      </c>
      <c r="K118" s="381">
        <v>17.3</v>
      </c>
      <c r="L118" s="381">
        <v>19.600000000000001</v>
      </c>
      <c r="M118" s="381">
        <v>22.8</v>
      </c>
      <c r="N118" s="381">
        <v>27.4</v>
      </c>
      <c r="O118" s="381">
        <v>34.700000000000003</v>
      </c>
    </row>
    <row r="119" spans="1:15" ht="12.4" customHeight="1">
      <c r="A119" s="379">
        <v>170</v>
      </c>
      <c r="B119" s="381">
        <v>14.3</v>
      </c>
      <c r="C119" s="381">
        <v>15.6</v>
      </c>
      <c r="D119" s="381">
        <v>17.100000000000001</v>
      </c>
      <c r="E119" s="381">
        <v>19.100000000000001</v>
      </c>
      <c r="F119" s="381">
        <v>21.9</v>
      </c>
      <c r="G119" s="381">
        <v>26.1</v>
      </c>
      <c r="H119" s="381">
        <v>33.299999999999997</v>
      </c>
      <c r="I119" s="381">
        <v>14.1</v>
      </c>
      <c r="J119" s="381">
        <v>15.5</v>
      </c>
      <c r="K119" s="381">
        <v>17.3</v>
      </c>
      <c r="L119" s="381">
        <v>19.7</v>
      </c>
      <c r="M119" s="381">
        <v>22.9</v>
      </c>
      <c r="N119" s="381">
        <v>27.5</v>
      </c>
      <c r="O119" s="381">
        <v>34.799999999999997</v>
      </c>
    </row>
    <row r="120" spans="1:15" ht="12.4" customHeight="1">
      <c r="A120" s="379">
        <v>171</v>
      </c>
      <c r="B120" s="381">
        <v>14.4</v>
      </c>
      <c r="C120" s="381">
        <v>15.6</v>
      </c>
      <c r="D120" s="381">
        <v>17.2</v>
      </c>
      <c r="E120" s="381">
        <v>19.2</v>
      </c>
      <c r="F120" s="381">
        <v>22</v>
      </c>
      <c r="G120" s="381">
        <v>26.2</v>
      </c>
      <c r="H120" s="381">
        <v>33.4</v>
      </c>
      <c r="I120" s="381">
        <v>14.1</v>
      </c>
      <c r="J120" s="381">
        <v>15.6</v>
      </c>
      <c r="K120" s="381">
        <v>17.399999999999999</v>
      </c>
      <c r="L120" s="381">
        <v>19.7</v>
      </c>
      <c r="M120" s="381">
        <v>22.9</v>
      </c>
      <c r="N120" s="381">
        <v>27.6</v>
      </c>
      <c r="O120" s="381">
        <v>34.9</v>
      </c>
    </row>
    <row r="121" spans="1:15" ht="12.4" customHeight="1">
      <c r="A121" s="379">
        <v>172</v>
      </c>
      <c r="B121" s="381">
        <v>14.4</v>
      </c>
      <c r="C121" s="381">
        <v>15.7</v>
      </c>
      <c r="D121" s="381">
        <v>17.2</v>
      </c>
      <c r="E121" s="381">
        <v>19.3</v>
      </c>
      <c r="F121" s="381">
        <v>22.1</v>
      </c>
      <c r="G121" s="381">
        <v>26.3</v>
      </c>
      <c r="H121" s="381">
        <v>33.5</v>
      </c>
      <c r="I121" s="381">
        <v>14.1</v>
      </c>
      <c r="J121" s="381">
        <v>15.6</v>
      </c>
      <c r="K121" s="381">
        <v>17.399999999999999</v>
      </c>
      <c r="L121" s="381">
        <v>19.8</v>
      </c>
      <c r="M121" s="381">
        <v>23</v>
      </c>
      <c r="N121" s="381">
        <v>27.7</v>
      </c>
      <c r="O121" s="381">
        <v>35</v>
      </c>
    </row>
    <row r="122" spans="1:15" ht="12.4" customHeight="1">
      <c r="A122" s="379">
        <v>173</v>
      </c>
      <c r="B122" s="381">
        <v>14.5</v>
      </c>
      <c r="C122" s="381">
        <v>15.7</v>
      </c>
      <c r="D122" s="381">
        <v>17.3</v>
      </c>
      <c r="E122" s="381">
        <v>19.3</v>
      </c>
      <c r="F122" s="381">
        <v>22.2</v>
      </c>
      <c r="G122" s="381">
        <v>26.4</v>
      </c>
      <c r="H122" s="381">
        <v>33.5</v>
      </c>
      <c r="I122" s="381">
        <v>14.2</v>
      </c>
      <c r="J122" s="381">
        <v>15.6</v>
      </c>
      <c r="K122" s="381">
        <v>17.5</v>
      </c>
      <c r="L122" s="381">
        <v>19.899999999999999</v>
      </c>
      <c r="M122" s="381">
        <v>23.1</v>
      </c>
      <c r="N122" s="381">
        <v>27.7</v>
      </c>
      <c r="O122" s="381">
        <v>35.1</v>
      </c>
    </row>
    <row r="123" spans="1:15" ht="12.4" customHeight="1">
      <c r="A123" s="379">
        <v>174</v>
      </c>
      <c r="B123" s="381">
        <v>14.5</v>
      </c>
      <c r="C123" s="381">
        <v>15.7</v>
      </c>
      <c r="D123" s="381">
        <v>17.3</v>
      </c>
      <c r="E123" s="381">
        <v>19.399999999999999</v>
      </c>
      <c r="F123" s="381">
        <v>22.2</v>
      </c>
      <c r="G123" s="381">
        <v>26.5</v>
      </c>
      <c r="H123" s="381">
        <v>33.6</v>
      </c>
      <c r="I123" s="381">
        <v>14.2</v>
      </c>
      <c r="J123" s="381">
        <v>15.7</v>
      </c>
      <c r="K123" s="381">
        <v>17.5</v>
      </c>
      <c r="L123" s="381">
        <v>19.899999999999999</v>
      </c>
      <c r="M123" s="381">
        <v>23.1</v>
      </c>
      <c r="N123" s="381">
        <v>27.8</v>
      </c>
      <c r="O123" s="381">
        <v>35.1</v>
      </c>
    </row>
    <row r="124" spans="1:15" ht="12.4" customHeight="1">
      <c r="A124" s="379">
        <v>175</v>
      </c>
      <c r="B124" s="381">
        <v>14.5</v>
      </c>
      <c r="C124" s="381">
        <v>15.8</v>
      </c>
      <c r="D124" s="381">
        <v>17.399999999999999</v>
      </c>
      <c r="E124" s="381">
        <v>19.5</v>
      </c>
      <c r="F124" s="381">
        <v>22.3</v>
      </c>
      <c r="G124" s="381">
        <v>26.5</v>
      </c>
      <c r="H124" s="381">
        <v>33.700000000000003</v>
      </c>
      <c r="I124" s="381">
        <v>14.2</v>
      </c>
      <c r="J124" s="381">
        <v>15.7</v>
      </c>
      <c r="K124" s="381">
        <v>17.600000000000001</v>
      </c>
      <c r="L124" s="381">
        <v>20</v>
      </c>
      <c r="M124" s="381">
        <v>23.2</v>
      </c>
      <c r="N124" s="381">
        <v>27.9</v>
      </c>
      <c r="O124" s="381">
        <v>35.200000000000003</v>
      </c>
    </row>
    <row r="125" spans="1:15" ht="12.4" customHeight="1">
      <c r="A125" s="379">
        <v>176</v>
      </c>
      <c r="B125" s="381">
        <v>14.6</v>
      </c>
      <c r="C125" s="381">
        <v>15.8</v>
      </c>
      <c r="D125" s="381">
        <v>17.399999999999999</v>
      </c>
      <c r="E125" s="381">
        <v>19.5</v>
      </c>
      <c r="F125" s="381">
        <v>22.4</v>
      </c>
      <c r="G125" s="381">
        <v>26.6</v>
      </c>
      <c r="H125" s="381">
        <v>33.799999999999997</v>
      </c>
      <c r="I125" s="381">
        <v>14.3</v>
      </c>
      <c r="J125" s="381">
        <v>15.7</v>
      </c>
      <c r="K125" s="381">
        <v>17.600000000000001</v>
      </c>
      <c r="L125" s="381">
        <v>20</v>
      </c>
      <c r="M125" s="381">
        <v>23.3</v>
      </c>
      <c r="N125" s="381">
        <v>28</v>
      </c>
      <c r="O125" s="381">
        <v>35.299999999999997</v>
      </c>
    </row>
    <row r="126" spans="1:15" ht="12.4" customHeight="1">
      <c r="A126" s="379">
        <v>177</v>
      </c>
      <c r="B126" s="381">
        <v>14.6</v>
      </c>
      <c r="C126" s="381">
        <v>15.9</v>
      </c>
      <c r="D126" s="381">
        <v>17.5</v>
      </c>
      <c r="E126" s="381">
        <v>19.600000000000001</v>
      </c>
      <c r="F126" s="381">
        <v>22.5</v>
      </c>
      <c r="G126" s="381">
        <v>26.7</v>
      </c>
      <c r="H126" s="381">
        <v>33.9</v>
      </c>
      <c r="I126" s="381">
        <v>14.3</v>
      </c>
      <c r="J126" s="381">
        <v>15.8</v>
      </c>
      <c r="K126" s="381">
        <v>17.600000000000001</v>
      </c>
      <c r="L126" s="381">
        <v>20.100000000000001</v>
      </c>
      <c r="M126" s="381">
        <v>23.3</v>
      </c>
      <c r="N126" s="381">
        <v>28</v>
      </c>
      <c r="O126" s="381">
        <v>35.4</v>
      </c>
    </row>
    <row r="127" spans="1:15" ht="12.4" customHeight="1">
      <c r="A127" s="379">
        <v>178</v>
      </c>
      <c r="B127" s="381">
        <v>14.6</v>
      </c>
      <c r="C127" s="381">
        <v>15.9</v>
      </c>
      <c r="D127" s="381">
        <v>17.5</v>
      </c>
      <c r="E127" s="381">
        <v>19.600000000000001</v>
      </c>
      <c r="F127" s="381">
        <v>22.5</v>
      </c>
      <c r="G127" s="381">
        <v>26.8</v>
      </c>
      <c r="H127" s="381">
        <v>33.9</v>
      </c>
      <c r="I127" s="381">
        <v>14.3</v>
      </c>
      <c r="J127" s="381">
        <v>15.8</v>
      </c>
      <c r="K127" s="381">
        <v>17.7</v>
      </c>
      <c r="L127" s="381">
        <v>20.100000000000001</v>
      </c>
      <c r="M127" s="381">
        <v>23.4</v>
      </c>
      <c r="N127" s="381">
        <v>28.1</v>
      </c>
      <c r="O127" s="381">
        <v>35.4</v>
      </c>
    </row>
    <row r="128" spans="1:15" ht="12.4" customHeight="1">
      <c r="A128" s="379">
        <v>179</v>
      </c>
      <c r="B128" s="381">
        <v>14.7</v>
      </c>
      <c r="C128" s="381">
        <v>16</v>
      </c>
      <c r="D128" s="381">
        <v>17.600000000000001</v>
      </c>
      <c r="E128" s="381">
        <v>19.7</v>
      </c>
      <c r="F128" s="381">
        <v>22.6</v>
      </c>
      <c r="G128" s="381">
        <v>26.9</v>
      </c>
      <c r="H128" s="381">
        <v>34</v>
      </c>
      <c r="I128" s="381">
        <v>14.3</v>
      </c>
      <c r="J128" s="381">
        <v>15.8</v>
      </c>
      <c r="K128" s="381">
        <v>17.7</v>
      </c>
      <c r="L128" s="381">
        <v>20.2</v>
      </c>
      <c r="M128" s="381">
        <v>23.5</v>
      </c>
      <c r="N128" s="381">
        <v>28.2</v>
      </c>
      <c r="O128" s="381">
        <v>35.5</v>
      </c>
    </row>
    <row r="129" spans="1:15" ht="12.4" customHeight="1">
      <c r="A129" s="379">
        <v>180</v>
      </c>
      <c r="B129" s="381">
        <v>14.7</v>
      </c>
      <c r="C129" s="381">
        <v>16</v>
      </c>
      <c r="D129" s="381">
        <v>17.600000000000001</v>
      </c>
      <c r="E129" s="381">
        <v>19.8</v>
      </c>
      <c r="F129" s="381">
        <v>22.7</v>
      </c>
      <c r="G129" s="381">
        <v>27</v>
      </c>
      <c r="H129" s="381">
        <v>34.1</v>
      </c>
      <c r="I129" s="381">
        <v>14.4</v>
      </c>
      <c r="J129" s="381">
        <v>15.9</v>
      </c>
      <c r="K129" s="381">
        <v>17.8</v>
      </c>
      <c r="L129" s="381">
        <v>20.2</v>
      </c>
      <c r="M129" s="381">
        <v>23.5</v>
      </c>
      <c r="N129" s="381">
        <v>28.2</v>
      </c>
      <c r="O129" s="381">
        <v>35.5</v>
      </c>
    </row>
    <row r="130" spans="1:15" ht="12.4" customHeight="1">
      <c r="A130" s="379">
        <v>181</v>
      </c>
      <c r="B130" s="381">
        <v>14.7</v>
      </c>
      <c r="C130" s="381">
        <v>16.100000000000001</v>
      </c>
      <c r="D130" s="381">
        <v>17.7</v>
      </c>
      <c r="E130" s="381">
        <v>19.8</v>
      </c>
      <c r="F130" s="381">
        <v>22.8</v>
      </c>
      <c r="G130" s="381">
        <v>27.1</v>
      </c>
      <c r="H130" s="381">
        <v>34.1</v>
      </c>
      <c r="I130" s="381">
        <v>14.4</v>
      </c>
      <c r="J130" s="381">
        <v>15.9</v>
      </c>
      <c r="K130" s="381">
        <v>17.8</v>
      </c>
      <c r="L130" s="381">
        <v>20.3</v>
      </c>
      <c r="M130" s="381">
        <v>23.6</v>
      </c>
      <c r="N130" s="381">
        <v>28.3</v>
      </c>
      <c r="O130" s="381">
        <v>35.6</v>
      </c>
    </row>
    <row r="131" spans="1:15" ht="12.4" customHeight="1">
      <c r="A131" s="379">
        <v>182</v>
      </c>
      <c r="B131" s="381">
        <v>14.8</v>
      </c>
      <c r="C131" s="381">
        <v>16.100000000000001</v>
      </c>
      <c r="D131" s="381">
        <v>17.8</v>
      </c>
      <c r="E131" s="381">
        <v>19.899999999999999</v>
      </c>
      <c r="F131" s="381">
        <v>22.8</v>
      </c>
      <c r="G131" s="381">
        <v>27.1</v>
      </c>
      <c r="H131" s="381">
        <v>34.200000000000003</v>
      </c>
      <c r="I131" s="381">
        <v>14.4</v>
      </c>
      <c r="J131" s="381">
        <v>15.9</v>
      </c>
      <c r="K131" s="381">
        <v>17.8</v>
      </c>
      <c r="L131" s="381">
        <v>20.3</v>
      </c>
      <c r="M131" s="381">
        <v>23.6</v>
      </c>
      <c r="N131" s="381">
        <v>28.4</v>
      </c>
      <c r="O131" s="381">
        <v>35.700000000000003</v>
      </c>
    </row>
    <row r="132" spans="1:15" ht="12.4" customHeight="1">
      <c r="A132" s="379">
        <v>183</v>
      </c>
      <c r="B132" s="382">
        <v>14.8</v>
      </c>
      <c r="C132" s="382">
        <v>16.100000000000001</v>
      </c>
      <c r="D132" s="382">
        <v>17.8</v>
      </c>
      <c r="E132" s="382">
        <v>20</v>
      </c>
      <c r="F132" s="386">
        <v>22.9</v>
      </c>
      <c r="G132" s="386">
        <v>27.2</v>
      </c>
      <c r="H132" s="382">
        <v>34.299999999999997</v>
      </c>
      <c r="I132" s="382">
        <v>14.4</v>
      </c>
      <c r="J132" s="382">
        <v>16</v>
      </c>
      <c r="K132" s="382">
        <v>17.899999999999999</v>
      </c>
      <c r="L132" s="382">
        <v>20.399999999999999</v>
      </c>
      <c r="M132" s="387">
        <v>23.7</v>
      </c>
      <c r="N132" s="387">
        <v>28.4</v>
      </c>
      <c r="O132" s="382">
        <v>35.700000000000003</v>
      </c>
    </row>
    <row r="133" spans="1:15" ht="12.4" customHeight="1">
      <c r="A133" s="379">
        <v>184</v>
      </c>
      <c r="B133" s="385">
        <v>14.8</v>
      </c>
      <c r="C133" s="385">
        <v>16.2</v>
      </c>
      <c r="D133" s="385">
        <v>17.899999999999999</v>
      </c>
      <c r="E133" s="385">
        <v>20</v>
      </c>
      <c r="F133" s="385">
        <v>23</v>
      </c>
      <c r="G133" s="385">
        <v>27.3</v>
      </c>
      <c r="H133" s="385">
        <v>34.299999999999997</v>
      </c>
      <c r="I133" s="385">
        <v>14.5</v>
      </c>
      <c r="J133" s="385">
        <v>16</v>
      </c>
      <c r="K133" s="385">
        <v>17.899999999999999</v>
      </c>
      <c r="L133" s="385">
        <v>20.399999999999999</v>
      </c>
      <c r="M133" s="385">
        <v>23.7</v>
      </c>
      <c r="N133" s="385">
        <v>28.5</v>
      </c>
      <c r="O133" s="385">
        <v>35.799999999999997</v>
      </c>
    </row>
    <row r="134" spans="1:15" ht="12.4" customHeight="1">
      <c r="A134" s="379">
        <v>185</v>
      </c>
      <c r="B134" s="381">
        <v>14.9</v>
      </c>
      <c r="C134" s="381">
        <v>16.2</v>
      </c>
      <c r="D134" s="381">
        <v>17.899999999999999</v>
      </c>
      <c r="E134" s="381">
        <v>20.100000000000001</v>
      </c>
      <c r="F134" s="381">
        <v>23</v>
      </c>
      <c r="G134" s="381">
        <v>27.4</v>
      </c>
      <c r="H134" s="381">
        <v>34.4</v>
      </c>
      <c r="I134" s="381">
        <v>14.5</v>
      </c>
      <c r="J134" s="381">
        <v>16</v>
      </c>
      <c r="K134" s="381">
        <v>17.899999999999999</v>
      </c>
      <c r="L134" s="381">
        <v>20.399999999999999</v>
      </c>
      <c r="M134" s="381">
        <v>23.8</v>
      </c>
      <c r="N134" s="381">
        <v>28.5</v>
      </c>
      <c r="O134" s="381">
        <v>35.799999999999997</v>
      </c>
    </row>
    <row r="135" spans="1:15" ht="12.4" customHeight="1">
      <c r="A135" s="379">
        <v>186</v>
      </c>
      <c r="B135" s="381">
        <v>14.9</v>
      </c>
      <c r="C135" s="381">
        <v>16.3</v>
      </c>
      <c r="D135" s="381">
        <v>18</v>
      </c>
      <c r="E135" s="381">
        <v>20.100000000000001</v>
      </c>
      <c r="F135" s="381">
        <v>23.1</v>
      </c>
      <c r="G135" s="381">
        <v>27.4</v>
      </c>
      <c r="H135" s="381">
        <v>34.5</v>
      </c>
      <c r="I135" s="381">
        <v>14.5</v>
      </c>
      <c r="J135" s="381">
        <v>16</v>
      </c>
      <c r="K135" s="381">
        <v>18</v>
      </c>
      <c r="L135" s="381">
        <v>20.5</v>
      </c>
      <c r="M135" s="381">
        <v>23.8</v>
      </c>
      <c r="N135" s="381">
        <v>28.6</v>
      </c>
      <c r="O135" s="381">
        <v>35.799999999999997</v>
      </c>
    </row>
    <row r="136" spans="1:15" ht="12.4" customHeight="1">
      <c r="A136" s="379">
        <v>187</v>
      </c>
      <c r="B136" s="381">
        <v>15</v>
      </c>
      <c r="C136" s="381">
        <v>16.3</v>
      </c>
      <c r="D136" s="381">
        <v>18</v>
      </c>
      <c r="E136" s="381">
        <v>20.2</v>
      </c>
      <c r="F136" s="381">
        <v>23.2</v>
      </c>
      <c r="G136" s="381">
        <v>27.5</v>
      </c>
      <c r="H136" s="381">
        <v>34.5</v>
      </c>
      <c r="I136" s="381">
        <v>14.5</v>
      </c>
      <c r="J136" s="381">
        <v>16.100000000000001</v>
      </c>
      <c r="K136" s="381">
        <v>18</v>
      </c>
      <c r="L136" s="381">
        <v>20.5</v>
      </c>
      <c r="M136" s="381">
        <v>23.9</v>
      </c>
      <c r="N136" s="381">
        <v>28.6</v>
      </c>
      <c r="O136" s="381">
        <v>35.9</v>
      </c>
    </row>
    <row r="137" spans="1:15" ht="12.4" customHeight="1">
      <c r="A137" s="379">
        <v>188</v>
      </c>
      <c r="B137" s="381">
        <v>15</v>
      </c>
      <c r="C137" s="381">
        <v>16.3</v>
      </c>
      <c r="D137" s="381">
        <v>18.100000000000001</v>
      </c>
      <c r="E137" s="381">
        <v>20.3</v>
      </c>
      <c r="F137" s="381">
        <v>23.3</v>
      </c>
      <c r="G137" s="381">
        <v>27.6</v>
      </c>
      <c r="H137" s="381">
        <v>34.6</v>
      </c>
      <c r="I137" s="381">
        <v>14.5</v>
      </c>
      <c r="J137" s="381">
        <v>16.100000000000001</v>
      </c>
      <c r="K137" s="381">
        <v>18</v>
      </c>
      <c r="L137" s="381">
        <v>20.6</v>
      </c>
      <c r="M137" s="381">
        <v>23.9</v>
      </c>
      <c r="N137" s="381">
        <v>28.7</v>
      </c>
      <c r="O137" s="381">
        <v>35.9</v>
      </c>
    </row>
    <row r="138" spans="1:15" ht="12.4" customHeight="1">
      <c r="A138" s="379">
        <v>189</v>
      </c>
      <c r="B138" s="381">
        <v>15</v>
      </c>
      <c r="C138" s="381">
        <v>16.399999999999999</v>
      </c>
      <c r="D138" s="381">
        <v>18.100000000000001</v>
      </c>
      <c r="E138" s="381">
        <v>20.3</v>
      </c>
      <c r="F138" s="381">
        <v>23.3</v>
      </c>
      <c r="G138" s="381">
        <v>27.7</v>
      </c>
      <c r="H138" s="381">
        <v>34.6</v>
      </c>
      <c r="I138" s="381">
        <v>14.5</v>
      </c>
      <c r="J138" s="381">
        <v>16.100000000000001</v>
      </c>
      <c r="K138" s="381">
        <v>18.100000000000001</v>
      </c>
      <c r="L138" s="381">
        <v>20.6</v>
      </c>
      <c r="M138" s="381">
        <v>24</v>
      </c>
      <c r="N138" s="381">
        <v>28.7</v>
      </c>
      <c r="O138" s="381">
        <v>36</v>
      </c>
    </row>
    <row r="139" spans="1:15" ht="12.4" customHeight="1">
      <c r="A139" s="379">
        <v>190</v>
      </c>
      <c r="B139" s="381">
        <v>15</v>
      </c>
      <c r="C139" s="381">
        <v>16.399999999999999</v>
      </c>
      <c r="D139" s="381">
        <v>18.2</v>
      </c>
      <c r="E139" s="381">
        <v>20.399999999999999</v>
      </c>
      <c r="F139" s="381">
        <v>23.4</v>
      </c>
      <c r="G139" s="381">
        <v>27.7</v>
      </c>
      <c r="H139" s="381">
        <v>34.700000000000003</v>
      </c>
      <c r="I139" s="381">
        <v>14.6</v>
      </c>
      <c r="J139" s="381">
        <v>16.100000000000001</v>
      </c>
      <c r="K139" s="381">
        <v>18.100000000000001</v>
      </c>
      <c r="L139" s="381">
        <v>20.6</v>
      </c>
      <c r="M139" s="381">
        <v>24</v>
      </c>
      <c r="N139" s="381">
        <v>28.8</v>
      </c>
      <c r="O139" s="381">
        <v>36</v>
      </c>
    </row>
    <row r="140" spans="1:15" ht="12.4" customHeight="1">
      <c r="A140" s="379">
        <v>191</v>
      </c>
      <c r="B140" s="381">
        <v>15.1</v>
      </c>
      <c r="C140" s="381">
        <v>16.5</v>
      </c>
      <c r="D140" s="381">
        <v>18.2</v>
      </c>
      <c r="E140" s="381">
        <v>20.399999999999999</v>
      </c>
      <c r="F140" s="381">
        <v>23.5</v>
      </c>
      <c r="G140" s="381">
        <v>27.8</v>
      </c>
      <c r="H140" s="381">
        <v>34.700000000000003</v>
      </c>
      <c r="I140" s="381">
        <v>14.6</v>
      </c>
      <c r="J140" s="381">
        <v>16.2</v>
      </c>
      <c r="K140" s="381">
        <v>18.100000000000001</v>
      </c>
      <c r="L140" s="381">
        <v>20.7</v>
      </c>
      <c r="M140" s="381">
        <v>24.1</v>
      </c>
      <c r="N140" s="381">
        <v>28.8</v>
      </c>
      <c r="O140" s="381">
        <v>36</v>
      </c>
    </row>
    <row r="141" spans="1:15" ht="12.4" customHeight="1">
      <c r="A141" s="379">
        <v>192</v>
      </c>
      <c r="B141" s="381">
        <v>15.1</v>
      </c>
      <c r="C141" s="381">
        <v>16.5</v>
      </c>
      <c r="D141" s="381">
        <v>18.2</v>
      </c>
      <c r="E141" s="381">
        <v>20.5</v>
      </c>
      <c r="F141" s="381">
        <v>23.5</v>
      </c>
      <c r="G141" s="381">
        <v>27.9</v>
      </c>
      <c r="H141" s="381">
        <v>34.799999999999997</v>
      </c>
      <c r="I141" s="381">
        <v>14.6</v>
      </c>
      <c r="J141" s="381">
        <v>16.2</v>
      </c>
      <c r="K141" s="381">
        <v>18.2</v>
      </c>
      <c r="L141" s="381">
        <v>20.7</v>
      </c>
      <c r="M141" s="381">
        <v>24.1</v>
      </c>
      <c r="N141" s="381">
        <v>28.9</v>
      </c>
      <c r="O141" s="381">
        <v>36.1</v>
      </c>
    </row>
    <row r="142" spans="1:15" ht="12.4" customHeight="1">
      <c r="A142" s="379">
        <v>193</v>
      </c>
      <c r="B142" s="381">
        <v>15.1</v>
      </c>
      <c r="C142" s="381">
        <v>16.5</v>
      </c>
      <c r="D142" s="381">
        <v>18.3</v>
      </c>
      <c r="E142" s="381">
        <v>20.6</v>
      </c>
      <c r="F142" s="381">
        <v>23.6</v>
      </c>
      <c r="G142" s="381">
        <v>27.9</v>
      </c>
      <c r="H142" s="381">
        <v>34.799999999999997</v>
      </c>
      <c r="I142" s="381">
        <v>14.6</v>
      </c>
      <c r="J142" s="381">
        <v>16.2</v>
      </c>
      <c r="K142" s="381">
        <v>18.2</v>
      </c>
      <c r="L142" s="381">
        <v>20.7</v>
      </c>
      <c r="M142" s="381">
        <v>24.1</v>
      </c>
      <c r="N142" s="381">
        <v>28.9</v>
      </c>
      <c r="O142" s="381">
        <v>36.1</v>
      </c>
    </row>
    <row r="143" spans="1:15" ht="12.4" customHeight="1">
      <c r="A143" s="379">
        <v>194</v>
      </c>
      <c r="B143" s="381">
        <v>15.2</v>
      </c>
      <c r="C143" s="381">
        <v>16.600000000000001</v>
      </c>
      <c r="D143" s="381">
        <v>18.3</v>
      </c>
      <c r="E143" s="381">
        <v>20.6</v>
      </c>
      <c r="F143" s="381">
        <v>23.7</v>
      </c>
      <c r="G143" s="381">
        <v>28</v>
      </c>
      <c r="H143" s="381">
        <v>34.799999999999997</v>
      </c>
      <c r="I143" s="381">
        <v>14.6</v>
      </c>
      <c r="J143" s="381">
        <v>16.2</v>
      </c>
      <c r="K143" s="381">
        <v>18.2</v>
      </c>
      <c r="L143" s="381">
        <v>20.8</v>
      </c>
      <c r="M143" s="381">
        <v>24.2</v>
      </c>
      <c r="N143" s="381">
        <v>29</v>
      </c>
      <c r="O143" s="381">
        <v>36.1</v>
      </c>
    </row>
    <row r="144" spans="1:15" ht="12.4" customHeight="1">
      <c r="A144" s="379">
        <v>195</v>
      </c>
      <c r="B144" s="381">
        <v>15.2</v>
      </c>
      <c r="C144" s="381">
        <v>16.600000000000001</v>
      </c>
      <c r="D144" s="381">
        <v>18.399999999999999</v>
      </c>
      <c r="E144" s="381">
        <v>20.7</v>
      </c>
      <c r="F144" s="381">
        <v>23.7</v>
      </c>
      <c r="G144" s="381">
        <v>28.1</v>
      </c>
      <c r="H144" s="381">
        <v>34.9</v>
      </c>
      <c r="I144" s="381">
        <v>14.6</v>
      </c>
      <c r="J144" s="381">
        <v>16.2</v>
      </c>
      <c r="K144" s="381">
        <v>18.2</v>
      </c>
      <c r="L144" s="381">
        <v>20.8</v>
      </c>
      <c r="M144" s="381">
        <v>24.2</v>
      </c>
      <c r="N144" s="381">
        <v>29</v>
      </c>
      <c r="O144" s="381">
        <v>36.1</v>
      </c>
    </row>
    <row r="145" spans="1:15" ht="12.4" customHeight="1">
      <c r="A145" s="379">
        <v>196</v>
      </c>
      <c r="B145" s="381">
        <v>15.2</v>
      </c>
      <c r="C145" s="381">
        <v>16.7</v>
      </c>
      <c r="D145" s="381">
        <v>18.399999999999999</v>
      </c>
      <c r="E145" s="381">
        <v>20.7</v>
      </c>
      <c r="F145" s="381">
        <v>23.8</v>
      </c>
      <c r="G145" s="381">
        <v>28.1</v>
      </c>
      <c r="H145" s="381">
        <v>34.9</v>
      </c>
      <c r="I145" s="381">
        <v>14.6</v>
      </c>
      <c r="J145" s="381">
        <v>16.2</v>
      </c>
      <c r="K145" s="381">
        <v>18.3</v>
      </c>
      <c r="L145" s="381">
        <v>20.8</v>
      </c>
      <c r="M145" s="381">
        <v>24.3</v>
      </c>
      <c r="N145" s="381">
        <v>29</v>
      </c>
      <c r="O145" s="381">
        <v>36.200000000000003</v>
      </c>
    </row>
    <row r="146" spans="1:15" ht="12.4" customHeight="1">
      <c r="A146" s="379">
        <v>197</v>
      </c>
      <c r="B146" s="381">
        <v>15.3</v>
      </c>
      <c r="C146" s="381">
        <v>16.7</v>
      </c>
      <c r="D146" s="381">
        <v>18.5</v>
      </c>
      <c r="E146" s="381">
        <v>20.8</v>
      </c>
      <c r="F146" s="381">
        <v>23.8</v>
      </c>
      <c r="G146" s="381">
        <v>28.2</v>
      </c>
      <c r="H146" s="381">
        <v>35</v>
      </c>
      <c r="I146" s="381">
        <v>14.6</v>
      </c>
      <c r="J146" s="381">
        <v>16.3</v>
      </c>
      <c r="K146" s="381">
        <v>18.3</v>
      </c>
      <c r="L146" s="381">
        <v>20.9</v>
      </c>
      <c r="M146" s="381">
        <v>24.3</v>
      </c>
      <c r="N146" s="381">
        <v>29.1</v>
      </c>
      <c r="O146" s="381">
        <v>36.200000000000003</v>
      </c>
    </row>
    <row r="147" spans="1:15" ht="12.4" customHeight="1">
      <c r="A147" s="379">
        <v>198</v>
      </c>
      <c r="B147" s="381">
        <v>15.3</v>
      </c>
      <c r="C147" s="381">
        <v>16.7</v>
      </c>
      <c r="D147" s="381">
        <v>18.5</v>
      </c>
      <c r="E147" s="381">
        <v>20.8</v>
      </c>
      <c r="F147" s="381">
        <v>23.9</v>
      </c>
      <c r="G147" s="381">
        <v>28.3</v>
      </c>
      <c r="H147" s="381">
        <v>35</v>
      </c>
      <c r="I147" s="381">
        <v>14.7</v>
      </c>
      <c r="J147" s="381">
        <v>16.3</v>
      </c>
      <c r="K147" s="381">
        <v>18.3</v>
      </c>
      <c r="L147" s="381">
        <v>20.9</v>
      </c>
      <c r="M147" s="381">
        <v>24.3</v>
      </c>
      <c r="N147" s="381">
        <v>29.1</v>
      </c>
      <c r="O147" s="381">
        <v>36.200000000000003</v>
      </c>
    </row>
    <row r="148" spans="1:15" ht="12.4" customHeight="1">
      <c r="A148" s="379">
        <v>199</v>
      </c>
      <c r="B148" s="381">
        <v>15.3</v>
      </c>
      <c r="C148" s="381">
        <v>16.8</v>
      </c>
      <c r="D148" s="381">
        <v>18.600000000000001</v>
      </c>
      <c r="E148" s="381">
        <v>20.9</v>
      </c>
      <c r="F148" s="381">
        <v>24</v>
      </c>
      <c r="G148" s="381">
        <v>28.3</v>
      </c>
      <c r="H148" s="381">
        <v>35</v>
      </c>
      <c r="I148" s="381">
        <v>14.7</v>
      </c>
      <c r="J148" s="381">
        <v>16.3</v>
      </c>
      <c r="K148" s="381">
        <v>18.3</v>
      </c>
      <c r="L148" s="381">
        <v>20.9</v>
      </c>
      <c r="M148" s="381">
        <v>24.4</v>
      </c>
      <c r="N148" s="381">
        <v>29.1</v>
      </c>
      <c r="O148" s="381">
        <v>36.200000000000003</v>
      </c>
    </row>
    <row r="149" spans="1:15" ht="12.4" customHeight="1">
      <c r="A149" s="379">
        <v>200</v>
      </c>
      <c r="B149" s="381">
        <v>15.3</v>
      </c>
      <c r="C149" s="381">
        <v>16.8</v>
      </c>
      <c r="D149" s="381">
        <v>18.600000000000001</v>
      </c>
      <c r="E149" s="381">
        <v>20.9</v>
      </c>
      <c r="F149" s="381">
        <v>24</v>
      </c>
      <c r="G149" s="381">
        <v>28.4</v>
      </c>
      <c r="H149" s="381">
        <v>35.1</v>
      </c>
      <c r="I149" s="381">
        <v>14.7</v>
      </c>
      <c r="J149" s="381">
        <v>16.3</v>
      </c>
      <c r="K149" s="381">
        <v>18.3</v>
      </c>
      <c r="L149" s="381">
        <v>20.9</v>
      </c>
      <c r="M149" s="381">
        <v>24.4</v>
      </c>
      <c r="N149" s="381">
        <v>29.2</v>
      </c>
      <c r="O149" s="381">
        <v>36.200000000000003</v>
      </c>
    </row>
    <row r="150" spans="1:15" ht="12.4" customHeight="1">
      <c r="A150" s="379">
        <v>201</v>
      </c>
      <c r="B150" s="381">
        <v>15.4</v>
      </c>
      <c r="C150" s="381">
        <v>16.8</v>
      </c>
      <c r="D150" s="381">
        <v>18.7</v>
      </c>
      <c r="E150" s="381">
        <v>21</v>
      </c>
      <c r="F150" s="381">
        <v>24.1</v>
      </c>
      <c r="G150" s="381">
        <v>28.5</v>
      </c>
      <c r="H150" s="381">
        <v>35.1</v>
      </c>
      <c r="I150" s="381">
        <v>14.7</v>
      </c>
      <c r="J150" s="381">
        <v>16.3</v>
      </c>
      <c r="K150" s="381">
        <v>18.399999999999999</v>
      </c>
      <c r="L150" s="381">
        <v>21</v>
      </c>
      <c r="M150" s="381">
        <v>24.4</v>
      </c>
      <c r="N150" s="381">
        <v>29.2</v>
      </c>
      <c r="O150" s="381">
        <v>36.299999999999997</v>
      </c>
    </row>
    <row r="151" spans="1:15" ht="12.4" customHeight="1">
      <c r="A151" s="379">
        <v>202</v>
      </c>
      <c r="B151" s="381">
        <v>15.4</v>
      </c>
      <c r="C151" s="381">
        <v>16.899999999999999</v>
      </c>
      <c r="D151" s="381">
        <v>18.7</v>
      </c>
      <c r="E151" s="381">
        <v>21</v>
      </c>
      <c r="F151" s="381">
        <v>24.2</v>
      </c>
      <c r="G151" s="381">
        <v>28.5</v>
      </c>
      <c r="H151" s="381">
        <v>35.1</v>
      </c>
      <c r="I151" s="381">
        <v>14.7</v>
      </c>
      <c r="J151" s="381">
        <v>16.3</v>
      </c>
      <c r="K151" s="381">
        <v>18.399999999999999</v>
      </c>
      <c r="L151" s="381">
        <v>21</v>
      </c>
      <c r="M151" s="381">
        <v>24.4</v>
      </c>
      <c r="N151" s="381">
        <v>29.2</v>
      </c>
      <c r="O151" s="381">
        <v>36.299999999999997</v>
      </c>
    </row>
    <row r="152" spans="1:15" ht="12.4" customHeight="1">
      <c r="A152" s="379">
        <v>203</v>
      </c>
      <c r="B152" s="381">
        <v>15.4</v>
      </c>
      <c r="C152" s="381">
        <v>16.899999999999999</v>
      </c>
      <c r="D152" s="381">
        <v>18.7</v>
      </c>
      <c r="E152" s="381">
        <v>21.1</v>
      </c>
      <c r="F152" s="381">
        <v>24.2</v>
      </c>
      <c r="G152" s="381">
        <v>28.6</v>
      </c>
      <c r="H152" s="381">
        <v>35.200000000000003</v>
      </c>
      <c r="I152" s="381">
        <v>14.7</v>
      </c>
      <c r="J152" s="381">
        <v>16.3</v>
      </c>
      <c r="K152" s="381">
        <v>18.399999999999999</v>
      </c>
      <c r="L152" s="381">
        <v>21</v>
      </c>
      <c r="M152" s="381">
        <v>24.5</v>
      </c>
      <c r="N152" s="381">
        <v>29.3</v>
      </c>
      <c r="O152" s="381">
        <v>36.299999999999997</v>
      </c>
    </row>
    <row r="153" spans="1:15" ht="12.4" customHeight="1">
      <c r="A153" s="379">
        <v>204</v>
      </c>
      <c r="B153" s="381">
        <v>15.4</v>
      </c>
      <c r="C153" s="381">
        <v>16.899999999999999</v>
      </c>
      <c r="D153" s="381">
        <v>18.8</v>
      </c>
      <c r="E153" s="381">
        <v>21.1</v>
      </c>
      <c r="F153" s="381">
        <v>24.3</v>
      </c>
      <c r="G153" s="381">
        <v>28.6</v>
      </c>
      <c r="H153" s="381">
        <v>35.200000000000003</v>
      </c>
      <c r="I153" s="381">
        <v>14.7</v>
      </c>
      <c r="J153" s="381">
        <v>16.399999999999999</v>
      </c>
      <c r="K153" s="381">
        <v>18.399999999999999</v>
      </c>
      <c r="L153" s="381">
        <v>21</v>
      </c>
      <c r="M153" s="381">
        <v>24.5</v>
      </c>
      <c r="N153" s="381">
        <v>29.3</v>
      </c>
      <c r="O153" s="381">
        <v>36.299999999999997</v>
      </c>
    </row>
    <row r="154" spans="1:15" ht="12.4" customHeight="1">
      <c r="A154" s="379">
        <v>205</v>
      </c>
      <c r="B154" s="381">
        <v>15.5</v>
      </c>
      <c r="C154" s="381">
        <v>17</v>
      </c>
      <c r="D154" s="381">
        <v>18.8</v>
      </c>
      <c r="E154" s="381">
        <v>21.2</v>
      </c>
      <c r="F154" s="381">
        <v>24.3</v>
      </c>
      <c r="G154" s="381">
        <v>28.7</v>
      </c>
      <c r="H154" s="381">
        <v>35.200000000000003</v>
      </c>
      <c r="I154" s="381">
        <v>14.7</v>
      </c>
      <c r="J154" s="381">
        <v>16.399999999999999</v>
      </c>
      <c r="K154" s="381">
        <v>18.399999999999999</v>
      </c>
      <c r="L154" s="381">
        <v>21.1</v>
      </c>
      <c r="M154" s="381">
        <v>24.5</v>
      </c>
      <c r="N154" s="381">
        <v>29.3</v>
      </c>
      <c r="O154" s="381">
        <v>36.299999999999997</v>
      </c>
    </row>
    <row r="155" spans="1:15" ht="12.4" customHeight="1">
      <c r="A155" s="379">
        <v>206</v>
      </c>
      <c r="B155" s="381">
        <v>15.5</v>
      </c>
      <c r="C155" s="381">
        <v>17</v>
      </c>
      <c r="D155" s="381">
        <v>18.899999999999999</v>
      </c>
      <c r="E155" s="381">
        <v>21.2</v>
      </c>
      <c r="F155" s="381">
        <v>24.4</v>
      </c>
      <c r="G155" s="381">
        <v>28.7</v>
      </c>
      <c r="H155" s="381">
        <v>35.200000000000003</v>
      </c>
      <c r="I155" s="381">
        <v>14.7</v>
      </c>
      <c r="J155" s="381">
        <v>16.399999999999999</v>
      </c>
      <c r="K155" s="381">
        <v>18.399999999999999</v>
      </c>
      <c r="L155" s="381">
        <v>21.1</v>
      </c>
      <c r="M155" s="381">
        <v>24.6</v>
      </c>
      <c r="N155" s="381">
        <v>29.3</v>
      </c>
      <c r="O155" s="381">
        <v>36.299999999999997</v>
      </c>
    </row>
    <row r="156" spans="1:15" ht="12.4" customHeight="1">
      <c r="A156" s="379">
        <v>207</v>
      </c>
      <c r="B156" s="382">
        <v>15.5</v>
      </c>
      <c r="C156" s="382">
        <v>17</v>
      </c>
      <c r="D156" s="382">
        <v>18.899999999999999</v>
      </c>
      <c r="E156" s="382">
        <v>21.3</v>
      </c>
      <c r="F156" s="386">
        <v>24.4</v>
      </c>
      <c r="G156" s="386">
        <v>28.8</v>
      </c>
      <c r="H156" s="382">
        <v>35.299999999999997</v>
      </c>
      <c r="I156" s="382">
        <v>14.7</v>
      </c>
      <c r="J156" s="382">
        <v>16.399999999999999</v>
      </c>
      <c r="K156" s="382">
        <v>18.5</v>
      </c>
      <c r="L156" s="382">
        <v>21.1</v>
      </c>
      <c r="M156" s="387">
        <v>24.6</v>
      </c>
      <c r="N156" s="387">
        <v>29.4</v>
      </c>
      <c r="O156" s="382">
        <v>36.299999999999997</v>
      </c>
    </row>
    <row r="157" spans="1:15" ht="12.4" customHeight="1">
      <c r="A157" s="379">
        <v>208</v>
      </c>
      <c r="B157" s="385">
        <v>15.5</v>
      </c>
      <c r="C157" s="385">
        <v>17.100000000000001</v>
      </c>
      <c r="D157" s="385">
        <v>18.899999999999999</v>
      </c>
      <c r="E157" s="385">
        <v>21.3</v>
      </c>
      <c r="F157" s="385">
        <v>24.5</v>
      </c>
      <c r="G157" s="385">
        <v>28.9</v>
      </c>
      <c r="H157" s="385">
        <v>35.299999999999997</v>
      </c>
      <c r="I157" s="385">
        <v>14.7</v>
      </c>
      <c r="J157" s="385">
        <v>16.399999999999999</v>
      </c>
      <c r="K157" s="385">
        <v>18.5</v>
      </c>
      <c r="L157" s="385">
        <v>21.1</v>
      </c>
      <c r="M157" s="385">
        <v>24.6</v>
      </c>
      <c r="N157" s="385">
        <v>29.4</v>
      </c>
      <c r="O157" s="385">
        <v>36.299999999999997</v>
      </c>
    </row>
    <row r="158" spans="1:15" ht="12.4" customHeight="1">
      <c r="A158" s="379">
        <v>209</v>
      </c>
      <c r="B158" s="381">
        <v>15.6</v>
      </c>
      <c r="C158" s="381">
        <v>17.100000000000001</v>
      </c>
      <c r="D158" s="381">
        <v>19</v>
      </c>
      <c r="E158" s="381">
        <v>21.4</v>
      </c>
      <c r="F158" s="381">
        <v>24.5</v>
      </c>
      <c r="G158" s="381">
        <v>28.9</v>
      </c>
      <c r="H158" s="381">
        <v>35.299999999999997</v>
      </c>
      <c r="I158" s="381">
        <v>14.7</v>
      </c>
      <c r="J158" s="381">
        <v>16.399999999999999</v>
      </c>
      <c r="K158" s="381">
        <v>18.5</v>
      </c>
      <c r="L158" s="381">
        <v>21.1</v>
      </c>
      <c r="M158" s="381">
        <v>24.6</v>
      </c>
      <c r="N158" s="381">
        <v>29.4</v>
      </c>
      <c r="O158" s="381">
        <v>36.299999999999997</v>
      </c>
    </row>
    <row r="159" spans="1:15" ht="12.4" customHeight="1">
      <c r="A159" s="379">
        <v>210</v>
      </c>
      <c r="B159" s="381">
        <v>15.6</v>
      </c>
      <c r="C159" s="381">
        <v>17.100000000000001</v>
      </c>
      <c r="D159" s="381">
        <v>19</v>
      </c>
      <c r="E159" s="381">
        <v>21.4</v>
      </c>
      <c r="F159" s="381">
        <v>24.6</v>
      </c>
      <c r="G159" s="381">
        <v>29</v>
      </c>
      <c r="H159" s="381">
        <v>35.299999999999997</v>
      </c>
      <c r="I159" s="381">
        <v>14.7</v>
      </c>
      <c r="J159" s="381">
        <v>16.399999999999999</v>
      </c>
      <c r="K159" s="381">
        <v>18.5</v>
      </c>
      <c r="L159" s="381">
        <v>21.2</v>
      </c>
      <c r="M159" s="381">
        <v>24.6</v>
      </c>
      <c r="N159" s="381">
        <v>29.4</v>
      </c>
      <c r="O159" s="381">
        <v>36.299999999999997</v>
      </c>
    </row>
    <row r="160" spans="1:15" ht="12.4" customHeight="1">
      <c r="A160" s="379">
        <v>211</v>
      </c>
      <c r="B160" s="381">
        <v>15.6</v>
      </c>
      <c r="C160" s="381">
        <v>17.100000000000001</v>
      </c>
      <c r="D160" s="381">
        <v>19.100000000000001</v>
      </c>
      <c r="E160" s="381">
        <v>21.5</v>
      </c>
      <c r="F160" s="381">
        <v>24.7</v>
      </c>
      <c r="G160" s="381">
        <v>29</v>
      </c>
      <c r="H160" s="381">
        <v>35.4</v>
      </c>
      <c r="I160" s="381">
        <v>14.7</v>
      </c>
      <c r="J160" s="381">
        <v>16.399999999999999</v>
      </c>
      <c r="K160" s="381">
        <v>18.5</v>
      </c>
      <c r="L160" s="381">
        <v>21.2</v>
      </c>
      <c r="M160" s="381">
        <v>24.7</v>
      </c>
      <c r="N160" s="381">
        <v>29.4</v>
      </c>
      <c r="O160" s="381">
        <v>36.299999999999997</v>
      </c>
    </row>
    <row r="161" spans="1:19" ht="12.4" customHeight="1">
      <c r="A161" s="379">
        <v>212</v>
      </c>
      <c r="B161" s="381">
        <v>15.6</v>
      </c>
      <c r="C161" s="381">
        <v>17.2</v>
      </c>
      <c r="D161" s="381">
        <v>19.100000000000001</v>
      </c>
      <c r="E161" s="381">
        <v>21.5</v>
      </c>
      <c r="F161" s="381">
        <v>24.7</v>
      </c>
      <c r="G161" s="381">
        <v>29.1</v>
      </c>
      <c r="H161" s="381">
        <v>35.4</v>
      </c>
      <c r="I161" s="381">
        <v>14.7</v>
      </c>
      <c r="J161" s="381">
        <v>16.399999999999999</v>
      </c>
      <c r="K161" s="381">
        <v>18.5</v>
      </c>
      <c r="L161" s="381">
        <v>21.2</v>
      </c>
      <c r="M161" s="381">
        <v>24.7</v>
      </c>
      <c r="N161" s="381">
        <v>29.5</v>
      </c>
      <c r="O161" s="381">
        <v>36.299999999999997</v>
      </c>
    </row>
    <row r="162" spans="1:19" ht="12.4" customHeight="1">
      <c r="A162" s="379">
        <v>213</v>
      </c>
      <c r="B162" s="381">
        <v>15.6</v>
      </c>
      <c r="C162" s="381">
        <v>17.2</v>
      </c>
      <c r="D162" s="381">
        <v>19.100000000000001</v>
      </c>
      <c r="E162" s="381">
        <v>21.6</v>
      </c>
      <c r="F162" s="381">
        <v>24.8</v>
      </c>
      <c r="G162" s="381">
        <v>29.1</v>
      </c>
      <c r="H162" s="381">
        <v>35.4</v>
      </c>
      <c r="I162" s="381">
        <v>14.7</v>
      </c>
      <c r="J162" s="381">
        <v>16.399999999999999</v>
      </c>
      <c r="K162" s="381">
        <v>18.5</v>
      </c>
      <c r="L162" s="381">
        <v>21.2</v>
      </c>
      <c r="M162" s="381">
        <v>24.7</v>
      </c>
      <c r="N162" s="381">
        <v>29.5</v>
      </c>
      <c r="O162" s="381">
        <v>36.299999999999997</v>
      </c>
    </row>
    <row r="163" spans="1:19" ht="12.4" customHeight="1">
      <c r="A163" s="379">
        <v>214</v>
      </c>
      <c r="B163" s="381">
        <v>15.7</v>
      </c>
      <c r="C163" s="381">
        <v>17.2</v>
      </c>
      <c r="D163" s="381">
        <v>19.2</v>
      </c>
      <c r="E163" s="381">
        <v>21.6</v>
      </c>
      <c r="F163" s="381">
        <v>24.8</v>
      </c>
      <c r="G163" s="381">
        <v>29.2</v>
      </c>
      <c r="H163" s="381">
        <v>35.4</v>
      </c>
      <c r="I163" s="381">
        <v>14.7</v>
      </c>
      <c r="J163" s="381">
        <v>16.399999999999999</v>
      </c>
      <c r="K163" s="381">
        <v>18.5</v>
      </c>
      <c r="L163" s="381">
        <v>21.2</v>
      </c>
      <c r="M163" s="381">
        <v>24.7</v>
      </c>
      <c r="N163" s="381">
        <v>29.5</v>
      </c>
      <c r="O163" s="381">
        <v>36.299999999999997</v>
      </c>
    </row>
    <row r="164" spans="1:19" ht="12.4" customHeight="1">
      <c r="A164" s="379">
        <v>215</v>
      </c>
      <c r="B164" s="381">
        <v>15.7</v>
      </c>
      <c r="C164" s="381">
        <v>17.3</v>
      </c>
      <c r="D164" s="381">
        <v>19.2</v>
      </c>
      <c r="E164" s="381">
        <v>21.7</v>
      </c>
      <c r="F164" s="381">
        <v>24.9</v>
      </c>
      <c r="G164" s="381">
        <v>29.2</v>
      </c>
      <c r="H164" s="381">
        <v>35.4</v>
      </c>
      <c r="I164" s="381">
        <v>14.7</v>
      </c>
      <c r="J164" s="381">
        <v>16.399999999999999</v>
      </c>
      <c r="K164" s="381">
        <v>18.600000000000001</v>
      </c>
      <c r="L164" s="381">
        <v>21.2</v>
      </c>
      <c r="M164" s="381">
        <v>24.8</v>
      </c>
      <c r="N164" s="381">
        <v>29.5</v>
      </c>
      <c r="O164" s="381">
        <v>36.299999999999997</v>
      </c>
    </row>
    <row r="165" spans="1:19" ht="12.4" customHeight="1">
      <c r="A165" s="388">
        <v>216</v>
      </c>
      <c r="B165" s="381">
        <v>15.7</v>
      </c>
      <c r="C165" s="381">
        <v>17.3</v>
      </c>
      <c r="D165" s="381">
        <v>19.2</v>
      </c>
      <c r="E165" s="381">
        <v>21.7</v>
      </c>
      <c r="F165" s="381">
        <v>24.9</v>
      </c>
      <c r="G165" s="381">
        <v>29.2</v>
      </c>
      <c r="H165" s="381">
        <v>35.4</v>
      </c>
      <c r="I165" s="381">
        <v>14.7</v>
      </c>
      <c r="J165" s="381">
        <v>16.399999999999999</v>
      </c>
      <c r="K165" s="381">
        <v>18.600000000000001</v>
      </c>
      <c r="L165" s="381">
        <v>21.3</v>
      </c>
      <c r="M165" s="381">
        <v>24.8</v>
      </c>
      <c r="N165" s="381">
        <v>29.5</v>
      </c>
      <c r="O165" s="381">
        <v>36.299999999999997</v>
      </c>
    </row>
    <row r="166" spans="1:19" s="190" customFormat="1" ht="12.4" customHeight="1">
      <c r="A166" s="389"/>
      <c r="B166" s="390"/>
      <c r="C166" s="390"/>
      <c r="D166" s="389"/>
      <c r="E166" s="390"/>
      <c r="F166" s="390"/>
      <c r="G166" s="389"/>
    </row>
    <row r="167" spans="1:19" s="190" customFormat="1" ht="12.6" customHeight="1">
      <c r="A167" s="389"/>
      <c r="B167" s="390"/>
      <c r="C167" s="390"/>
      <c r="D167" s="389"/>
      <c r="E167" s="390"/>
      <c r="F167" s="390"/>
      <c r="G167" s="389"/>
    </row>
    <row r="168" spans="1:19" ht="3.6" customHeight="1">
      <c r="B168" s="391"/>
      <c r="C168" s="391"/>
      <c r="D168" s="391"/>
      <c r="E168" s="392"/>
      <c r="F168" s="391"/>
      <c r="G168" s="391"/>
      <c r="H168" s="391"/>
    </row>
    <row r="169" spans="1:19" ht="10.7" customHeight="1">
      <c r="A169" s="393" t="s">
        <v>548</v>
      </c>
      <c r="B169" s="376" t="s">
        <v>538</v>
      </c>
      <c r="C169" s="376"/>
      <c r="D169" s="376"/>
      <c r="E169" s="376"/>
      <c r="I169" s="376" t="s">
        <v>539</v>
      </c>
      <c r="J169" s="376"/>
      <c r="K169" s="376"/>
      <c r="L169" s="376"/>
      <c r="M169" s="377"/>
      <c r="N169" s="190"/>
      <c r="O169" s="377"/>
      <c r="P169" s="190"/>
      <c r="Q169" s="377"/>
      <c r="R169" s="190"/>
      <c r="S169" s="377"/>
    </row>
    <row r="170" spans="1:19" ht="23.45" customHeight="1">
      <c r="A170" s="393" t="s">
        <v>549</v>
      </c>
      <c r="B170" s="394" t="s">
        <v>550</v>
      </c>
      <c r="C170" s="395" t="s">
        <v>551</v>
      </c>
      <c r="D170" s="395" t="s">
        <v>552</v>
      </c>
      <c r="E170" s="394" t="s">
        <v>544</v>
      </c>
      <c r="F170" s="189" t="s">
        <v>553</v>
      </c>
      <c r="G170" s="189" t="s">
        <v>554</v>
      </c>
      <c r="H170" s="189" t="s">
        <v>555</v>
      </c>
      <c r="I170" s="394" t="s">
        <v>550</v>
      </c>
      <c r="J170" s="395" t="s">
        <v>551</v>
      </c>
      <c r="K170" s="395" t="s">
        <v>552</v>
      </c>
      <c r="L170" s="394" t="s">
        <v>544</v>
      </c>
      <c r="M170" s="189" t="s">
        <v>553</v>
      </c>
      <c r="N170" s="189" t="s">
        <v>554</v>
      </c>
      <c r="O170" s="189" t="s">
        <v>555</v>
      </c>
      <c r="Q170" s="396"/>
      <c r="R170" s="190"/>
      <c r="S170" s="397"/>
    </row>
    <row r="171" spans="1:19" ht="11.85" customHeight="1">
      <c r="A171" s="398">
        <v>0</v>
      </c>
      <c r="B171" s="399">
        <v>2.1</v>
      </c>
      <c r="C171" s="399">
        <v>2.5</v>
      </c>
      <c r="D171" s="399">
        <v>2.9</v>
      </c>
      <c r="E171" s="399">
        <v>3.3</v>
      </c>
      <c r="F171" s="381">
        <v>3.9</v>
      </c>
      <c r="G171" s="381">
        <v>4.4000000000000004</v>
      </c>
      <c r="H171" s="381">
        <v>5</v>
      </c>
      <c r="I171" s="399">
        <v>2</v>
      </c>
      <c r="J171" s="399">
        <v>2.4</v>
      </c>
      <c r="K171" s="399">
        <v>2.8</v>
      </c>
      <c r="L171" s="399">
        <v>3.2</v>
      </c>
      <c r="M171" s="381">
        <v>3.7</v>
      </c>
      <c r="N171" s="381">
        <v>4.2</v>
      </c>
      <c r="O171" s="381">
        <v>4.8</v>
      </c>
      <c r="Q171" s="400"/>
      <c r="R171" s="190"/>
      <c r="S171" s="401"/>
    </row>
    <row r="172" spans="1:19" ht="11.1" customHeight="1">
      <c r="A172" s="402">
        <v>1</v>
      </c>
      <c r="B172" s="402">
        <v>2.9</v>
      </c>
      <c r="C172" s="402">
        <v>3.4</v>
      </c>
      <c r="D172" s="402">
        <v>3.9</v>
      </c>
      <c r="E172" s="402">
        <v>4.5</v>
      </c>
      <c r="F172" s="380">
        <v>5.0999999999999996</v>
      </c>
      <c r="G172" s="380">
        <v>5.8</v>
      </c>
      <c r="H172" s="381">
        <v>6.6</v>
      </c>
      <c r="I172" s="402">
        <v>2.7</v>
      </c>
      <c r="J172" s="402">
        <v>3.2</v>
      </c>
      <c r="K172" s="402">
        <v>3.6</v>
      </c>
      <c r="L172" s="402">
        <v>4.2</v>
      </c>
      <c r="M172" s="380">
        <v>4.8</v>
      </c>
      <c r="N172" s="380">
        <v>5.5</v>
      </c>
      <c r="O172" s="381">
        <v>6.2</v>
      </c>
      <c r="Q172" s="400"/>
      <c r="R172" s="190"/>
      <c r="S172" s="401"/>
    </row>
    <row r="173" spans="1:19" ht="12" customHeight="1">
      <c r="A173" s="398">
        <v>2</v>
      </c>
      <c r="B173" s="399">
        <v>3.8</v>
      </c>
      <c r="C173" s="399">
        <v>4.3</v>
      </c>
      <c r="D173" s="399">
        <v>4.9000000000000004</v>
      </c>
      <c r="E173" s="399">
        <v>5.6</v>
      </c>
      <c r="F173" s="380">
        <v>6.3</v>
      </c>
      <c r="G173" s="380">
        <v>7.1</v>
      </c>
      <c r="H173" s="381">
        <v>8</v>
      </c>
      <c r="I173" s="399">
        <v>3.4</v>
      </c>
      <c r="J173" s="399">
        <v>3.9</v>
      </c>
      <c r="K173" s="399">
        <v>4.5</v>
      </c>
      <c r="L173" s="399">
        <v>5.0999999999999996</v>
      </c>
      <c r="M173" s="380">
        <v>5.8</v>
      </c>
      <c r="N173" s="380">
        <v>6.6</v>
      </c>
      <c r="O173" s="381">
        <v>7.5</v>
      </c>
      <c r="Q173" s="400"/>
      <c r="R173" s="190"/>
      <c r="S173" s="401"/>
    </row>
    <row r="174" spans="1:19" ht="11.1" customHeight="1">
      <c r="A174" s="402">
        <v>3</v>
      </c>
      <c r="B174" s="402">
        <v>4.4000000000000004</v>
      </c>
      <c r="C174" s="402">
        <v>5</v>
      </c>
      <c r="D174" s="402">
        <v>5.7</v>
      </c>
      <c r="E174" s="402">
        <v>6.4</v>
      </c>
      <c r="F174" s="380">
        <v>7.2</v>
      </c>
      <c r="G174" s="380">
        <v>8</v>
      </c>
      <c r="H174" s="381">
        <v>9</v>
      </c>
      <c r="I174" s="402">
        <v>4</v>
      </c>
      <c r="J174" s="402">
        <v>4.5</v>
      </c>
      <c r="K174" s="402">
        <v>5.2</v>
      </c>
      <c r="L174" s="402">
        <v>5.8</v>
      </c>
      <c r="M174" s="380">
        <v>6.6</v>
      </c>
      <c r="N174" s="380">
        <v>7.5</v>
      </c>
      <c r="O174" s="381">
        <v>8.5</v>
      </c>
      <c r="Q174" s="400"/>
      <c r="R174" s="190"/>
      <c r="S174" s="401"/>
    </row>
    <row r="175" spans="1:19" ht="12" customHeight="1">
      <c r="A175" s="398">
        <v>4</v>
      </c>
      <c r="B175" s="399">
        <v>4.9000000000000004</v>
      </c>
      <c r="C175" s="399">
        <v>5.6</v>
      </c>
      <c r="D175" s="399">
        <v>6.2</v>
      </c>
      <c r="E175" s="399">
        <v>7</v>
      </c>
      <c r="F175" s="380">
        <v>7.8</v>
      </c>
      <c r="G175" s="380">
        <v>8.6999999999999993</v>
      </c>
      <c r="H175" s="381">
        <v>9.6999999999999993</v>
      </c>
      <c r="I175" s="399">
        <v>4.4000000000000004</v>
      </c>
      <c r="J175" s="399">
        <v>5</v>
      </c>
      <c r="K175" s="399">
        <v>5.7</v>
      </c>
      <c r="L175" s="399">
        <v>6.4</v>
      </c>
      <c r="M175" s="380">
        <v>7.3</v>
      </c>
      <c r="N175" s="380">
        <v>8.1999999999999993</v>
      </c>
      <c r="O175" s="381">
        <v>9.3000000000000007</v>
      </c>
      <c r="Q175" s="400"/>
      <c r="R175" s="190"/>
      <c r="S175" s="401"/>
    </row>
    <row r="176" spans="1:19" ht="11.1" customHeight="1">
      <c r="A176" s="402">
        <v>5</v>
      </c>
      <c r="B176" s="402">
        <v>5.3</v>
      </c>
      <c r="C176" s="402">
        <v>6</v>
      </c>
      <c r="D176" s="402">
        <v>6.7</v>
      </c>
      <c r="E176" s="402">
        <v>7.5</v>
      </c>
      <c r="F176" s="380">
        <v>8.4</v>
      </c>
      <c r="G176" s="380">
        <v>9.3000000000000007</v>
      </c>
      <c r="H176" s="381">
        <v>10.4</v>
      </c>
      <c r="I176" s="402">
        <v>4.8</v>
      </c>
      <c r="J176" s="402">
        <v>5.4</v>
      </c>
      <c r="K176" s="402">
        <v>6.1</v>
      </c>
      <c r="L176" s="402">
        <v>6.9</v>
      </c>
      <c r="M176" s="380">
        <v>7.8</v>
      </c>
      <c r="N176" s="380">
        <v>8.8000000000000007</v>
      </c>
      <c r="O176" s="381">
        <v>10</v>
      </c>
      <c r="Q176" s="400"/>
      <c r="R176" s="190"/>
      <c r="S176" s="401"/>
    </row>
    <row r="177" spans="1:19" ht="12" customHeight="1">
      <c r="A177" s="398">
        <v>6</v>
      </c>
      <c r="B177" s="399">
        <v>5.7</v>
      </c>
      <c r="C177" s="399">
        <v>6.4</v>
      </c>
      <c r="D177" s="399">
        <v>7.1</v>
      </c>
      <c r="E177" s="399">
        <v>7.9</v>
      </c>
      <c r="F177" s="380">
        <v>8.8000000000000007</v>
      </c>
      <c r="G177" s="380">
        <v>9.8000000000000007</v>
      </c>
      <c r="H177" s="381">
        <v>10.9</v>
      </c>
      <c r="I177" s="399">
        <v>5.0999999999999996</v>
      </c>
      <c r="J177" s="399">
        <v>5.7</v>
      </c>
      <c r="K177" s="399">
        <v>6.5</v>
      </c>
      <c r="L177" s="399">
        <v>7.3</v>
      </c>
      <c r="M177" s="380">
        <v>8.1999999999999993</v>
      </c>
      <c r="N177" s="380">
        <v>9.3000000000000007</v>
      </c>
      <c r="O177" s="381">
        <v>10.6</v>
      </c>
      <c r="Q177" s="400"/>
      <c r="R177" s="190"/>
      <c r="S177" s="401"/>
    </row>
    <row r="178" spans="1:19" ht="11.1" customHeight="1">
      <c r="A178" s="402">
        <v>7</v>
      </c>
      <c r="B178" s="402">
        <v>5.9</v>
      </c>
      <c r="C178" s="402">
        <v>6.7</v>
      </c>
      <c r="D178" s="402">
        <v>7.4</v>
      </c>
      <c r="E178" s="402">
        <v>8.3000000000000007</v>
      </c>
      <c r="F178" s="380">
        <v>9.1999999999999993</v>
      </c>
      <c r="G178" s="380">
        <v>10.3</v>
      </c>
      <c r="H178" s="381">
        <v>11.4</v>
      </c>
      <c r="I178" s="402">
        <v>5.3</v>
      </c>
      <c r="J178" s="402">
        <v>6</v>
      </c>
      <c r="K178" s="402">
        <v>6.8</v>
      </c>
      <c r="L178" s="402">
        <v>7.6</v>
      </c>
      <c r="M178" s="380">
        <v>8.6</v>
      </c>
      <c r="N178" s="380">
        <v>9.8000000000000007</v>
      </c>
      <c r="O178" s="381">
        <v>11.1</v>
      </c>
      <c r="Q178" s="400"/>
      <c r="R178" s="190"/>
      <c r="S178" s="401"/>
    </row>
    <row r="179" spans="1:19" ht="12" customHeight="1">
      <c r="A179" s="398">
        <v>8</v>
      </c>
      <c r="B179" s="399">
        <v>6.2</v>
      </c>
      <c r="C179" s="399">
        <v>6.9</v>
      </c>
      <c r="D179" s="399">
        <v>7.7</v>
      </c>
      <c r="E179" s="399">
        <v>8.6</v>
      </c>
      <c r="F179" s="380">
        <v>9.6</v>
      </c>
      <c r="G179" s="380">
        <v>10.7</v>
      </c>
      <c r="H179" s="381">
        <v>11.9</v>
      </c>
      <c r="I179" s="399">
        <v>5.6</v>
      </c>
      <c r="J179" s="399">
        <v>6.3</v>
      </c>
      <c r="K179" s="399">
        <v>7</v>
      </c>
      <c r="L179" s="399">
        <v>7.9</v>
      </c>
      <c r="M179" s="380">
        <v>9</v>
      </c>
      <c r="N179" s="380">
        <v>10.199999999999999</v>
      </c>
      <c r="O179" s="381">
        <v>11.6</v>
      </c>
      <c r="Q179" s="400"/>
      <c r="R179" s="190"/>
      <c r="S179" s="401"/>
    </row>
    <row r="180" spans="1:19" ht="11.1" customHeight="1">
      <c r="A180" s="402">
        <v>9</v>
      </c>
      <c r="B180" s="402">
        <v>6.4</v>
      </c>
      <c r="C180" s="402">
        <v>7.1</v>
      </c>
      <c r="D180" s="402">
        <v>8</v>
      </c>
      <c r="E180" s="402">
        <v>8.9</v>
      </c>
      <c r="F180" s="380">
        <v>9.9</v>
      </c>
      <c r="G180" s="380">
        <v>11</v>
      </c>
      <c r="H180" s="381">
        <v>12.3</v>
      </c>
      <c r="I180" s="402">
        <v>5.8</v>
      </c>
      <c r="J180" s="402">
        <v>6.5</v>
      </c>
      <c r="K180" s="402">
        <v>7.3</v>
      </c>
      <c r="L180" s="402">
        <v>8.1999999999999993</v>
      </c>
      <c r="M180" s="380">
        <v>9.3000000000000007</v>
      </c>
      <c r="N180" s="380">
        <v>10.5</v>
      </c>
      <c r="O180" s="381">
        <v>12</v>
      </c>
      <c r="Q180" s="400"/>
      <c r="R180" s="190"/>
      <c r="S180" s="401"/>
    </row>
    <row r="181" spans="1:19" ht="12" customHeight="1">
      <c r="A181" s="398">
        <v>10</v>
      </c>
      <c r="B181" s="399">
        <v>6.6</v>
      </c>
      <c r="C181" s="399">
        <v>7.4</v>
      </c>
      <c r="D181" s="399">
        <v>8.1999999999999993</v>
      </c>
      <c r="E181" s="399">
        <v>9.1999999999999993</v>
      </c>
      <c r="F181" s="380">
        <v>10.199999999999999</v>
      </c>
      <c r="G181" s="380">
        <v>11.4</v>
      </c>
      <c r="H181" s="381">
        <v>12.7</v>
      </c>
      <c r="I181" s="399">
        <v>5.9</v>
      </c>
      <c r="J181" s="399">
        <v>6.7</v>
      </c>
      <c r="K181" s="399">
        <v>7.5</v>
      </c>
      <c r="L181" s="399">
        <v>8.5</v>
      </c>
      <c r="M181" s="380">
        <v>9.6</v>
      </c>
      <c r="N181" s="380">
        <v>10.9</v>
      </c>
      <c r="O181" s="381">
        <v>12.4</v>
      </c>
      <c r="Q181" s="400"/>
      <c r="R181" s="190"/>
      <c r="S181" s="401"/>
    </row>
    <row r="182" spans="1:19" ht="11.1" customHeight="1">
      <c r="A182" s="402">
        <v>11</v>
      </c>
      <c r="B182" s="402">
        <v>6.8</v>
      </c>
      <c r="C182" s="402">
        <v>7.6</v>
      </c>
      <c r="D182" s="402">
        <v>8.4</v>
      </c>
      <c r="E182" s="402">
        <v>9.4</v>
      </c>
      <c r="F182" s="380">
        <v>10.5</v>
      </c>
      <c r="G182" s="380">
        <v>11.7</v>
      </c>
      <c r="H182" s="381">
        <v>13</v>
      </c>
      <c r="I182" s="402">
        <v>6.1</v>
      </c>
      <c r="J182" s="402">
        <v>6.9</v>
      </c>
      <c r="K182" s="402">
        <v>7.7</v>
      </c>
      <c r="L182" s="402">
        <v>8.6999999999999993</v>
      </c>
      <c r="M182" s="380">
        <v>9.9</v>
      </c>
      <c r="N182" s="380">
        <v>11.2</v>
      </c>
      <c r="O182" s="381">
        <v>12.8</v>
      </c>
      <c r="Q182" s="400"/>
      <c r="R182" s="190"/>
      <c r="S182" s="401"/>
    </row>
    <row r="183" spans="1:19" ht="12" customHeight="1">
      <c r="A183" s="398">
        <v>12</v>
      </c>
      <c r="B183" s="399">
        <v>6.9</v>
      </c>
      <c r="C183" s="399">
        <v>7.7</v>
      </c>
      <c r="D183" s="399">
        <v>8.6</v>
      </c>
      <c r="E183" s="399">
        <v>9.6</v>
      </c>
      <c r="F183" s="380">
        <v>10.8</v>
      </c>
      <c r="G183" s="380">
        <v>12</v>
      </c>
      <c r="H183" s="381">
        <v>13.3</v>
      </c>
      <c r="I183" s="399">
        <v>6.3</v>
      </c>
      <c r="J183" s="399">
        <v>7</v>
      </c>
      <c r="K183" s="399">
        <v>7.9</v>
      </c>
      <c r="L183" s="399">
        <v>8.9</v>
      </c>
      <c r="M183" s="380">
        <v>10.1</v>
      </c>
      <c r="N183" s="380">
        <v>11.5</v>
      </c>
      <c r="O183" s="381">
        <v>13.1</v>
      </c>
      <c r="Q183" s="400"/>
      <c r="R183" s="190"/>
      <c r="S183" s="401"/>
    </row>
    <row r="184" spans="1:19" ht="11.1" customHeight="1">
      <c r="A184" s="402">
        <v>13</v>
      </c>
      <c r="B184" s="402">
        <v>7.1</v>
      </c>
      <c r="C184" s="402">
        <v>7.9</v>
      </c>
      <c r="D184" s="402">
        <v>8.8000000000000007</v>
      </c>
      <c r="E184" s="402">
        <v>9.9</v>
      </c>
      <c r="F184" s="380">
        <v>11</v>
      </c>
      <c r="G184" s="380">
        <v>12.3</v>
      </c>
      <c r="H184" s="381">
        <v>13.7</v>
      </c>
      <c r="I184" s="402">
        <v>6.4</v>
      </c>
      <c r="J184" s="402">
        <v>7.2</v>
      </c>
      <c r="K184" s="402">
        <v>8.1</v>
      </c>
      <c r="L184" s="402">
        <v>9.1999999999999993</v>
      </c>
      <c r="M184" s="380">
        <v>10.4</v>
      </c>
      <c r="N184" s="380">
        <v>11.8</v>
      </c>
      <c r="O184" s="381">
        <v>13.5</v>
      </c>
      <c r="Q184" s="400"/>
      <c r="R184" s="190"/>
      <c r="S184" s="401"/>
    </row>
    <row r="185" spans="1:19" ht="12" customHeight="1">
      <c r="A185" s="398">
        <v>14</v>
      </c>
      <c r="B185" s="399">
        <v>7.2</v>
      </c>
      <c r="C185" s="399">
        <v>8.1</v>
      </c>
      <c r="D185" s="399">
        <v>9</v>
      </c>
      <c r="E185" s="399">
        <v>10.1</v>
      </c>
      <c r="F185" s="380">
        <v>11.3</v>
      </c>
      <c r="G185" s="380">
        <v>12.6</v>
      </c>
      <c r="H185" s="381">
        <v>14</v>
      </c>
      <c r="I185" s="399">
        <v>6.6</v>
      </c>
      <c r="J185" s="399">
        <v>7.4</v>
      </c>
      <c r="K185" s="399">
        <v>8.3000000000000007</v>
      </c>
      <c r="L185" s="399">
        <v>9.4</v>
      </c>
      <c r="M185" s="380">
        <v>10.6</v>
      </c>
      <c r="N185" s="380">
        <v>12.1</v>
      </c>
      <c r="O185" s="381">
        <v>13.8</v>
      </c>
      <c r="Q185" s="400"/>
      <c r="R185" s="190"/>
      <c r="S185" s="401"/>
    </row>
    <row r="186" spans="1:19" ht="11.1" customHeight="1">
      <c r="A186" s="402">
        <v>15</v>
      </c>
      <c r="B186" s="402">
        <v>7.4</v>
      </c>
      <c r="C186" s="402">
        <v>8.3000000000000007</v>
      </c>
      <c r="D186" s="402">
        <v>9.1999999999999993</v>
      </c>
      <c r="E186" s="402">
        <v>10.3</v>
      </c>
      <c r="F186" s="380">
        <v>11.5</v>
      </c>
      <c r="G186" s="380">
        <v>12.8</v>
      </c>
      <c r="H186" s="381">
        <v>14.3</v>
      </c>
      <c r="I186" s="402">
        <v>6.7</v>
      </c>
      <c r="J186" s="402">
        <v>7.6</v>
      </c>
      <c r="K186" s="402">
        <v>8.5</v>
      </c>
      <c r="L186" s="402">
        <v>9.6</v>
      </c>
      <c r="M186" s="380">
        <v>10.9</v>
      </c>
      <c r="N186" s="380">
        <v>12.4</v>
      </c>
      <c r="O186" s="381">
        <v>14.1</v>
      </c>
      <c r="Q186" s="400"/>
      <c r="R186" s="190"/>
      <c r="S186" s="401"/>
    </row>
    <row r="187" spans="1:19" ht="12" customHeight="1">
      <c r="A187" s="398">
        <v>16</v>
      </c>
      <c r="B187" s="399">
        <v>7.5</v>
      </c>
      <c r="C187" s="399">
        <v>8.4</v>
      </c>
      <c r="D187" s="399">
        <v>9.4</v>
      </c>
      <c r="E187" s="399">
        <v>10.5</v>
      </c>
      <c r="F187" s="380">
        <v>11.7</v>
      </c>
      <c r="G187" s="380">
        <v>13.1</v>
      </c>
      <c r="H187" s="381">
        <v>14.6</v>
      </c>
      <c r="I187" s="399">
        <v>6.9</v>
      </c>
      <c r="J187" s="399">
        <v>7.7</v>
      </c>
      <c r="K187" s="399">
        <v>8.6999999999999993</v>
      </c>
      <c r="L187" s="399">
        <v>9.8000000000000007</v>
      </c>
      <c r="M187" s="380">
        <v>11.1</v>
      </c>
      <c r="N187" s="380">
        <v>12.6</v>
      </c>
      <c r="O187" s="381">
        <v>14.5</v>
      </c>
      <c r="Q187" s="400"/>
      <c r="R187" s="190"/>
      <c r="S187" s="401"/>
    </row>
    <row r="188" spans="1:19" ht="11.1" customHeight="1">
      <c r="A188" s="402">
        <v>17</v>
      </c>
      <c r="B188" s="402">
        <v>7.7</v>
      </c>
      <c r="C188" s="402">
        <v>8.6</v>
      </c>
      <c r="D188" s="402">
        <v>9.6</v>
      </c>
      <c r="E188" s="402">
        <v>10.7</v>
      </c>
      <c r="F188" s="380">
        <v>12</v>
      </c>
      <c r="G188" s="380">
        <v>13.4</v>
      </c>
      <c r="H188" s="381">
        <v>14.9</v>
      </c>
      <c r="I188" s="402">
        <v>7</v>
      </c>
      <c r="J188" s="402">
        <v>7.9</v>
      </c>
      <c r="K188" s="402">
        <v>8.9</v>
      </c>
      <c r="L188" s="402">
        <v>10</v>
      </c>
      <c r="M188" s="380">
        <v>11.4</v>
      </c>
      <c r="N188" s="380">
        <v>12.9</v>
      </c>
      <c r="O188" s="381">
        <v>14.8</v>
      </c>
      <c r="Q188" s="400"/>
      <c r="R188" s="190"/>
      <c r="S188" s="400"/>
    </row>
    <row r="189" spans="1:19" ht="12" customHeight="1">
      <c r="A189" s="398">
        <v>18</v>
      </c>
      <c r="B189" s="399">
        <v>7.8</v>
      </c>
      <c r="C189" s="399">
        <v>8.8000000000000007</v>
      </c>
      <c r="D189" s="399">
        <v>9.8000000000000007</v>
      </c>
      <c r="E189" s="399">
        <v>10.9</v>
      </c>
      <c r="F189" s="380">
        <v>12.2</v>
      </c>
      <c r="G189" s="380">
        <v>13.7</v>
      </c>
      <c r="H189" s="381">
        <v>15.3</v>
      </c>
      <c r="I189" s="399">
        <v>7.2</v>
      </c>
      <c r="J189" s="399">
        <v>8.1</v>
      </c>
      <c r="K189" s="399">
        <v>9.1</v>
      </c>
      <c r="L189" s="399">
        <v>10.199999999999999</v>
      </c>
      <c r="M189" s="380">
        <v>11.6</v>
      </c>
      <c r="N189" s="380">
        <v>13.2</v>
      </c>
      <c r="O189" s="381">
        <v>15.1</v>
      </c>
      <c r="Q189" s="400"/>
      <c r="R189" s="190"/>
      <c r="S189" s="400"/>
    </row>
    <row r="190" spans="1:19" ht="11.1" customHeight="1">
      <c r="A190" s="402">
        <v>19</v>
      </c>
      <c r="B190" s="402">
        <v>8</v>
      </c>
      <c r="C190" s="402">
        <v>8.9</v>
      </c>
      <c r="D190" s="402">
        <v>10</v>
      </c>
      <c r="E190" s="402">
        <v>11.1</v>
      </c>
      <c r="F190" s="380">
        <v>12.5</v>
      </c>
      <c r="G190" s="380">
        <v>13.9</v>
      </c>
      <c r="H190" s="381">
        <v>15.6</v>
      </c>
      <c r="I190" s="402">
        <v>7.3</v>
      </c>
      <c r="J190" s="402">
        <v>8.1999999999999993</v>
      </c>
      <c r="K190" s="402">
        <v>9.1999999999999993</v>
      </c>
      <c r="L190" s="402">
        <v>10.4</v>
      </c>
      <c r="M190" s="380">
        <v>11.8</v>
      </c>
      <c r="N190" s="380">
        <v>13.5</v>
      </c>
      <c r="O190" s="381">
        <v>15.4</v>
      </c>
      <c r="Q190" s="400"/>
      <c r="R190" s="190"/>
      <c r="S190" s="400"/>
    </row>
    <row r="191" spans="1:19" ht="12" customHeight="1">
      <c r="A191" s="398">
        <v>20</v>
      </c>
      <c r="B191" s="399">
        <v>8.1</v>
      </c>
      <c r="C191" s="399">
        <v>9.1</v>
      </c>
      <c r="D191" s="399">
        <v>10.1</v>
      </c>
      <c r="E191" s="399">
        <v>11.3</v>
      </c>
      <c r="F191" s="380">
        <v>12.7</v>
      </c>
      <c r="G191" s="380">
        <v>14.2</v>
      </c>
      <c r="H191" s="381">
        <v>15.9</v>
      </c>
      <c r="I191" s="399">
        <v>7.5</v>
      </c>
      <c r="J191" s="399">
        <v>8.4</v>
      </c>
      <c r="K191" s="399">
        <v>9.4</v>
      </c>
      <c r="L191" s="399">
        <v>10.6</v>
      </c>
      <c r="M191" s="380">
        <v>12.1</v>
      </c>
      <c r="N191" s="380">
        <v>13.7</v>
      </c>
      <c r="O191" s="381">
        <v>15.7</v>
      </c>
      <c r="Q191" s="400"/>
      <c r="R191" s="190"/>
      <c r="S191" s="400"/>
    </row>
    <row r="192" spans="1:19" ht="11.1" customHeight="1">
      <c r="A192" s="402">
        <v>21</v>
      </c>
      <c r="B192" s="402">
        <v>8.1999999999999993</v>
      </c>
      <c r="C192" s="402">
        <v>9.1999999999999993</v>
      </c>
      <c r="D192" s="402">
        <v>10.3</v>
      </c>
      <c r="E192" s="402">
        <v>11.5</v>
      </c>
      <c r="F192" s="380">
        <v>12.9</v>
      </c>
      <c r="G192" s="380">
        <v>14.5</v>
      </c>
      <c r="H192" s="381">
        <v>16.2</v>
      </c>
      <c r="I192" s="402">
        <v>7.6</v>
      </c>
      <c r="J192" s="402">
        <v>8.6</v>
      </c>
      <c r="K192" s="402">
        <v>9.6</v>
      </c>
      <c r="L192" s="402">
        <v>10.9</v>
      </c>
      <c r="M192" s="380">
        <v>12.3</v>
      </c>
      <c r="N192" s="380">
        <v>14</v>
      </c>
      <c r="O192" s="381">
        <v>16</v>
      </c>
      <c r="Q192" s="400"/>
      <c r="R192" s="190"/>
      <c r="S192" s="400"/>
    </row>
    <row r="193" spans="1:19" ht="12" customHeight="1">
      <c r="A193" s="398">
        <v>22</v>
      </c>
      <c r="B193" s="399">
        <v>8.4</v>
      </c>
      <c r="C193" s="399">
        <v>9.4</v>
      </c>
      <c r="D193" s="399">
        <v>10.5</v>
      </c>
      <c r="E193" s="399">
        <v>11.8</v>
      </c>
      <c r="F193" s="380">
        <v>13.2</v>
      </c>
      <c r="G193" s="380">
        <v>14.7</v>
      </c>
      <c r="H193" s="381">
        <v>16.5</v>
      </c>
      <c r="I193" s="399">
        <v>7.8</v>
      </c>
      <c r="J193" s="399">
        <v>8.6999999999999993</v>
      </c>
      <c r="K193" s="399">
        <v>9.8000000000000007</v>
      </c>
      <c r="L193" s="399">
        <v>11.1</v>
      </c>
      <c r="M193" s="380">
        <v>12.5</v>
      </c>
      <c r="N193" s="380">
        <v>14.3</v>
      </c>
      <c r="O193" s="381">
        <v>16.399999999999999</v>
      </c>
      <c r="Q193" s="400"/>
      <c r="R193" s="190"/>
      <c r="S193" s="400"/>
    </row>
    <row r="194" spans="1:19" ht="11.1" customHeight="1">
      <c r="A194" s="402">
        <v>23</v>
      </c>
      <c r="B194" s="402">
        <v>8.5</v>
      </c>
      <c r="C194" s="402">
        <v>9.5</v>
      </c>
      <c r="D194" s="402">
        <v>10.7</v>
      </c>
      <c r="E194" s="402">
        <v>12</v>
      </c>
      <c r="F194" s="380">
        <v>13.4</v>
      </c>
      <c r="G194" s="380">
        <v>15</v>
      </c>
      <c r="H194" s="381">
        <v>16.8</v>
      </c>
      <c r="I194" s="402">
        <v>7.9</v>
      </c>
      <c r="J194" s="402">
        <v>8.9</v>
      </c>
      <c r="K194" s="402">
        <v>10</v>
      </c>
      <c r="L194" s="402">
        <v>11.3</v>
      </c>
      <c r="M194" s="380">
        <v>12.8</v>
      </c>
      <c r="N194" s="380">
        <v>14.6</v>
      </c>
      <c r="O194" s="381">
        <v>16.7</v>
      </c>
      <c r="Q194" s="400"/>
      <c r="R194" s="190"/>
      <c r="S194" s="400"/>
    </row>
    <row r="195" spans="1:19" ht="12" customHeight="1">
      <c r="A195" s="398">
        <v>24</v>
      </c>
      <c r="B195" s="399">
        <v>8.6</v>
      </c>
      <c r="C195" s="399">
        <v>9.6999999999999993</v>
      </c>
      <c r="D195" s="399">
        <v>10.8</v>
      </c>
      <c r="E195" s="399">
        <v>12.2</v>
      </c>
      <c r="F195" s="380">
        <v>13.6</v>
      </c>
      <c r="G195" s="380">
        <v>15.3</v>
      </c>
      <c r="H195" s="382">
        <v>17.100000000000001</v>
      </c>
      <c r="I195" s="399">
        <v>8.1</v>
      </c>
      <c r="J195" s="399">
        <v>9</v>
      </c>
      <c r="K195" s="399">
        <v>10.199999999999999</v>
      </c>
      <c r="L195" s="399">
        <v>11.5</v>
      </c>
      <c r="M195" s="380">
        <v>13</v>
      </c>
      <c r="N195" s="380">
        <v>14.8</v>
      </c>
      <c r="O195" s="382">
        <v>17</v>
      </c>
      <c r="P195" s="190"/>
      <c r="Q195" s="400"/>
      <c r="R195" s="190"/>
      <c r="S195" s="400"/>
    </row>
    <row r="196" spans="1:19">
      <c r="A196" s="403">
        <v>25</v>
      </c>
      <c r="B196" s="385">
        <v>8.8000000000000007</v>
      </c>
      <c r="C196" s="385">
        <v>9.8000000000000007</v>
      </c>
      <c r="D196" s="385">
        <v>11</v>
      </c>
      <c r="E196" s="385">
        <v>12.4</v>
      </c>
      <c r="F196" s="385">
        <v>13.9</v>
      </c>
      <c r="G196" s="385">
        <v>15.5</v>
      </c>
      <c r="H196" s="385">
        <v>17.5</v>
      </c>
      <c r="I196" s="385">
        <v>8.1999999999999993</v>
      </c>
      <c r="J196" s="385">
        <v>9.1999999999999993</v>
      </c>
      <c r="K196" s="385">
        <v>10.3</v>
      </c>
      <c r="L196" s="385">
        <v>11.7</v>
      </c>
      <c r="M196" s="385">
        <v>13.3</v>
      </c>
      <c r="N196" s="385">
        <v>15.1</v>
      </c>
      <c r="O196" s="385">
        <v>17.3</v>
      </c>
    </row>
    <row r="197" spans="1:19">
      <c r="A197" s="404">
        <v>26</v>
      </c>
      <c r="B197" s="381">
        <v>8.9</v>
      </c>
      <c r="C197" s="381">
        <v>10</v>
      </c>
      <c r="D197" s="381">
        <v>11.2</v>
      </c>
      <c r="E197" s="381">
        <v>12.5</v>
      </c>
      <c r="F197" s="381">
        <v>14.1</v>
      </c>
      <c r="G197" s="381">
        <v>15.8</v>
      </c>
      <c r="H197" s="381">
        <v>17.8</v>
      </c>
      <c r="I197" s="381">
        <v>8.4</v>
      </c>
      <c r="J197" s="381">
        <v>9.4</v>
      </c>
      <c r="K197" s="381">
        <v>10.5</v>
      </c>
      <c r="L197" s="381">
        <v>11.9</v>
      </c>
      <c r="M197" s="381">
        <v>13.5</v>
      </c>
      <c r="N197" s="381">
        <v>15.4</v>
      </c>
      <c r="O197" s="381">
        <v>17.7</v>
      </c>
    </row>
    <row r="198" spans="1:19">
      <c r="A198" s="404">
        <v>27</v>
      </c>
      <c r="B198" s="381">
        <v>9</v>
      </c>
      <c r="C198" s="381">
        <v>10.1</v>
      </c>
      <c r="D198" s="381">
        <v>11.3</v>
      </c>
      <c r="E198" s="381">
        <v>12.7</v>
      </c>
      <c r="F198" s="381">
        <v>14.3</v>
      </c>
      <c r="G198" s="381">
        <v>16.100000000000001</v>
      </c>
      <c r="H198" s="381">
        <v>18.100000000000001</v>
      </c>
      <c r="I198" s="381">
        <v>8.5</v>
      </c>
      <c r="J198" s="381">
        <v>9.5</v>
      </c>
      <c r="K198" s="381">
        <v>10.7</v>
      </c>
      <c r="L198" s="381">
        <v>12.1</v>
      </c>
      <c r="M198" s="381">
        <v>13.7</v>
      </c>
      <c r="N198" s="381">
        <v>15.7</v>
      </c>
      <c r="O198" s="381">
        <v>18</v>
      </c>
    </row>
    <row r="199" spans="1:19">
      <c r="A199" s="404">
        <v>28</v>
      </c>
      <c r="B199" s="381">
        <v>9.1</v>
      </c>
      <c r="C199" s="381">
        <v>10.199999999999999</v>
      </c>
      <c r="D199" s="381">
        <v>11.5</v>
      </c>
      <c r="E199" s="381">
        <v>12.9</v>
      </c>
      <c r="F199" s="381">
        <v>14.5</v>
      </c>
      <c r="G199" s="381">
        <v>16.3</v>
      </c>
      <c r="H199" s="381">
        <v>18.399999999999999</v>
      </c>
      <c r="I199" s="381">
        <v>8.6</v>
      </c>
      <c r="J199" s="381">
        <v>9.6999999999999993</v>
      </c>
      <c r="K199" s="381">
        <v>10.9</v>
      </c>
      <c r="L199" s="381">
        <v>12.3</v>
      </c>
      <c r="M199" s="381">
        <v>14</v>
      </c>
      <c r="N199" s="381">
        <v>16</v>
      </c>
      <c r="O199" s="381">
        <v>18.3</v>
      </c>
    </row>
    <row r="200" spans="1:19">
      <c r="A200" s="404">
        <v>29</v>
      </c>
      <c r="B200" s="381">
        <v>9.1999999999999993</v>
      </c>
      <c r="C200" s="381">
        <v>10.4</v>
      </c>
      <c r="D200" s="381">
        <v>11.7</v>
      </c>
      <c r="E200" s="381">
        <v>13.1</v>
      </c>
      <c r="F200" s="381">
        <v>14.8</v>
      </c>
      <c r="G200" s="381">
        <v>16.600000000000001</v>
      </c>
      <c r="H200" s="381">
        <v>18.7</v>
      </c>
      <c r="I200" s="381">
        <v>8.8000000000000007</v>
      </c>
      <c r="J200" s="381">
        <v>9.8000000000000007</v>
      </c>
      <c r="K200" s="381">
        <v>11.1</v>
      </c>
      <c r="L200" s="381">
        <v>12.5</v>
      </c>
      <c r="M200" s="381">
        <v>14.2</v>
      </c>
      <c r="N200" s="381">
        <v>16.2</v>
      </c>
      <c r="O200" s="381">
        <v>18.7</v>
      </c>
    </row>
    <row r="201" spans="1:19">
      <c r="A201" s="404">
        <v>30</v>
      </c>
      <c r="B201" s="381">
        <v>9.4</v>
      </c>
      <c r="C201" s="381">
        <v>10.5</v>
      </c>
      <c r="D201" s="381">
        <v>11.8</v>
      </c>
      <c r="E201" s="381">
        <v>13.3</v>
      </c>
      <c r="F201" s="381">
        <v>15</v>
      </c>
      <c r="G201" s="381">
        <v>16.899999999999999</v>
      </c>
      <c r="H201" s="381">
        <v>19</v>
      </c>
      <c r="I201" s="381">
        <v>8.9</v>
      </c>
      <c r="J201" s="381">
        <v>10</v>
      </c>
      <c r="K201" s="381">
        <v>11.2</v>
      </c>
      <c r="L201" s="381">
        <v>12.7</v>
      </c>
      <c r="M201" s="381">
        <v>14.4</v>
      </c>
      <c r="N201" s="381">
        <v>16.5</v>
      </c>
      <c r="O201" s="381">
        <v>19</v>
      </c>
    </row>
    <row r="202" spans="1:19">
      <c r="A202" s="404">
        <v>31</v>
      </c>
      <c r="B202" s="381">
        <v>9.5</v>
      </c>
      <c r="C202" s="381">
        <v>10.7</v>
      </c>
      <c r="D202" s="381">
        <v>12</v>
      </c>
      <c r="E202" s="381">
        <v>13.5</v>
      </c>
      <c r="F202" s="381">
        <v>15.2</v>
      </c>
      <c r="G202" s="381">
        <v>17.100000000000001</v>
      </c>
      <c r="H202" s="381">
        <v>19.3</v>
      </c>
      <c r="I202" s="381">
        <v>9</v>
      </c>
      <c r="J202" s="381">
        <v>10.1</v>
      </c>
      <c r="K202" s="381">
        <v>11.4</v>
      </c>
      <c r="L202" s="381">
        <v>12.9</v>
      </c>
      <c r="M202" s="381">
        <v>14.7</v>
      </c>
      <c r="N202" s="381">
        <v>16.8</v>
      </c>
      <c r="O202" s="381">
        <v>19.3</v>
      </c>
    </row>
    <row r="203" spans="1:19">
      <c r="A203" s="404">
        <v>32</v>
      </c>
      <c r="B203" s="381">
        <v>9.6</v>
      </c>
      <c r="C203" s="381">
        <v>10.8</v>
      </c>
      <c r="D203" s="381">
        <v>12.1</v>
      </c>
      <c r="E203" s="381">
        <v>13.7</v>
      </c>
      <c r="F203" s="381">
        <v>15.4</v>
      </c>
      <c r="G203" s="381">
        <v>17.399999999999999</v>
      </c>
      <c r="H203" s="381">
        <v>19.600000000000001</v>
      </c>
      <c r="I203" s="381">
        <v>9.1</v>
      </c>
      <c r="J203" s="381">
        <v>10.3</v>
      </c>
      <c r="K203" s="381">
        <v>11.6</v>
      </c>
      <c r="L203" s="381">
        <v>13.1</v>
      </c>
      <c r="M203" s="381">
        <v>14.9</v>
      </c>
      <c r="N203" s="381">
        <v>17.100000000000001</v>
      </c>
      <c r="O203" s="381">
        <v>19.600000000000001</v>
      </c>
    </row>
    <row r="204" spans="1:19">
      <c r="A204" s="404">
        <v>33</v>
      </c>
      <c r="B204" s="381">
        <v>9.6999999999999993</v>
      </c>
      <c r="C204" s="381">
        <v>10.9</v>
      </c>
      <c r="D204" s="381">
        <v>12.3</v>
      </c>
      <c r="E204" s="381">
        <v>13.8</v>
      </c>
      <c r="F204" s="381">
        <v>15.6</v>
      </c>
      <c r="G204" s="381">
        <v>17.600000000000001</v>
      </c>
      <c r="H204" s="381">
        <v>19.899999999999999</v>
      </c>
      <c r="I204" s="381">
        <v>9.3000000000000007</v>
      </c>
      <c r="J204" s="381">
        <v>10.4</v>
      </c>
      <c r="K204" s="381">
        <v>11.7</v>
      </c>
      <c r="L204" s="381">
        <v>13.3</v>
      </c>
      <c r="M204" s="381">
        <v>15.1</v>
      </c>
      <c r="N204" s="381">
        <v>17.3</v>
      </c>
      <c r="O204" s="381">
        <v>20</v>
      </c>
    </row>
    <row r="205" spans="1:19">
      <c r="A205" s="404">
        <v>34</v>
      </c>
      <c r="B205" s="381">
        <v>9.8000000000000007</v>
      </c>
      <c r="C205" s="381">
        <v>11</v>
      </c>
      <c r="D205" s="381">
        <v>12.4</v>
      </c>
      <c r="E205" s="381">
        <v>14</v>
      </c>
      <c r="F205" s="381">
        <v>15.8</v>
      </c>
      <c r="G205" s="381">
        <v>17.8</v>
      </c>
      <c r="H205" s="381">
        <v>20.2</v>
      </c>
      <c r="I205" s="381">
        <v>9.4</v>
      </c>
      <c r="J205" s="381">
        <v>10.5</v>
      </c>
      <c r="K205" s="381">
        <v>11.9</v>
      </c>
      <c r="L205" s="381">
        <v>13.5</v>
      </c>
      <c r="M205" s="381">
        <v>15.4</v>
      </c>
      <c r="N205" s="381">
        <v>17.600000000000001</v>
      </c>
      <c r="O205" s="381">
        <v>20.3</v>
      </c>
    </row>
    <row r="206" spans="1:19">
      <c r="A206" s="404">
        <v>35</v>
      </c>
      <c r="B206" s="381">
        <v>9.9</v>
      </c>
      <c r="C206" s="381">
        <v>11.2</v>
      </c>
      <c r="D206" s="381">
        <v>12.6</v>
      </c>
      <c r="E206" s="381">
        <v>14.2</v>
      </c>
      <c r="F206" s="381">
        <v>16</v>
      </c>
      <c r="G206" s="381">
        <v>18.100000000000001</v>
      </c>
      <c r="H206" s="381">
        <v>20.399999999999999</v>
      </c>
      <c r="I206" s="381">
        <v>9.5</v>
      </c>
      <c r="J206" s="381">
        <v>10.7</v>
      </c>
      <c r="K206" s="381">
        <v>12</v>
      </c>
      <c r="L206" s="381">
        <v>13.7</v>
      </c>
      <c r="M206" s="381">
        <v>15.6</v>
      </c>
      <c r="N206" s="381">
        <v>17.899999999999999</v>
      </c>
      <c r="O206" s="381">
        <v>20.6</v>
      </c>
    </row>
    <row r="207" spans="1:19">
      <c r="A207" s="404">
        <v>36</v>
      </c>
      <c r="B207" s="381">
        <v>10</v>
      </c>
      <c r="C207" s="381">
        <v>11.3</v>
      </c>
      <c r="D207" s="381">
        <v>12.7</v>
      </c>
      <c r="E207" s="381">
        <v>14.3</v>
      </c>
      <c r="F207" s="381">
        <v>16.2</v>
      </c>
      <c r="G207" s="381">
        <v>18.3</v>
      </c>
      <c r="H207" s="381">
        <v>20.7</v>
      </c>
      <c r="I207" s="381">
        <v>9.6</v>
      </c>
      <c r="J207" s="381">
        <v>10.8</v>
      </c>
      <c r="K207" s="381">
        <v>12.2</v>
      </c>
      <c r="L207" s="381">
        <v>13.9</v>
      </c>
      <c r="M207" s="381">
        <v>15.8</v>
      </c>
      <c r="N207" s="381">
        <v>18.100000000000001</v>
      </c>
      <c r="O207" s="381">
        <v>20.9</v>
      </c>
    </row>
    <row r="208" spans="1:19">
      <c r="A208" s="404">
        <v>37</v>
      </c>
      <c r="B208" s="381">
        <v>10.1</v>
      </c>
      <c r="C208" s="381">
        <v>11.4</v>
      </c>
      <c r="D208" s="381">
        <v>12.9</v>
      </c>
      <c r="E208" s="381">
        <v>14.5</v>
      </c>
      <c r="F208" s="381">
        <v>16.399999999999999</v>
      </c>
      <c r="G208" s="381">
        <v>18.600000000000001</v>
      </c>
      <c r="H208" s="381">
        <v>21</v>
      </c>
      <c r="I208" s="381">
        <v>9.6999999999999993</v>
      </c>
      <c r="J208" s="381">
        <v>10.9</v>
      </c>
      <c r="K208" s="381">
        <v>12.4</v>
      </c>
      <c r="L208" s="381">
        <v>14</v>
      </c>
      <c r="M208" s="381">
        <v>16</v>
      </c>
      <c r="N208" s="381">
        <v>18.399999999999999</v>
      </c>
      <c r="O208" s="381">
        <v>21.3</v>
      </c>
    </row>
    <row r="209" spans="1:15">
      <c r="A209" s="404">
        <v>38</v>
      </c>
      <c r="B209" s="381">
        <v>10.199999999999999</v>
      </c>
      <c r="C209" s="381">
        <v>11.5</v>
      </c>
      <c r="D209" s="381">
        <v>13</v>
      </c>
      <c r="E209" s="381">
        <v>14.7</v>
      </c>
      <c r="F209" s="381">
        <v>16.600000000000001</v>
      </c>
      <c r="G209" s="381">
        <v>18.8</v>
      </c>
      <c r="H209" s="381">
        <v>21.3</v>
      </c>
      <c r="I209" s="381">
        <v>9.8000000000000007</v>
      </c>
      <c r="J209" s="381">
        <v>11.1</v>
      </c>
      <c r="K209" s="381">
        <v>12.5</v>
      </c>
      <c r="L209" s="381">
        <v>14.2</v>
      </c>
      <c r="M209" s="381">
        <v>16.3</v>
      </c>
      <c r="N209" s="381">
        <v>18.7</v>
      </c>
      <c r="O209" s="381">
        <v>21.6</v>
      </c>
    </row>
    <row r="210" spans="1:15">
      <c r="A210" s="404">
        <v>39</v>
      </c>
      <c r="B210" s="381">
        <v>10.3</v>
      </c>
      <c r="C210" s="381">
        <v>11.6</v>
      </c>
      <c r="D210" s="381">
        <v>13.1</v>
      </c>
      <c r="E210" s="381">
        <v>14.8</v>
      </c>
      <c r="F210" s="381">
        <v>16.8</v>
      </c>
      <c r="G210" s="381">
        <v>19</v>
      </c>
      <c r="H210" s="381">
        <v>21.6</v>
      </c>
      <c r="I210" s="381">
        <v>9.9</v>
      </c>
      <c r="J210" s="381">
        <v>11.2</v>
      </c>
      <c r="K210" s="381">
        <v>12.7</v>
      </c>
      <c r="L210" s="381">
        <v>14.4</v>
      </c>
      <c r="M210" s="381">
        <v>16.5</v>
      </c>
      <c r="N210" s="381">
        <v>19</v>
      </c>
      <c r="O210" s="381">
        <v>22</v>
      </c>
    </row>
    <row r="211" spans="1:15">
      <c r="A211" s="404">
        <v>40</v>
      </c>
      <c r="B211" s="381">
        <v>10.4</v>
      </c>
      <c r="C211" s="381">
        <v>11.8</v>
      </c>
      <c r="D211" s="381">
        <v>13.3</v>
      </c>
      <c r="E211" s="381">
        <v>15</v>
      </c>
      <c r="F211" s="381">
        <v>17</v>
      </c>
      <c r="G211" s="381">
        <v>19.3</v>
      </c>
      <c r="H211" s="381">
        <v>21.9</v>
      </c>
      <c r="I211" s="381">
        <v>10.1</v>
      </c>
      <c r="J211" s="381">
        <v>11.3</v>
      </c>
      <c r="K211" s="381">
        <v>12.8</v>
      </c>
      <c r="L211" s="381">
        <v>14.6</v>
      </c>
      <c r="M211" s="381">
        <v>16.7</v>
      </c>
      <c r="N211" s="381">
        <v>19.2</v>
      </c>
      <c r="O211" s="381">
        <v>22.3</v>
      </c>
    </row>
    <row r="212" spans="1:15">
      <c r="A212" s="404">
        <v>41</v>
      </c>
      <c r="B212" s="381">
        <v>10.5</v>
      </c>
      <c r="C212" s="381">
        <v>11.9</v>
      </c>
      <c r="D212" s="381">
        <v>13.4</v>
      </c>
      <c r="E212" s="381">
        <v>15.2</v>
      </c>
      <c r="F212" s="381">
        <v>17.2</v>
      </c>
      <c r="G212" s="381">
        <v>19.5</v>
      </c>
      <c r="H212" s="381">
        <v>22.1</v>
      </c>
      <c r="I212" s="381">
        <v>10.199999999999999</v>
      </c>
      <c r="J212" s="381">
        <v>11.5</v>
      </c>
      <c r="K212" s="381">
        <v>13</v>
      </c>
      <c r="L212" s="381">
        <v>14.8</v>
      </c>
      <c r="M212" s="381">
        <v>16.899999999999999</v>
      </c>
      <c r="N212" s="381">
        <v>19.5</v>
      </c>
      <c r="O212" s="381">
        <v>22.7</v>
      </c>
    </row>
    <row r="213" spans="1:15">
      <c r="A213" s="404">
        <v>42</v>
      </c>
      <c r="B213" s="381">
        <v>10.6</v>
      </c>
      <c r="C213" s="381">
        <v>12</v>
      </c>
      <c r="D213" s="381">
        <v>13.6</v>
      </c>
      <c r="E213" s="381">
        <v>15.3</v>
      </c>
      <c r="F213" s="381">
        <v>17.399999999999999</v>
      </c>
      <c r="G213" s="381">
        <v>19.7</v>
      </c>
      <c r="H213" s="381">
        <v>22.4</v>
      </c>
      <c r="I213" s="381">
        <v>10.3</v>
      </c>
      <c r="J213" s="381">
        <v>11.6</v>
      </c>
      <c r="K213" s="381">
        <v>13.1</v>
      </c>
      <c r="L213" s="381">
        <v>15</v>
      </c>
      <c r="M213" s="381">
        <v>17.2</v>
      </c>
      <c r="N213" s="381">
        <v>19.8</v>
      </c>
      <c r="O213" s="381">
        <v>23</v>
      </c>
    </row>
    <row r="214" spans="1:15">
      <c r="A214" s="404">
        <v>43</v>
      </c>
      <c r="B214" s="381">
        <v>10.7</v>
      </c>
      <c r="C214" s="381">
        <v>12.1</v>
      </c>
      <c r="D214" s="381">
        <v>13.7</v>
      </c>
      <c r="E214" s="381">
        <v>15.5</v>
      </c>
      <c r="F214" s="381">
        <v>17.600000000000001</v>
      </c>
      <c r="G214" s="381">
        <v>20</v>
      </c>
      <c r="H214" s="381">
        <v>22.7</v>
      </c>
      <c r="I214" s="381">
        <v>10.4</v>
      </c>
      <c r="J214" s="381">
        <v>11.7</v>
      </c>
      <c r="K214" s="381">
        <v>13.3</v>
      </c>
      <c r="L214" s="381">
        <v>15.2</v>
      </c>
      <c r="M214" s="381">
        <v>17.399999999999999</v>
      </c>
      <c r="N214" s="381">
        <v>20.100000000000001</v>
      </c>
      <c r="O214" s="381">
        <v>23.4</v>
      </c>
    </row>
    <row r="215" spans="1:15">
      <c r="A215" s="404">
        <v>44</v>
      </c>
      <c r="B215" s="381">
        <v>10.8</v>
      </c>
      <c r="C215" s="381">
        <v>12.2</v>
      </c>
      <c r="D215" s="381">
        <v>13.8</v>
      </c>
      <c r="E215" s="381">
        <v>15.7</v>
      </c>
      <c r="F215" s="381">
        <v>17.8</v>
      </c>
      <c r="G215" s="381">
        <v>20.2</v>
      </c>
      <c r="H215" s="381">
        <v>23</v>
      </c>
      <c r="I215" s="381">
        <v>10.5</v>
      </c>
      <c r="J215" s="381">
        <v>11.8</v>
      </c>
      <c r="K215" s="381">
        <v>13.4</v>
      </c>
      <c r="L215" s="381">
        <v>15.3</v>
      </c>
      <c r="M215" s="381">
        <v>17.600000000000001</v>
      </c>
      <c r="N215" s="381">
        <v>20.399999999999999</v>
      </c>
      <c r="O215" s="381">
        <v>23.7</v>
      </c>
    </row>
    <row r="216" spans="1:15">
      <c r="A216" s="404">
        <v>45</v>
      </c>
      <c r="B216" s="381">
        <v>10.9</v>
      </c>
      <c r="C216" s="381">
        <v>12.4</v>
      </c>
      <c r="D216" s="381">
        <v>14</v>
      </c>
      <c r="E216" s="381">
        <v>15.8</v>
      </c>
      <c r="F216" s="381">
        <v>18</v>
      </c>
      <c r="G216" s="381">
        <v>20.5</v>
      </c>
      <c r="H216" s="381">
        <v>23.3</v>
      </c>
      <c r="I216" s="381">
        <v>10.6</v>
      </c>
      <c r="J216" s="381">
        <v>12</v>
      </c>
      <c r="K216" s="381">
        <v>13.6</v>
      </c>
      <c r="L216" s="381">
        <v>15.5</v>
      </c>
      <c r="M216" s="381">
        <v>17.8</v>
      </c>
      <c r="N216" s="381">
        <v>20.7</v>
      </c>
      <c r="O216" s="381">
        <v>24.1</v>
      </c>
    </row>
    <row r="217" spans="1:15">
      <c r="A217" s="404">
        <v>46</v>
      </c>
      <c r="B217" s="381">
        <v>11</v>
      </c>
      <c r="C217" s="381">
        <v>12.5</v>
      </c>
      <c r="D217" s="381">
        <v>14.1</v>
      </c>
      <c r="E217" s="381">
        <v>16</v>
      </c>
      <c r="F217" s="381">
        <v>18.2</v>
      </c>
      <c r="G217" s="381">
        <v>20.7</v>
      </c>
      <c r="H217" s="381">
        <v>23.6</v>
      </c>
      <c r="I217" s="381">
        <v>10.7</v>
      </c>
      <c r="J217" s="381">
        <v>12.1</v>
      </c>
      <c r="K217" s="381">
        <v>13.7</v>
      </c>
      <c r="L217" s="381">
        <v>15.7</v>
      </c>
      <c r="M217" s="381">
        <v>18.100000000000001</v>
      </c>
      <c r="N217" s="381">
        <v>20.9</v>
      </c>
      <c r="O217" s="381">
        <v>24.5</v>
      </c>
    </row>
    <row r="218" spans="1:15">
      <c r="A218" s="404">
        <v>47</v>
      </c>
      <c r="B218" s="381">
        <v>11.1</v>
      </c>
      <c r="C218" s="381">
        <v>12.6</v>
      </c>
      <c r="D218" s="381">
        <v>14.3</v>
      </c>
      <c r="E218" s="381">
        <v>16.2</v>
      </c>
      <c r="F218" s="381">
        <v>18.399999999999999</v>
      </c>
      <c r="G218" s="381">
        <v>20.9</v>
      </c>
      <c r="H218" s="381">
        <v>23.9</v>
      </c>
      <c r="I218" s="381">
        <v>10.8</v>
      </c>
      <c r="J218" s="381">
        <v>12.2</v>
      </c>
      <c r="K218" s="381">
        <v>13.9</v>
      </c>
      <c r="L218" s="381">
        <v>15.9</v>
      </c>
      <c r="M218" s="381">
        <v>18.3</v>
      </c>
      <c r="N218" s="381">
        <v>21.2</v>
      </c>
      <c r="O218" s="381">
        <v>24.8</v>
      </c>
    </row>
    <row r="219" spans="1:15">
      <c r="A219" s="405">
        <v>48</v>
      </c>
      <c r="B219" s="382">
        <v>11.2</v>
      </c>
      <c r="C219" s="382">
        <v>12.7</v>
      </c>
      <c r="D219" s="382">
        <v>14.4</v>
      </c>
      <c r="E219" s="382">
        <v>16.3</v>
      </c>
      <c r="F219" s="386">
        <v>18.600000000000001</v>
      </c>
      <c r="G219" s="386">
        <v>21.2</v>
      </c>
      <c r="H219" s="382">
        <v>24.2</v>
      </c>
      <c r="I219" s="382">
        <v>10.9</v>
      </c>
      <c r="J219" s="382">
        <v>12.3</v>
      </c>
      <c r="K219" s="382">
        <v>14</v>
      </c>
      <c r="L219" s="382">
        <v>16.100000000000001</v>
      </c>
      <c r="M219" s="387">
        <v>18.5</v>
      </c>
      <c r="N219" s="387">
        <v>21.5</v>
      </c>
      <c r="O219" s="382">
        <v>25.2</v>
      </c>
    </row>
    <row r="220" spans="1:15">
      <c r="A220" s="403">
        <v>49</v>
      </c>
      <c r="B220" s="385">
        <v>11.3</v>
      </c>
      <c r="C220" s="385">
        <v>12.8</v>
      </c>
      <c r="D220" s="385">
        <v>14.5</v>
      </c>
      <c r="E220" s="385">
        <v>16.5</v>
      </c>
      <c r="F220" s="385">
        <v>18.8</v>
      </c>
      <c r="G220" s="385">
        <v>21.4</v>
      </c>
      <c r="H220" s="385">
        <v>24.5</v>
      </c>
      <c r="I220" s="385">
        <v>11</v>
      </c>
      <c r="J220" s="385">
        <v>12.4</v>
      </c>
      <c r="K220" s="385">
        <v>14.2</v>
      </c>
      <c r="L220" s="385">
        <v>16.3</v>
      </c>
      <c r="M220" s="385">
        <v>18.8</v>
      </c>
      <c r="N220" s="385">
        <v>21.8</v>
      </c>
      <c r="O220" s="385">
        <v>25.5</v>
      </c>
    </row>
    <row r="221" spans="1:15">
      <c r="A221" s="404">
        <v>50</v>
      </c>
      <c r="B221" s="381">
        <v>11.4</v>
      </c>
      <c r="C221" s="381">
        <v>12.9</v>
      </c>
      <c r="D221" s="381">
        <v>14.7</v>
      </c>
      <c r="E221" s="381">
        <v>16.7</v>
      </c>
      <c r="F221" s="381">
        <v>19</v>
      </c>
      <c r="G221" s="381">
        <v>21.7</v>
      </c>
      <c r="H221" s="381">
        <v>24.8</v>
      </c>
      <c r="I221" s="381">
        <v>11.1</v>
      </c>
      <c r="J221" s="381">
        <v>12.6</v>
      </c>
      <c r="K221" s="381">
        <v>14.3</v>
      </c>
      <c r="L221" s="381">
        <v>16.399999999999999</v>
      </c>
      <c r="M221" s="381">
        <v>19</v>
      </c>
      <c r="N221" s="381">
        <v>22.1</v>
      </c>
      <c r="O221" s="381">
        <v>25.9</v>
      </c>
    </row>
    <row r="222" spans="1:15">
      <c r="A222" s="404">
        <v>51</v>
      </c>
      <c r="B222" s="381">
        <v>11.5</v>
      </c>
      <c r="C222" s="381">
        <v>13.1</v>
      </c>
      <c r="D222" s="381">
        <v>14.8</v>
      </c>
      <c r="E222" s="381">
        <v>16.8</v>
      </c>
      <c r="F222" s="381">
        <v>19.2</v>
      </c>
      <c r="G222" s="381">
        <v>21.9</v>
      </c>
      <c r="H222" s="381">
        <v>25.1</v>
      </c>
      <c r="I222" s="381">
        <v>11.2</v>
      </c>
      <c r="J222" s="381">
        <v>12.7</v>
      </c>
      <c r="K222" s="381">
        <v>14.5</v>
      </c>
      <c r="L222" s="381">
        <v>16.600000000000001</v>
      </c>
      <c r="M222" s="381">
        <v>19.2</v>
      </c>
      <c r="N222" s="381">
        <v>22.4</v>
      </c>
      <c r="O222" s="381">
        <v>26.3</v>
      </c>
    </row>
    <row r="223" spans="1:15">
      <c r="A223" s="404">
        <v>52</v>
      </c>
      <c r="B223" s="381">
        <v>11.6</v>
      </c>
      <c r="C223" s="381">
        <v>13.2</v>
      </c>
      <c r="D223" s="381">
        <v>15</v>
      </c>
      <c r="E223" s="381">
        <v>17</v>
      </c>
      <c r="F223" s="381">
        <v>19.399999999999999</v>
      </c>
      <c r="G223" s="381">
        <v>22.2</v>
      </c>
      <c r="H223" s="381">
        <v>25.4</v>
      </c>
      <c r="I223" s="381">
        <v>11.3</v>
      </c>
      <c r="J223" s="381">
        <v>12.8</v>
      </c>
      <c r="K223" s="381">
        <v>14.6</v>
      </c>
      <c r="L223" s="381">
        <v>16.8</v>
      </c>
      <c r="M223" s="381">
        <v>19.399999999999999</v>
      </c>
      <c r="N223" s="381">
        <v>22.6</v>
      </c>
      <c r="O223" s="381">
        <v>26.6</v>
      </c>
    </row>
    <row r="224" spans="1:15">
      <c r="A224" s="404">
        <v>53</v>
      </c>
      <c r="B224" s="381">
        <v>11.7</v>
      </c>
      <c r="C224" s="381">
        <v>13.3</v>
      </c>
      <c r="D224" s="381">
        <v>15.1</v>
      </c>
      <c r="E224" s="381">
        <v>17.2</v>
      </c>
      <c r="F224" s="381">
        <v>19.600000000000001</v>
      </c>
      <c r="G224" s="381">
        <v>22.4</v>
      </c>
      <c r="H224" s="381">
        <v>25.7</v>
      </c>
      <c r="I224" s="381">
        <v>11.4</v>
      </c>
      <c r="J224" s="381">
        <v>12.9</v>
      </c>
      <c r="K224" s="381">
        <v>14.8</v>
      </c>
      <c r="L224" s="381">
        <v>17</v>
      </c>
      <c r="M224" s="381">
        <v>19.7</v>
      </c>
      <c r="N224" s="381">
        <v>22.9</v>
      </c>
      <c r="O224" s="381">
        <v>27</v>
      </c>
    </row>
    <row r="225" spans="1:15">
      <c r="A225" s="404">
        <v>54</v>
      </c>
      <c r="B225" s="381">
        <v>11.8</v>
      </c>
      <c r="C225" s="381">
        <v>13.4</v>
      </c>
      <c r="D225" s="381">
        <v>15.2</v>
      </c>
      <c r="E225" s="381">
        <v>17.3</v>
      </c>
      <c r="F225" s="381">
        <v>19.8</v>
      </c>
      <c r="G225" s="381">
        <v>22.7</v>
      </c>
      <c r="H225" s="381">
        <v>26</v>
      </c>
      <c r="I225" s="381">
        <v>11.5</v>
      </c>
      <c r="J225" s="381">
        <v>13</v>
      </c>
      <c r="K225" s="381">
        <v>14.9</v>
      </c>
      <c r="L225" s="381">
        <v>17.2</v>
      </c>
      <c r="M225" s="381">
        <v>19.899999999999999</v>
      </c>
      <c r="N225" s="381">
        <v>23.2</v>
      </c>
      <c r="O225" s="381">
        <v>27.4</v>
      </c>
    </row>
    <row r="226" spans="1:15">
      <c r="A226" s="404">
        <v>55</v>
      </c>
      <c r="B226" s="381">
        <v>11.9</v>
      </c>
      <c r="C226" s="381">
        <v>13.5</v>
      </c>
      <c r="D226" s="381">
        <v>15.4</v>
      </c>
      <c r="E226" s="381">
        <v>17.5</v>
      </c>
      <c r="F226" s="381">
        <v>20</v>
      </c>
      <c r="G226" s="381">
        <v>22.9</v>
      </c>
      <c r="H226" s="381">
        <v>26.3</v>
      </c>
      <c r="I226" s="381">
        <v>11.6</v>
      </c>
      <c r="J226" s="381">
        <v>13.2</v>
      </c>
      <c r="K226" s="381">
        <v>15.1</v>
      </c>
      <c r="L226" s="381">
        <v>17.3</v>
      </c>
      <c r="M226" s="381">
        <v>20.100000000000001</v>
      </c>
      <c r="N226" s="381">
        <v>23.5</v>
      </c>
      <c r="O226" s="381">
        <v>27.7</v>
      </c>
    </row>
    <row r="227" spans="1:15">
      <c r="A227" s="404">
        <v>56</v>
      </c>
      <c r="B227" s="381">
        <v>12</v>
      </c>
      <c r="C227" s="381">
        <v>13.6</v>
      </c>
      <c r="D227" s="381">
        <v>15.5</v>
      </c>
      <c r="E227" s="381">
        <v>17.7</v>
      </c>
      <c r="F227" s="381">
        <v>20.2</v>
      </c>
      <c r="G227" s="381">
        <v>23.2</v>
      </c>
      <c r="H227" s="381">
        <v>26.6</v>
      </c>
      <c r="I227" s="381">
        <v>11.7</v>
      </c>
      <c r="J227" s="381">
        <v>13.3</v>
      </c>
      <c r="K227" s="381">
        <v>15.2</v>
      </c>
      <c r="L227" s="381">
        <v>17.5</v>
      </c>
      <c r="M227" s="381">
        <v>20.3</v>
      </c>
      <c r="N227" s="381">
        <v>23.8</v>
      </c>
      <c r="O227" s="381">
        <v>28.1</v>
      </c>
    </row>
    <row r="228" spans="1:15">
      <c r="A228" s="404">
        <v>57</v>
      </c>
      <c r="B228" s="381">
        <v>12.1</v>
      </c>
      <c r="C228" s="381">
        <v>13.7</v>
      </c>
      <c r="D228" s="381">
        <v>15.6</v>
      </c>
      <c r="E228" s="381">
        <v>17.8</v>
      </c>
      <c r="F228" s="381">
        <v>20.399999999999999</v>
      </c>
      <c r="G228" s="381">
        <v>23.4</v>
      </c>
      <c r="H228" s="381">
        <v>26.9</v>
      </c>
      <c r="I228" s="381">
        <v>11.8</v>
      </c>
      <c r="J228" s="381">
        <v>13.4</v>
      </c>
      <c r="K228" s="381">
        <v>15.3</v>
      </c>
      <c r="L228" s="381">
        <v>17.7</v>
      </c>
      <c r="M228" s="381">
        <v>20.6</v>
      </c>
      <c r="N228" s="381">
        <v>24.1</v>
      </c>
      <c r="O228" s="381">
        <v>28.5</v>
      </c>
    </row>
    <row r="229" spans="1:15">
      <c r="A229" s="404">
        <v>58</v>
      </c>
      <c r="B229" s="381">
        <v>12.2</v>
      </c>
      <c r="C229" s="381">
        <v>13.8</v>
      </c>
      <c r="D229" s="381">
        <v>15.8</v>
      </c>
      <c r="E229" s="381">
        <v>18</v>
      </c>
      <c r="F229" s="381">
        <v>20.6</v>
      </c>
      <c r="G229" s="381">
        <v>23.7</v>
      </c>
      <c r="H229" s="381">
        <v>27.2</v>
      </c>
      <c r="I229" s="381">
        <v>11.9</v>
      </c>
      <c r="J229" s="381">
        <v>13.5</v>
      </c>
      <c r="K229" s="381">
        <v>15.5</v>
      </c>
      <c r="L229" s="381">
        <v>17.899999999999999</v>
      </c>
      <c r="M229" s="381">
        <v>20.8</v>
      </c>
      <c r="N229" s="381">
        <v>24.4</v>
      </c>
      <c r="O229" s="381">
        <v>28.8</v>
      </c>
    </row>
    <row r="230" spans="1:15">
      <c r="A230" s="404">
        <v>59</v>
      </c>
      <c r="B230" s="381">
        <v>12.3</v>
      </c>
      <c r="C230" s="381">
        <v>14</v>
      </c>
      <c r="D230" s="381">
        <v>15.9</v>
      </c>
      <c r="E230" s="381">
        <v>18.2</v>
      </c>
      <c r="F230" s="381">
        <v>20.8</v>
      </c>
      <c r="G230" s="381">
        <v>23.9</v>
      </c>
      <c r="H230" s="381">
        <v>27.6</v>
      </c>
      <c r="I230" s="381">
        <v>12</v>
      </c>
      <c r="J230" s="381">
        <v>13.6</v>
      </c>
      <c r="K230" s="381">
        <v>15.6</v>
      </c>
      <c r="L230" s="381">
        <v>18</v>
      </c>
      <c r="M230" s="381">
        <v>21</v>
      </c>
      <c r="N230" s="381">
        <v>24.6</v>
      </c>
      <c r="O230" s="381">
        <v>29.2</v>
      </c>
    </row>
    <row r="231" spans="1:15">
      <c r="A231" s="405">
        <v>60</v>
      </c>
      <c r="B231" s="382">
        <v>12.4</v>
      </c>
      <c r="C231" s="382">
        <v>14.1</v>
      </c>
      <c r="D231" s="382">
        <v>16</v>
      </c>
      <c r="E231" s="382">
        <v>18.3</v>
      </c>
      <c r="F231" s="386">
        <v>21</v>
      </c>
      <c r="G231" s="386">
        <v>24.2</v>
      </c>
      <c r="H231" s="382">
        <v>27.9</v>
      </c>
      <c r="I231" s="382">
        <v>12.1</v>
      </c>
      <c r="J231" s="382">
        <v>13.7</v>
      </c>
      <c r="K231" s="382">
        <v>15.8</v>
      </c>
      <c r="L231" s="382">
        <v>18.2</v>
      </c>
      <c r="M231" s="387">
        <v>21.2</v>
      </c>
      <c r="N231" s="387">
        <v>24.9</v>
      </c>
      <c r="O231" s="382">
        <v>29.5</v>
      </c>
    </row>
    <row r="233" spans="1:15">
      <c r="A233" s="406" t="s">
        <v>556</v>
      </c>
      <c r="B233" s="407"/>
    </row>
    <row r="234" spans="1:15">
      <c r="B234" s="408" t="s">
        <v>538</v>
      </c>
      <c r="C234" s="409"/>
      <c r="D234" s="409"/>
      <c r="E234" s="409"/>
      <c r="F234" s="409"/>
      <c r="G234" s="409"/>
      <c r="H234" s="409"/>
      <c r="I234" s="410" t="s">
        <v>539</v>
      </c>
      <c r="J234" s="411"/>
      <c r="K234" s="411"/>
      <c r="L234" s="411"/>
      <c r="M234" s="411"/>
      <c r="N234" s="411"/>
      <c r="O234" s="411"/>
    </row>
    <row r="235" spans="1:15">
      <c r="A235" s="412" t="s">
        <v>557</v>
      </c>
      <c r="B235" s="378" t="s">
        <v>541</v>
      </c>
      <c r="C235" s="378" t="s">
        <v>542</v>
      </c>
      <c r="D235" s="378" t="s">
        <v>543</v>
      </c>
      <c r="E235" s="378" t="s">
        <v>544</v>
      </c>
      <c r="F235" s="378" t="s">
        <v>545</v>
      </c>
      <c r="G235" s="378" t="s">
        <v>546</v>
      </c>
      <c r="H235" s="378" t="s">
        <v>547</v>
      </c>
      <c r="I235" s="378" t="s">
        <v>541</v>
      </c>
      <c r="J235" s="378" t="s">
        <v>542</v>
      </c>
      <c r="K235" s="378" t="s">
        <v>543</v>
      </c>
      <c r="L235" s="378" t="s">
        <v>544</v>
      </c>
      <c r="M235" s="378" t="s">
        <v>545</v>
      </c>
      <c r="N235" s="378" t="s">
        <v>546</v>
      </c>
      <c r="O235" s="378" t="s">
        <v>547</v>
      </c>
    </row>
    <row r="236" spans="1:15">
      <c r="A236" s="413" t="s">
        <v>558</v>
      </c>
      <c r="B236" s="381">
        <v>44.2</v>
      </c>
      <c r="C236" s="381">
        <v>46.1</v>
      </c>
      <c r="D236" s="381">
        <v>48</v>
      </c>
      <c r="E236" s="381">
        <v>49.9</v>
      </c>
      <c r="F236" s="381">
        <v>51.8</v>
      </c>
      <c r="G236" s="381">
        <v>53.7</v>
      </c>
      <c r="H236" s="381">
        <v>55.6</v>
      </c>
      <c r="I236" s="381">
        <v>43.6</v>
      </c>
      <c r="J236" s="381">
        <v>45.4</v>
      </c>
      <c r="K236" s="381">
        <v>47.3</v>
      </c>
      <c r="L236" s="381">
        <v>49.1</v>
      </c>
      <c r="M236" s="381">
        <v>51</v>
      </c>
      <c r="N236" s="381">
        <v>52.9</v>
      </c>
      <c r="O236" s="381">
        <v>54.7</v>
      </c>
    </row>
    <row r="237" spans="1:15">
      <c r="A237" s="404">
        <v>1</v>
      </c>
      <c r="B237" s="380">
        <v>48.9</v>
      </c>
      <c r="C237" s="380">
        <v>50.8</v>
      </c>
      <c r="D237" s="380">
        <v>52.8</v>
      </c>
      <c r="E237" s="380">
        <v>54.7</v>
      </c>
      <c r="F237" s="380">
        <v>56.7</v>
      </c>
      <c r="G237" s="380">
        <v>58.6</v>
      </c>
      <c r="H237" s="381">
        <v>60.6</v>
      </c>
      <c r="I237" s="380">
        <v>47.8</v>
      </c>
      <c r="J237" s="380">
        <v>49.8</v>
      </c>
      <c r="K237" s="380">
        <v>51.7</v>
      </c>
      <c r="L237" s="380">
        <v>53.7</v>
      </c>
      <c r="M237" s="380">
        <v>55.6</v>
      </c>
      <c r="N237" s="380">
        <v>57.6</v>
      </c>
      <c r="O237" s="381">
        <v>59.5</v>
      </c>
    </row>
    <row r="238" spans="1:15">
      <c r="A238" s="404">
        <v>2</v>
      </c>
      <c r="B238" s="380">
        <v>52.4</v>
      </c>
      <c r="C238" s="380">
        <v>54.4</v>
      </c>
      <c r="D238" s="380">
        <v>56.4</v>
      </c>
      <c r="E238" s="380">
        <v>58.4</v>
      </c>
      <c r="F238" s="380">
        <v>60.4</v>
      </c>
      <c r="G238" s="380">
        <v>62.4</v>
      </c>
      <c r="H238" s="381">
        <v>64.400000000000006</v>
      </c>
      <c r="I238" s="380">
        <v>51</v>
      </c>
      <c r="J238" s="380">
        <v>53</v>
      </c>
      <c r="K238" s="380">
        <v>55</v>
      </c>
      <c r="L238" s="380">
        <v>57.1</v>
      </c>
      <c r="M238" s="380">
        <v>59.1</v>
      </c>
      <c r="N238" s="380">
        <v>61.1</v>
      </c>
      <c r="O238" s="381">
        <v>63.2</v>
      </c>
    </row>
    <row r="239" spans="1:15">
      <c r="A239" s="404">
        <v>3</v>
      </c>
      <c r="B239" s="380">
        <v>55.3</v>
      </c>
      <c r="C239" s="380">
        <v>57.3</v>
      </c>
      <c r="D239" s="380">
        <v>59.4</v>
      </c>
      <c r="E239" s="380">
        <v>61.4</v>
      </c>
      <c r="F239" s="380">
        <v>63.5</v>
      </c>
      <c r="G239" s="380">
        <v>65.5</v>
      </c>
      <c r="H239" s="381">
        <v>67.599999999999994</v>
      </c>
      <c r="I239" s="380">
        <v>53.5</v>
      </c>
      <c r="J239" s="380">
        <v>55.6</v>
      </c>
      <c r="K239" s="380">
        <v>57.7</v>
      </c>
      <c r="L239" s="380">
        <v>59.8</v>
      </c>
      <c r="M239" s="380">
        <v>61.9</v>
      </c>
      <c r="N239" s="380">
        <v>64</v>
      </c>
      <c r="O239" s="381">
        <v>66.099999999999994</v>
      </c>
    </row>
    <row r="240" spans="1:15">
      <c r="A240" s="404">
        <v>4</v>
      </c>
      <c r="B240" s="380">
        <v>57.6</v>
      </c>
      <c r="C240" s="380">
        <v>59.7</v>
      </c>
      <c r="D240" s="380">
        <v>61.8</v>
      </c>
      <c r="E240" s="380">
        <v>63.9</v>
      </c>
      <c r="F240" s="380">
        <v>66</v>
      </c>
      <c r="G240" s="380">
        <v>68</v>
      </c>
      <c r="H240" s="381">
        <v>70.099999999999994</v>
      </c>
      <c r="I240" s="380">
        <v>55.6</v>
      </c>
      <c r="J240" s="380">
        <v>57.8</v>
      </c>
      <c r="K240" s="380">
        <v>59.9</v>
      </c>
      <c r="L240" s="380">
        <v>62.1</v>
      </c>
      <c r="M240" s="380">
        <v>64.3</v>
      </c>
      <c r="N240" s="380">
        <v>66.400000000000006</v>
      </c>
      <c r="O240" s="381">
        <v>68.599999999999994</v>
      </c>
    </row>
    <row r="241" spans="1:15">
      <c r="A241" s="404">
        <v>5</v>
      </c>
      <c r="B241" s="380">
        <v>59.6</v>
      </c>
      <c r="C241" s="380">
        <v>61.7</v>
      </c>
      <c r="D241" s="380">
        <v>63.8</v>
      </c>
      <c r="E241" s="380">
        <v>65.900000000000006</v>
      </c>
      <c r="F241" s="380">
        <v>68</v>
      </c>
      <c r="G241" s="380">
        <v>70.099999999999994</v>
      </c>
      <c r="H241" s="381">
        <v>72.2</v>
      </c>
      <c r="I241" s="380">
        <v>57.4</v>
      </c>
      <c r="J241" s="380">
        <v>59.6</v>
      </c>
      <c r="K241" s="380">
        <v>61.8</v>
      </c>
      <c r="L241" s="380">
        <v>64</v>
      </c>
      <c r="M241" s="380">
        <v>66.2</v>
      </c>
      <c r="N241" s="380">
        <v>68.5</v>
      </c>
      <c r="O241" s="381">
        <v>70.7</v>
      </c>
    </row>
    <row r="242" spans="1:15">
      <c r="A242" s="404">
        <v>6</v>
      </c>
      <c r="B242" s="380">
        <v>61.2</v>
      </c>
      <c r="C242" s="380">
        <v>63.3</v>
      </c>
      <c r="D242" s="380">
        <v>65.5</v>
      </c>
      <c r="E242" s="380">
        <v>67.599999999999994</v>
      </c>
      <c r="F242" s="380">
        <v>69.8</v>
      </c>
      <c r="G242" s="380">
        <v>71.900000000000006</v>
      </c>
      <c r="H242" s="381">
        <v>74</v>
      </c>
      <c r="I242" s="380">
        <v>58.9</v>
      </c>
      <c r="J242" s="380">
        <v>61.2</v>
      </c>
      <c r="K242" s="380">
        <v>63.5</v>
      </c>
      <c r="L242" s="380">
        <v>65.7</v>
      </c>
      <c r="M242" s="380">
        <v>68</v>
      </c>
      <c r="N242" s="380">
        <v>70.3</v>
      </c>
      <c r="O242" s="381">
        <v>72.5</v>
      </c>
    </row>
    <row r="243" spans="1:15">
      <c r="A243" s="404">
        <v>7</v>
      </c>
      <c r="B243" s="380">
        <v>62.7</v>
      </c>
      <c r="C243" s="380">
        <v>64.8</v>
      </c>
      <c r="D243" s="380">
        <v>67</v>
      </c>
      <c r="E243" s="380">
        <v>69.2</v>
      </c>
      <c r="F243" s="380">
        <v>71.3</v>
      </c>
      <c r="G243" s="380">
        <v>73.5</v>
      </c>
      <c r="H243" s="381">
        <v>75.7</v>
      </c>
      <c r="I243" s="380">
        <v>60.3</v>
      </c>
      <c r="J243" s="380">
        <v>62.7</v>
      </c>
      <c r="K243" s="380">
        <v>65</v>
      </c>
      <c r="L243" s="380">
        <v>67.3</v>
      </c>
      <c r="M243" s="380">
        <v>69.599999999999994</v>
      </c>
      <c r="N243" s="380">
        <v>71.900000000000006</v>
      </c>
      <c r="O243" s="381">
        <v>74.2</v>
      </c>
    </row>
    <row r="244" spans="1:15">
      <c r="A244" s="404">
        <v>8</v>
      </c>
      <c r="B244" s="380">
        <v>64</v>
      </c>
      <c r="C244" s="380">
        <v>66.2</v>
      </c>
      <c r="D244" s="380">
        <v>68.400000000000006</v>
      </c>
      <c r="E244" s="380">
        <v>70.599999999999994</v>
      </c>
      <c r="F244" s="380">
        <v>72.8</v>
      </c>
      <c r="G244" s="380">
        <v>75</v>
      </c>
      <c r="H244" s="381">
        <v>77.2</v>
      </c>
      <c r="I244" s="380">
        <v>61.7</v>
      </c>
      <c r="J244" s="380">
        <v>64</v>
      </c>
      <c r="K244" s="380">
        <v>66.400000000000006</v>
      </c>
      <c r="L244" s="380">
        <v>68.7</v>
      </c>
      <c r="M244" s="380">
        <v>71.099999999999994</v>
      </c>
      <c r="N244" s="380">
        <v>73.5</v>
      </c>
      <c r="O244" s="381">
        <v>75.8</v>
      </c>
    </row>
    <row r="245" spans="1:15">
      <c r="A245" s="404">
        <v>9</v>
      </c>
      <c r="B245" s="380">
        <v>65.2</v>
      </c>
      <c r="C245" s="380">
        <v>67.5</v>
      </c>
      <c r="D245" s="380">
        <v>69.7</v>
      </c>
      <c r="E245" s="380">
        <v>72</v>
      </c>
      <c r="F245" s="380">
        <v>74.2</v>
      </c>
      <c r="G245" s="380">
        <v>76.5</v>
      </c>
      <c r="H245" s="381">
        <v>78.7</v>
      </c>
      <c r="I245" s="380">
        <v>62.9</v>
      </c>
      <c r="J245" s="380">
        <v>65.3</v>
      </c>
      <c r="K245" s="380">
        <v>67.7</v>
      </c>
      <c r="L245" s="380">
        <v>70.099999999999994</v>
      </c>
      <c r="M245" s="380">
        <v>72.599999999999994</v>
      </c>
      <c r="N245" s="380">
        <v>75</v>
      </c>
      <c r="O245" s="381">
        <v>77.400000000000006</v>
      </c>
    </row>
    <row r="246" spans="1:15">
      <c r="A246" s="414">
        <v>10</v>
      </c>
      <c r="B246" s="380">
        <v>66.400000000000006</v>
      </c>
      <c r="C246" s="380">
        <v>68.7</v>
      </c>
      <c r="D246" s="380">
        <v>71</v>
      </c>
      <c r="E246" s="380">
        <v>73.3</v>
      </c>
      <c r="F246" s="380">
        <v>75.599999999999994</v>
      </c>
      <c r="G246" s="380">
        <v>77.900000000000006</v>
      </c>
      <c r="H246" s="381">
        <v>80.099999999999994</v>
      </c>
      <c r="I246" s="380">
        <v>64.099999999999994</v>
      </c>
      <c r="J246" s="380">
        <v>66.5</v>
      </c>
      <c r="K246" s="380">
        <v>69</v>
      </c>
      <c r="L246" s="380">
        <v>71.5</v>
      </c>
      <c r="M246" s="380">
        <v>73.900000000000006</v>
      </c>
      <c r="N246" s="380">
        <v>76.400000000000006</v>
      </c>
      <c r="O246" s="381">
        <v>78.900000000000006</v>
      </c>
    </row>
    <row r="247" spans="1:15">
      <c r="A247" s="414">
        <v>11</v>
      </c>
      <c r="B247" s="380">
        <v>67.599999999999994</v>
      </c>
      <c r="C247" s="380">
        <v>69.900000000000006</v>
      </c>
      <c r="D247" s="380">
        <v>72.2</v>
      </c>
      <c r="E247" s="380">
        <v>74.5</v>
      </c>
      <c r="F247" s="380">
        <v>76.900000000000006</v>
      </c>
      <c r="G247" s="380">
        <v>79.2</v>
      </c>
      <c r="H247" s="381">
        <v>81.5</v>
      </c>
      <c r="I247" s="380">
        <v>65.2</v>
      </c>
      <c r="J247" s="380">
        <v>67.7</v>
      </c>
      <c r="K247" s="380">
        <v>70.3</v>
      </c>
      <c r="L247" s="380">
        <v>72.8</v>
      </c>
      <c r="M247" s="380">
        <v>75.3</v>
      </c>
      <c r="N247" s="380">
        <v>77.8</v>
      </c>
      <c r="O247" s="381">
        <v>80.3</v>
      </c>
    </row>
    <row r="248" spans="1:15">
      <c r="A248" s="414">
        <v>12</v>
      </c>
      <c r="B248" s="380">
        <v>68.599999999999994</v>
      </c>
      <c r="C248" s="380">
        <v>71</v>
      </c>
      <c r="D248" s="380">
        <v>73.400000000000006</v>
      </c>
      <c r="E248" s="380">
        <v>75.7</v>
      </c>
      <c r="F248" s="380">
        <v>78.099999999999994</v>
      </c>
      <c r="G248" s="380">
        <v>80.5</v>
      </c>
      <c r="H248" s="381">
        <v>82.9</v>
      </c>
      <c r="I248" s="380">
        <v>66.3</v>
      </c>
      <c r="J248" s="380">
        <v>68.900000000000006</v>
      </c>
      <c r="K248" s="380">
        <v>71.400000000000006</v>
      </c>
      <c r="L248" s="380">
        <v>74</v>
      </c>
      <c r="M248" s="380">
        <v>76.599999999999994</v>
      </c>
      <c r="N248" s="380">
        <v>79.2</v>
      </c>
      <c r="O248" s="381">
        <v>81.7</v>
      </c>
    </row>
    <row r="249" spans="1:15">
      <c r="A249" s="414">
        <v>13</v>
      </c>
      <c r="B249" s="380">
        <v>69.599999999999994</v>
      </c>
      <c r="C249" s="380">
        <v>72.099999999999994</v>
      </c>
      <c r="D249" s="380">
        <v>74.5</v>
      </c>
      <c r="E249" s="380">
        <v>76.900000000000006</v>
      </c>
      <c r="F249" s="380">
        <v>79.3</v>
      </c>
      <c r="G249" s="380">
        <v>81.8</v>
      </c>
      <c r="H249" s="381">
        <v>84.2</v>
      </c>
      <c r="I249" s="380">
        <v>67.3</v>
      </c>
      <c r="J249" s="380">
        <v>70</v>
      </c>
      <c r="K249" s="380">
        <v>72.599999999999994</v>
      </c>
      <c r="L249" s="380">
        <v>75.2</v>
      </c>
      <c r="M249" s="380">
        <v>77.8</v>
      </c>
      <c r="N249" s="380">
        <v>80.5</v>
      </c>
      <c r="O249" s="381">
        <v>83.1</v>
      </c>
    </row>
    <row r="250" spans="1:15">
      <c r="A250" s="414">
        <v>14</v>
      </c>
      <c r="B250" s="380">
        <v>70.599999999999994</v>
      </c>
      <c r="C250" s="380">
        <v>73.099999999999994</v>
      </c>
      <c r="D250" s="380">
        <v>75.599999999999994</v>
      </c>
      <c r="E250" s="380">
        <v>78</v>
      </c>
      <c r="F250" s="380">
        <v>80.5</v>
      </c>
      <c r="G250" s="380">
        <v>83</v>
      </c>
      <c r="H250" s="381">
        <v>85.5</v>
      </c>
      <c r="I250" s="380">
        <v>68.3</v>
      </c>
      <c r="J250" s="380">
        <v>71</v>
      </c>
      <c r="K250" s="380">
        <v>73.7</v>
      </c>
      <c r="L250" s="380">
        <v>76.400000000000006</v>
      </c>
      <c r="M250" s="380">
        <v>79.099999999999994</v>
      </c>
      <c r="N250" s="380">
        <v>81.7</v>
      </c>
      <c r="O250" s="381">
        <v>84.4</v>
      </c>
    </row>
    <row r="251" spans="1:15">
      <c r="A251" s="414">
        <v>15</v>
      </c>
      <c r="B251" s="380">
        <v>71.599999999999994</v>
      </c>
      <c r="C251" s="380">
        <v>74.099999999999994</v>
      </c>
      <c r="D251" s="380">
        <v>76.599999999999994</v>
      </c>
      <c r="E251" s="380">
        <v>79.099999999999994</v>
      </c>
      <c r="F251" s="380">
        <v>81.7</v>
      </c>
      <c r="G251" s="380">
        <v>84.2</v>
      </c>
      <c r="H251" s="381">
        <v>86.7</v>
      </c>
      <c r="I251" s="380">
        <v>69.3</v>
      </c>
      <c r="J251" s="380">
        <v>72</v>
      </c>
      <c r="K251" s="380">
        <v>74.8</v>
      </c>
      <c r="L251" s="380">
        <v>77.5</v>
      </c>
      <c r="M251" s="380">
        <v>80.2</v>
      </c>
      <c r="N251" s="380">
        <v>83</v>
      </c>
      <c r="O251" s="381">
        <v>85.7</v>
      </c>
    </row>
    <row r="252" spans="1:15">
      <c r="A252" s="414">
        <v>16</v>
      </c>
      <c r="B252" s="380">
        <v>72.5</v>
      </c>
      <c r="C252" s="380">
        <v>75</v>
      </c>
      <c r="D252" s="380">
        <v>77.599999999999994</v>
      </c>
      <c r="E252" s="380">
        <v>80.2</v>
      </c>
      <c r="F252" s="380">
        <v>82.8</v>
      </c>
      <c r="G252" s="380">
        <v>85.4</v>
      </c>
      <c r="H252" s="381">
        <v>88</v>
      </c>
      <c r="I252" s="380">
        <v>70.2</v>
      </c>
      <c r="J252" s="380">
        <v>73</v>
      </c>
      <c r="K252" s="380">
        <v>75.8</v>
      </c>
      <c r="L252" s="380">
        <v>78.599999999999994</v>
      </c>
      <c r="M252" s="380">
        <v>81.400000000000006</v>
      </c>
      <c r="N252" s="380">
        <v>84.2</v>
      </c>
      <c r="O252" s="381">
        <v>87</v>
      </c>
    </row>
    <row r="253" spans="1:15">
      <c r="A253" s="414">
        <v>17</v>
      </c>
      <c r="B253" s="380">
        <v>73.3</v>
      </c>
      <c r="C253" s="380">
        <v>76</v>
      </c>
      <c r="D253" s="380">
        <v>78.599999999999994</v>
      </c>
      <c r="E253" s="380">
        <v>81.2</v>
      </c>
      <c r="F253" s="380">
        <v>83.9</v>
      </c>
      <c r="G253" s="380">
        <v>86.5</v>
      </c>
      <c r="H253" s="381">
        <v>89.2</v>
      </c>
      <c r="I253" s="380">
        <v>71.099999999999994</v>
      </c>
      <c r="J253" s="380">
        <v>74</v>
      </c>
      <c r="K253" s="380">
        <v>76.8</v>
      </c>
      <c r="L253" s="380">
        <v>79.7</v>
      </c>
      <c r="M253" s="380">
        <v>82.5</v>
      </c>
      <c r="N253" s="380">
        <v>85.4</v>
      </c>
      <c r="O253" s="381">
        <v>88.2</v>
      </c>
    </row>
    <row r="254" spans="1:15">
      <c r="A254" s="414">
        <v>18</v>
      </c>
      <c r="B254" s="380">
        <v>74.2</v>
      </c>
      <c r="C254" s="380">
        <v>76.900000000000006</v>
      </c>
      <c r="D254" s="380">
        <v>79.599999999999994</v>
      </c>
      <c r="E254" s="380">
        <v>82.3</v>
      </c>
      <c r="F254" s="380">
        <v>85</v>
      </c>
      <c r="G254" s="380">
        <v>87.7</v>
      </c>
      <c r="H254" s="381">
        <v>90.4</v>
      </c>
      <c r="I254" s="380">
        <v>72</v>
      </c>
      <c r="J254" s="380">
        <v>74.900000000000006</v>
      </c>
      <c r="K254" s="380">
        <v>77.8</v>
      </c>
      <c r="L254" s="380">
        <v>80.7</v>
      </c>
      <c r="M254" s="380">
        <v>83.6</v>
      </c>
      <c r="N254" s="380">
        <v>86.5</v>
      </c>
      <c r="O254" s="381">
        <v>89.4</v>
      </c>
    </row>
    <row r="255" spans="1:15">
      <c r="A255" s="414">
        <v>19</v>
      </c>
      <c r="B255" s="380">
        <v>75</v>
      </c>
      <c r="C255" s="380">
        <v>77.7</v>
      </c>
      <c r="D255" s="380">
        <v>80.5</v>
      </c>
      <c r="E255" s="380">
        <v>83.2</v>
      </c>
      <c r="F255" s="380">
        <v>86</v>
      </c>
      <c r="G255" s="380">
        <v>88.8</v>
      </c>
      <c r="H255" s="381">
        <v>91.5</v>
      </c>
      <c r="I255" s="380">
        <v>72.8</v>
      </c>
      <c r="J255" s="380">
        <v>75.8</v>
      </c>
      <c r="K255" s="380">
        <v>78.8</v>
      </c>
      <c r="L255" s="380">
        <v>81.7</v>
      </c>
      <c r="M255" s="380">
        <v>84.7</v>
      </c>
      <c r="N255" s="380">
        <v>87.6</v>
      </c>
      <c r="O255" s="381">
        <v>90.6</v>
      </c>
    </row>
    <row r="256" spans="1:15">
      <c r="A256" s="414">
        <v>20</v>
      </c>
      <c r="B256" s="380">
        <v>75.8</v>
      </c>
      <c r="C256" s="380">
        <v>78.599999999999994</v>
      </c>
      <c r="D256" s="380">
        <v>81.400000000000006</v>
      </c>
      <c r="E256" s="380">
        <v>84.2</v>
      </c>
      <c r="F256" s="380">
        <v>87</v>
      </c>
      <c r="G256" s="380">
        <v>89.8</v>
      </c>
      <c r="H256" s="381">
        <v>92.6</v>
      </c>
      <c r="I256" s="380">
        <v>73.7</v>
      </c>
      <c r="J256" s="380">
        <v>76.7</v>
      </c>
      <c r="K256" s="380">
        <v>79.7</v>
      </c>
      <c r="L256" s="380">
        <v>82.7</v>
      </c>
      <c r="M256" s="380">
        <v>85.7</v>
      </c>
      <c r="N256" s="380">
        <v>88.7</v>
      </c>
      <c r="O256" s="381">
        <v>91.7</v>
      </c>
    </row>
    <row r="257" spans="1:15">
      <c r="A257" s="414">
        <v>21</v>
      </c>
      <c r="B257" s="380">
        <v>76.5</v>
      </c>
      <c r="C257" s="380">
        <v>79.400000000000006</v>
      </c>
      <c r="D257" s="380">
        <v>82.3</v>
      </c>
      <c r="E257" s="380">
        <v>85.1</v>
      </c>
      <c r="F257" s="380">
        <v>88</v>
      </c>
      <c r="G257" s="380">
        <v>90.9</v>
      </c>
      <c r="H257" s="381">
        <v>93.8</v>
      </c>
      <c r="I257" s="380">
        <v>74.5</v>
      </c>
      <c r="J257" s="380">
        <v>77.5</v>
      </c>
      <c r="K257" s="380">
        <v>80.599999999999994</v>
      </c>
      <c r="L257" s="380">
        <v>83.7</v>
      </c>
      <c r="M257" s="380">
        <v>86.7</v>
      </c>
      <c r="N257" s="380">
        <v>89.8</v>
      </c>
      <c r="O257" s="381">
        <v>92.9</v>
      </c>
    </row>
    <row r="258" spans="1:15">
      <c r="A258" s="414">
        <v>22</v>
      </c>
      <c r="B258" s="380">
        <v>77.2</v>
      </c>
      <c r="C258" s="380">
        <v>80.2</v>
      </c>
      <c r="D258" s="380">
        <v>83.1</v>
      </c>
      <c r="E258" s="380">
        <v>86</v>
      </c>
      <c r="F258" s="380">
        <v>89</v>
      </c>
      <c r="G258" s="380">
        <v>91.9</v>
      </c>
      <c r="H258" s="381">
        <v>94.9</v>
      </c>
      <c r="I258" s="380">
        <v>75.2</v>
      </c>
      <c r="J258" s="380">
        <v>78.400000000000006</v>
      </c>
      <c r="K258" s="380">
        <v>81.5</v>
      </c>
      <c r="L258" s="380">
        <v>84.6</v>
      </c>
      <c r="M258" s="380">
        <v>87.7</v>
      </c>
      <c r="N258" s="380">
        <v>90.8</v>
      </c>
      <c r="O258" s="381">
        <v>94</v>
      </c>
    </row>
    <row r="259" spans="1:15">
      <c r="A259" s="414">
        <v>23</v>
      </c>
      <c r="B259" s="380">
        <v>78</v>
      </c>
      <c r="C259" s="380">
        <v>81</v>
      </c>
      <c r="D259" s="380">
        <v>83.9</v>
      </c>
      <c r="E259" s="380">
        <v>86.9</v>
      </c>
      <c r="F259" s="380">
        <v>89.9</v>
      </c>
      <c r="G259" s="380">
        <v>92.9</v>
      </c>
      <c r="H259" s="381">
        <v>95.9</v>
      </c>
      <c r="I259" s="380">
        <v>76</v>
      </c>
      <c r="J259" s="380">
        <v>79.2</v>
      </c>
      <c r="K259" s="380">
        <v>82.3</v>
      </c>
      <c r="L259" s="380">
        <v>85.5</v>
      </c>
      <c r="M259" s="380">
        <v>88.7</v>
      </c>
      <c r="N259" s="380">
        <v>91.9</v>
      </c>
      <c r="O259" s="381">
        <v>95</v>
      </c>
    </row>
    <row r="260" spans="1:15">
      <c r="A260" s="414">
        <v>24</v>
      </c>
      <c r="B260" s="381">
        <v>78</v>
      </c>
      <c r="C260" s="381">
        <v>81</v>
      </c>
      <c r="D260" s="381">
        <v>84.1</v>
      </c>
      <c r="E260" s="381">
        <v>87.1</v>
      </c>
      <c r="F260" s="381">
        <v>90.2</v>
      </c>
      <c r="G260" s="381">
        <v>93.2</v>
      </c>
      <c r="H260" s="381">
        <v>96.3</v>
      </c>
      <c r="I260" s="381">
        <v>76</v>
      </c>
      <c r="J260" s="381">
        <v>79.3</v>
      </c>
      <c r="K260" s="381">
        <v>82.5</v>
      </c>
      <c r="L260" s="381">
        <v>85.7</v>
      </c>
      <c r="M260" s="381">
        <v>88.9</v>
      </c>
      <c r="N260" s="381">
        <v>92.2</v>
      </c>
      <c r="O260" s="381">
        <v>95.4</v>
      </c>
    </row>
    <row r="261" spans="1:15">
      <c r="A261" s="414">
        <v>25</v>
      </c>
      <c r="B261" s="380">
        <v>78.599999999999994</v>
      </c>
      <c r="C261" s="380">
        <v>81.7</v>
      </c>
      <c r="D261" s="380">
        <v>84.9</v>
      </c>
      <c r="E261" s="381">
        <v>88</v>
      </c>
      <c r="F261" s="381">
        <v>91.1</v>
      </c>
      <c r="G261" s="381">
        <v>94.2</v>
      </c>
      <c r="H261" s="381">
        <v>97.3</v>
      </c>
      <c r="I261" s="380">
        <v>76.8</v>
      </c>
      <c r="J261" s="380">
        <v>80</v>
      </c>
      <c r="K261" s="380">
        <v>83.3</v>
      </c>
      <c r="L261" s="381">
        <v>86.6</v>
      </c>
      <c r="M261" s="381">
        <v>89.9</v>
      </c>
      <c r="N261" s="381">
        <v>93.1</v>
      </c>
      <c r="O261" s="381">
        <v>96.4</v>
      </c>
    </row>
    <row r="262" spans="1:15">
      <c r="A262" s="414">
        <v>26</v>
      </c>
      <c r="B262" s="380">
        <v>79.3</v>
      </c>
      <c r="C262" s="380">
        <v>82.5</v>
      </c>
      <c r="D262" s="380">
        <v>85.6</v>
      </c>
      <c r="E262" s="381">
        <v>88.8</v>
      </c>
      <c r="F262" s="381">
        <v>92</v>
      </c>
      <c r="G262" s="381">
        <v>95.2</v>
      </c>
      <c r="H262" s="381">
        <v>98.3</v>
      </c>
      <c r="I262" s="380">
        <v>77.5</v>
      </c>
      <c r="J262" s="380">
        <v>80.8</v>
      </c>
      <c r="K262" s="380">
        <v>84.1</v>
      </c>
      <c r="L262" s="381">
        <v>87.4</v>
      </c>
      <c r="M262" s="381">
        <v>90.8</v>
      </c>
      <c r="N262" s="381">
        <v>94.1</v>
      </c>
      <c r="O262" s="381">
        <v>97.4</v>
      </c>
    </row>
    <row r="263" spans="1:15">
      <c r="A263" s="414">
        <v>27</v>
      </c>
      <c r="B263" s="380">
        <v>79.900000000000006</v>
      </c>
      <c r="C263" s="380">
        <v>83.1</v>
      </c>
      <c r="D263" s="380">
        <v>86.4</v>
      </c>
      <c r="E263" s="381">
        <v>89.6</v>
      </c>
      <c r="F263" s="381">
        <v>92.9</v>
      </c>
      <c r="G263" s="381">
        <v>96.1</v>
      </c>
      <c r="H263" s="381">
        <v>99.3</v>
      </c>
      <c r="I263" s="380">
        <v>78.099999999999994</v>
      </c>
      <c r="J263" s="380">
        <v>81.5</v>
      </c>
      <c r="K263" s="380">
        <v>84.9</v>
      </c>
      <c r="L263" s="381">
        <v>88.3</v>
      </c>
      <c r="M263" s="381">
        <v>91.7</v>
      </c>
      <c r="N263" s="381">
        <v>95</v>
      </c>
      <c r="O263" s="381">
        <v>98.4</v>
      </c>
    </row>
    <row r="264" spans="1:15">
      <c r="A264" s="414">
        <v>28</v>
      </c>
      <c r="B264" s="380">
        <v>80.5</v>
      </c>
      <c r="C264" s="380">
        <v>83.8</v>
      </c>
      <c r="D264" s="380">
        <v>87.1</v>
      </c>
      <c r="E264" s="381">
        <v>90.4</v>
      </c>
      <c r="F264" s="381">
        <v>93.7</v>
      </c>
      <c r="G264" s="381">
        <v>97</v>
      </c>
      <c r="H264" s="381">
        <v>100.3</v>
      </c>
      <c r="I264" s="380">
        <v>78.8</v>
      </c>
      <c r="J264" s="380">
        <v>82.2</v>
      </c>
      <c r="K264" s="380">
        <v>85.7</v>
      </c>
      <c r="L264" s="381">
        <v>89.1</v>
      </c>
      <c r="M264" s="381">
        <v>92.5</v>
      </c>
      <c r="N264" s="381">
        <v>96</v>
      </c>
      <c r="O264" s="381">
        <v>99.4</v>
      </c>
    </row>
    <row r="265" spans="1:15">
      <c r="A265" s="414">
        <v>29</v>
      </c>
      <c r="B265" s="380">
        <v>81.099999999999994</v>
      </c>
      <c r="C265" s="380">
        <v>84.5</v>
      </c>
      <c r="D265" s="380">
        <v>87.8</v>
      </c>
      <c r="E265" s="381">
        <v>91.2</v>
      </c>
      <c r="F265" s="381">
        <v>94.5</v>
      </c>
      <c r="G265" s="381">
        <v>97.9</v>
      </c>
      <c r="H265" s="381">
        <v>101.2</v>
      </c>
      <c r="I265" s="380">
        <v>79.5</v>
      </c>
      <c r="J265" s="380">
        <v>82.9</v>
      </c>
      <c r="K265" s="380">
        <v>86.4</v>
      </c>
      <c r="L265" s="381">
        <v>89.9</v>
      </c>
      <c r="M265" s="381">
        <v>93.4</v>
      </c>
      <c r="N265" s="381">
        <v>96.9</v>
      </c>
      <c r="O265" s="381">
        <v>100.3</v>
      </c>
    </row>
    <row r="266" spans="1:15">
      <c r="A266" s="414">
        <v>30</v>
      </c>
      <c r="B266" s="380">
        <v>81.7</v>
      </c>
      <c r="C266" s="380">
        <v>85.1</v>
      </c>
      <c r="D266" s="380">
        <v>88.5</v>
      </c>
      <c r="E266" s="381">
        <v>91.9</v>
      </c>
      <c r="F266" s="381">
        <v>95.3</v>
      </c>
      <c r="G266" s="381">
        <v>98.7</v>
      </c>
      <c r="H266" s="381">
        <v>102.1</v>
      </c>
      <c r="I266" s="380">
        <v>80.099999999999994</v>
      </c>
      <c r="J266" s="380">
        <v>83.6</v>
      </c>
      <c r="K266" s="380">
        <v>87.1</v>
      </c>
      <c r="L266" s="381">
        <v>90.7</v>
      </c>
      <c r="M266" s="381">
        <v>94.2</v>
      </c>
      <c r="N266" s="381">
        <v>97.7</v>
      </c>
      <c r="O266" s="381">
        <v>101.3</v>
      </c>
    </row>
    <row r="267" spans="1:15">
      <c r="A267" s="414">
        <v>31</v>
      </c>
      <c r="B267" s="380">
        <v>82.3</v>
      </c>
      <c r="C267" s="380">
        <v>85.7</v>
      </c>
      <c r="D267" s="380">
        <v>89.2</v>
      </c>
      <c r="E267" s="381">
        <v>92.7</v>
      </c>
      <c r="F267" s="381">
        <v>96.1</v>
      </c>
      <c r="G267" s="381">
        <v>99.6</v>
      </c>
      <c r="H267" s="381">
        <v>103</v>
      </c>
      <c r="I267" s="380">
        <v>80.7</v>
      </c>
      <c r="J267" s="380">
        <v>84.3</v>
      </c>
      <c r="K267" s="380">
        <v>87.9</v>
      </c>
      <c r="L267" s="381">
        <v>91.4</v>
      </c>
      <c r="M267" s="381">
        <v>95</v>
      </c>
      <c r="N267" s="381">
        <v>98.6</v>
      </c>
      <c r="O267" s="381">
        <v>102.2</v>
      </c>
    </row>
    <row r="268" spans="1:15">
      <c r="A268" s="414">
        <v>32</v>
      </c>
      <c r="B268" s="380">
        <v>82.8</v>
      </c>
      <c r="C268" s="380">
        <v>86.4</v>
      </c>
      <c r="D268" s="380">
        <v>89.9</v>
      </c>
      <c r="E268" s="381">
        <v>93.4</v>
      </c>
      <c r="F268" s="381">
        <v>96.9</v>
      </c>
      <c r="G268" s="381">
        <v>100.4</v>
      </c>
      <c r="H268" s="381">
        <v>103.9</v>
      </c>
      <c r="I268" s="380">
        <v>81.3</v>
      </c>
      <c r="J268" s="380">
        <v>84.9</v>
      </c>
      <c r="K268" s="380">
        <v>88.6</v>
      </c>
      <c r="L268" s="381">
        <v>92.2</v>
      </c>
      <c r="M268" s="381">
        <v>95.8</v>
      </c>
      <c r="N268" s="381">
        <v>99.4</v>
      </c>
      <c r="O268" s="381">
        <v>103.1</v>
      </c>
    </row>
    <row r="269" spans="1:15">
      <c r="A269" s="414">
        <v>33</v>
      </c>
      <c r="B269" s="380">
        <v>83.4</v>
      </c>
      <c r="C269" s="380">
        <v>86.9</v>
      </c>
      <c r="D269" s="380">
        <v>90.5</v>
      </c>
      <c r="E269" s="381">
        <v>94.1</v>
      </c>
      <c r="F269" s="381">
        <v>97.6</v>
      </c>
      <c r="G269" s="381">
        <v>101.2</v>
      </c>
      <c r="H269" s="381">
        <v>104.8</v>
      </c>
      <c r="I269" s="380">
        <v>81.900000000000006</v>
      </c>
      <c r="J269" s="380">
        <v>85.6</v>
      </c>
      <c r="K269" s="380">
        <v>89.3</v>
      </c>
      <c r="L269" s="381">
        <v>92.9</v>
      </c>
      <c r="M269" s="381">
        <v>96.6</v>
      </c>
      <c r="N269" s="381">
        <v>100.3</v>
      </c>
      <c r="O269" s="381">
        <v>103.9</v>
      </c>
    </row>
    <row r="270" spans="1:15">
      <c r="A270" s="414">
        <v>34</v>
      </c>
      <c r="B270" s="380">
        <v>83.9</v>
      </c>
      <c r="C270" s="380">
        <v>87.5</v>
      </c>
      <c r="D270" s="380">
        <v>91.1</v>
      </c>
      <c r="E270" s="381">
        <v>94.8</v>
      </c>
      <c r="F270" s="381">
        <v>98.4</v>
      </c>
      <c r="G270" s="381">
        <v>102</v>
      </c>
      <c r="H270" s="381">
        <v>105.6</v>
      </c>
      <c r="I270" s="380">
        <v>82.5</v>
      </c>
      <c r="J270" s="380">
        <v>86.2</v>
      </c>
      <c r="K270" s="380">
        <v>89.9</v>
      </c>
      <c r="L270" s="381">
        <v>93.6</v>
      </c>
      <c r="M270" s="381">
        <v>97.4</v>
      </c>
      <c r="N270" s="381">
        <v>101.1</v>
      </c>
      <c r="O270" s="381">
        <v>104.8</v>
      </c>
    </row>
    <row r="271" spans="1:15">
      <c r="A271" s="414">
        <v>35</v>
      </c>
      <c r="B271" s="380">
        <v>84.4</v>
      </c>
      <c r="C271" s="380">
        <v>88.1</v>
      </c>
      <c r="D271" s="380">
        <v>91.8</v>
      </c>
      <c r="E271" s="381">
        <v>95.4</v>
      </c>
      <c r="F271" s="381">
        <v>99.1</v>
      </c>
      <c r="G271" s="381">
        <v>102.7</v>
      </c>
      <c r="H271" s="381">
        <v>106.4</v>
      </c>
      <c r="I271" s="380">
        <v>83.1</v>
      </c>
      <c r="J271" s="380">
        <v>86.8</v>
      </c>
      <c r="K271" s="380">
        <v>90.6</v>
      </c>
      <c r="L271" s="381">
        <v>94.4</v>
      </c>
      <c r="M271" s="381">
        <v>98.1</v>
      </c>
      <c r="N271" s="381">
        <v>101.9</v>
      </c>
      <c r="O271" s="381">
        <v>105.6</v>
      </c>
    </row>
    <row r="272" spans="1:15">
      <c r="A272" s="414">
        <v>36</v>
      </c>
      <c r="B272" s="380">
        <v>85</v>
      </c>
      <c r="C272" s="380">
        <v>88.7</v>
      </c>
      <c r="D272" s="380">
        <v>92.4</v>
      </c>
      <c r="E272" s="381">
        <v>96.1</v>
      </c>
      <c r="F272" s="381">
        <v>99.8</v>
      </c>
      <c r="G272" s="381">
        <v>103.5</v>
      </c>
      <c r="H272" s="381">
        <v>107.2</v>
      </c>
      <c r="I272" s="380">
        <v>83.6</v>
      </c>
      <c r="J272" s="380">
        <v>87.4</v>
      </c>
      <c r="K272" s="380">
        <v>91.2</v>
      </c>
      <c r="L272" s="381">
        <v>95.1</v>
      </c>
      <c r="M272" s="381">
        <v>98.9</v>
      </c>
      <c r="N272" s="381">
        <v>102.7</v>
      </c>
      <c r="O272" s="381">
        <v>106.5</v>
      </c>
    </row>
    <row r="273" spans="1:15">
      <c r="A273" s="414">
        <v>37</v>
      </c>
      <c r="B273" s="380">
        <v>85.5</v>
      </c>
      <c r="C273" s="380">
        <v>89.2</v>
      </c>
      <c r="D273" s="380">
        <v>93</v>
      </c>
      <c r="E273" s="381">
        <v>96.7</v>
      </c>
      <c r="F273" s="381">
        <v>100.5</v>
      </c>
      <c r="G273" s="381">
        <v>104.2</v>
      </c>
      <c r="H273" s="381">
        <v>108</v>
      </c>
      <c r="I273" s="380">
        <v>84.2</v>
      </c>
      <c r="J273" s="380">
        <v>88</v>
      </c>
      <c r="K273" s="380">
        <v>91.9</v>
      </c>
      <c r="L273" s="381">
        <v>95.7</v>
      </c>
      <c r="M273" s="381">
        <v>99.6</v>
      </c>
      <c r="N273" s="381">
        <v>103.4</v>
      </c>
      <c r="O273" s="381">
        <v>107.3</v>
      </c>
    </row>
    <row r="274" spans="1:15">
      <c r="A274" s="414">
        <v>38</v>
      </c>
      <c r="B274" s="380">
        <v>86</v>
      </c>
      <c r="C274" s="380">
        <v>89.8</v>
      </c>
      <c r="D274" s="380">
        <v>93.6</v>
      </c>
      <c r="E274" s="381">
        <v>97.4</v>
      </c>
      <c r="F274" s="381">
        <v>101.2</v>
      </c>
      <c r="G274" s="381">
        <v>105</v>
      </c>
      <c r="H274" s="381">
        <v>108.8</v>
      </c>
      <c r="I274" s="380">
        <v>84.7</v>
      </c>
      <c r="J274" s="380">
        <v>88.6</v>
      </c>
      <c r="K274" s="380">
        <v>92.5</v>
      </c>
      <c r="L274" s="381">
        <v>96.4</v>
      </c>
      <c r="M274" s="381">
        <v>100.3</v>
      </c>
      <c r="N274" s="381">
        <v>104.2</v>
      </c>
      <c r="O274" s="381">
        <v>108.1</v>
      </c>
    </row>
    <row r="275" spans="1:15">
      <c r="A275" s="414">
        <v>39</v>
      </c>
      <c r="B275" s="380">
        <v>86.5</v>
      </c>
      <c r="C275" s="380">
        <v>90.3</v>
      </c>
      <c r="D275" s="380">
        <v>94.2</v>
      </c>
      <c r="E275" s="381">
        <v>98</v>
      </c>
      <c r="F275" s="381">
        <v>101.8</v>
      </c>
      <c r="G275" s="381">
        <v>105.7</v>
      </c>
      <c r="H275" s="381">
        <v>109.5</v>
      </c>
      <c r="I275" s="380">
        <v>85.3</v>
      </c>
      <c r="J275" s="380">
        <v>89.2</v>
      </c>
      <c r="K275" s="380">
        <v>93.1</v>
      </c>
      <c r="L275" s="381">
        <v>97.1</v>
      </c>
      <c r="M275" s="381">
        <v>101</v>
      </c>
      <c r="N275" s="381">
        <v>105</v>
      </c>
      <c r="O275" s="381">
        <v>108.9</v>
      </c>
    </row>
    <row r="276" spans="1:15">
      <c r="A276" s="414">
        <v>40</v>
      </c>
      <c r="B276" s="380">
        <v>87</v>
      </c>
      <c r="C276" s="380">
        <v>90.9</v>
      </c>
      <c r="D276" s="380">
        <v>94.7</v>
      </c>
      <c r="E276" s="381">
        <v>98.6</v>
      </c>
      <c r="F276" s="381">
        <v>102.5</v>
      </c>
      <c r="G276" s="381">
        <v>106.4</v>
      </c>
      <c r="H276" s="381">
        <v>110.3</v>
      </c>
      <c r="I276" s="380">
        <v>85.8</v>
      </c>
      <c r="J276" s="380">
        <v>89.8</v>
      </c>
      <c r="K276" s="380">
        <v>93.8</v>
      </c>
      <c r="L276" s="381">
        <v>97.7</v>
      </c>
      <c r="M276" s="381">
        <v>101.7</v>
      </c>
      <c r="N276" s="381">
        <v>105.7</v>
      </c>
      <c r="O276" s="381">
        <v>109.7</v>
      </c>
    </row>
    <row r="277" spans="1:15">
      <c r="A277" s="414">
        <v>41</v>
      </c>
      <c r="B277" s="380">
        <v>87.5</v>
      </c>
      <c r="C277" s="380">
        <v>91.4</v>
      </c>
      <c r="D277" s="380">
        <v>95.3</v>
      </c>
      <c r="E277" s="381">
        <v>99.2</v>
      </c>
      <c r="F277" s="381">
        <v>103.2</v>
      </c>
      <c r="G277" s="381">
        <v>107.1</v>
      </c>
      <c r="H277" s="381">
        <v>111</v>
      </c>
      <c r="I277" s="380">
        <v>86.3</v>
      </c>
      <c r="J277" s="380">
        <v>90.4</v>
      </c>
      <c r="K277" s="380">
        <v>94.4</v>
      </c>
      <c r="L277" s="381">
        <v>98.4</v>
      </c>
      <c r="M277" s="381">
        <v>102.4</v>
      </c>
      <c r="N277" s="381">
        <v>106.4</v>
      </c>
      <c r="O277" s="381">
        <v>110.5</v>
      </c>
    </row>
    <row r="278" spans="1:15">
      <c r="A278" s="414">
        <v>42</v>
      </c>
      <c r="B278" s="380">
        <v>88</v>
      </c>
      <c r="C278" s="380">
        <v>91.9</v>
      </c>
      <c r="D278" s="380">
        <v>95.9</v>
      </c>
      <c r="E278" s="381">
        <v>99.9</v>
      </c>
      <c r="F278" s="381">
        <v>103.8</v>
      </c>
      <c r="G278" s="381">
        <v>107.8</v>
      </c>
      <c r="H278" s="381">
        <v>111.7</v>
      </c>
      <c r="I278" s="380">
        <v>86.8</v>
      </c>
      <c r="J278" s="380">
        <v>90.9</v>
      </c>
      <c r="K278" s="380">
        <v>95</v>
      </c>
      <c r="L278" s="381">
        <v>99</v>
      </c>
      <c r="M278" s="381">
        <v>103.1</v>
      </c>
      <c r="N278" s="381">
        <v>107.2</v>
      </c>
      <c r="O278" s="381">
        <v>111.2</v>
      </c>
    </row>
    <row r="279" spans="1:15">
      <c r="A279" s="414">
        <v>43</v>
      </c>
      <c r="B279" s="380">
        <v>88.4</v>
      </c>
      <c r="C279" s="380">
        <v>92.4</v>
      </c>
      <c r="D279" s="380">
        <v>96.4</v>
      </c>
      <c r="E279" s="381">
        <v>100.4</v>
      </c>
      <c r="F279" s="381">
        <v>104.5</v>
      </c>
      <c r="G279" s="381">
        <v>108.5</v>
      </c>
      <c r="H279" s="381">
        <v>112.5</v>
      </c>
      <c r="I279" s="380">
        <v>87.4</v>
      </c>
      <c r="J279" s="380">
        <v>91.5</v>
      </c>
      <c r="K279" s="380">
        <v>95.6</v>
      </c>
      <c r="L279" s="381">
        <v>99.7</v>
      </c>
      <c r="M279" s="381">
        <v>103.8</v>
      </c>
      <c r="N279" s="381">
        <v>107.9</v>
      </c>
      <c r="O279" s="381">
        <v>112</v>
      </c>
    </row>
    <row r="280" spans="1:15">
      <c r="A280" s="414">
        <v>44</v>
      </c>
      <c r="B280" s="380">
        <v>88.9</v>
      </c>
      <c r="C280" s="380">
        <v>93</v>
      </c>
      <c r="D280" s="380">
        <v>97</v>
      </c>
      <c r="E280" s="381">
        <v>101</v>
      </c>
      <c r="F280" s="381">
        <v>105.1</v>
      </c>
      <c r="G280" s="381">
        <v>109.1</v>
      </c>
      <c r="H280" s="381">
        <v>113.2</v>
      </c>
      <c r="I280" s="380">
        <v>87.9</v>
      </c>
      <c r="J280" s="380">
        <v>92</v>
      </c>
      <c r="K280" s="380">
        <v>96.2</v>
      </c>
      <c r="L280" s="381">
        <v>100.3</v>
      </c>
      <c r="M280" s="381">
        <v>104.5</v>
      </c>
      <c r="N280" s="381">
        <v>108.6</v>
      </c>
      <c r="O280" s="381">
        <v>112.7</v>
      </c>
    </row>
    <row r="281" spans="1:15">
      <c r="A281" s="414">
        <v>45</v>
      </c>
      <c r="B281" s="380">
        <v>89.4</v>
      </c>
      <c r="C281" s="380">
        <v>93.5</v>
      </c>
      <c r="D281" s="380">
        <v>97.5</v>
      </c>
      <c r="E281" s="381">
        <v>101.6</v>
      </c>
      <c r="F281" s="381">
        <v>105.7</v>
      </c>
      <c r="G281" s="381">
        <v>109.8</v>
      </c>
      <c r="H281" s="381">
        <v>113.9</v>
      </c>
      <c r="I281" s="380">
        <v>88.4</v>
      </c>
      <c r="J281" s="380">
        <v>92.5</v>
      </c>
      <c r="K281" s="380">
        <v>96.7</v>
      </c>
      <c r="L281" s="381">
        <v>100.9</v>
      </c>
      <c r="M281" s="381">
        <v>105.1</v>
      </c>
      <c r="N281" s="381">
        <v>109.3</v>
      </c>
      <c r="O281" s="381">
        <v>113.5</v>
      </c>
    </row>
    <row r="282" spans="1:15">
      <c r="A282" s="414">
        <v>46</v>
      </c>
      <c r="B282" s="380">
        <v>89.8</v>
      </c>
      <c r="C282" s="380">
        <v>94</v>
      </c>
      <c r="D282" s="380">
        <v>98.1</v>
      </c>
      <c r="E282" s="381">
        <v>102.2</v>
      </c>
      <c r="F282" s="381">
        <v>106.3</v>
      </c>
      <c r="G282" s="381">
        <v>110.4</v>
      </c>
      <c r="H282" s="381">
        <v>114.6</v>
      </c>
      <c r="I282" s="380">
        <v>88.9</v>
      </c>
      <c r="J282" s="380">
        <v>93.1</v>
      </c>
      <c r="K282" s="380">
        <v>97.3</v>
      </c>
      <c r="L282" s="381">
        <v>101.5</v>
      </c>
      <c r="M282" s="381">
        <v>105.8</v>
      </c>
      <c r="N282" s="381">
        <v>110</v>
      </c>
      <c r="O282" s="381">
        <v>114.2</v>
      </c>
    </row>
    <row r="283" spans="1:15">
      <c r="A283" s="414">
        <v>47</v>
      </c>
      <c r="B283" s="380">
        <v>90.3</v>
      </c>
      <c r="C283" s="380">
        <v>94.4</v>
      </c>
      <c r="D283" s="380">
        <v>98.6</v>
      </c>
      <c r="E283" s="381">
        <v>102.8</v>
      </c>
      <c r="F283" s="381">
        <v>106.9</v>
      </c>
      <c r="G283" s="381">
        <v>111.1</v>
      </c>
      <c r="H283" s="381">
        <v>115.2</v>
      </c>
      <c r="I283" s="380">
        <v>89.3</v>
      </c>
      <c r="J283" s="380">
        <v>93.6</v>
      </c>
      <c r="K283" s="380">
        <v>97.9</v>
      </c>
      <c r="L283" s="381">
        <v>102.1</v>
      </c>
      <c r="M283" s="381">
        <v>106.4</v>
      </c>
      <c r="N283" s="381">
        <v>110.7</v>
      </c>
      <c r="O283" s="381">
        <v>114.9</v>
      </c>
    </row>
    <row r="284" spans="1:15">
      <c r="A284" s="415">
        <v>48</v>
      </c>
      <c r="B284" s="380">
        <v>90.7</v>
      </c>
      <c r="C284" s="380">
        <v>94.9</v>
      </c>
      <c r="D284" s="382">
        <v>99.1</v>
      </c>
      <c r="E284" s="382">
        <v>103.3</v>
      </c>
      <c r="F284" s="382">
        <v>107.5</v>
      </c>
      <c r="G284" s="382">
        <v>111.7</v>
      </c>
      <c r="H284" s="382">
        <v>115.9</v>
      </c>
      <c r="I284" s="380">
        <v>89.8</v>
      </c>
      <c r="J284" s="380">
        <v>94.1</v>
      </c>
      <c r="K284" s="416">
        <v>98.4</v>
      </c>
      <c r="L284" s="382">
        <v>102.7</v>
      </c>
      <c r="M284" s="382">
        <v>107</v>
      </c>
      <c r="N284" s="382">
        <v>111.3</v>
      </c>
      <c r="O284" s="382">
        <v>115.7</v>
      </c>
    </row>
    <row r="285" spans="1:15">
      <c r="A285" s="417">
        <v>49</v>
      </c>
      <c r="B285" s="385">
        <v>91.2</v>
      </c>
      <c r="C285" s="385">
        <v>95.4</v>
      </c>
      <c r="D285" s="385">
        <v>99.7</v>
      </c>
      <c r="E285" s="385">
        <v>103.9</v>
      </c>
      <c r="F285" s="385">
        <v>108.1</v>
      </c>
      <c r="G285" s="385">
        <v>112.4</v>
      </c>
      <c r="H285" s="385">
        <v>116.6</v>
      </c>
      <c r="I285" s="385">
        <v>90.3</v>
      </c>
      <c r="J285" s="385">
        <v>94.6</v>
      </c>
      <c r="K285" s="385">
        <v>99</v>
      </c>
      <c r="L285" s="385">
        <v>103.3</v>
      </c>
      <c r="M285" s="385">
        <v>107.7</v>
      </c>
      <c r="N285" s="385">
        <v>112</v>
      </c>
      <c r="O285" s="385">
        <v>116.4</v>
      </c>
    </row>
    <row r="286" spans="1:15">
      <c r="A286" s="414">
        <v>50</v>
      </c>
      <c r="B286" s="381">
        <v>91.6</v>
      </c>
      <c r="C286" s="381">
        <v>95.9</v>
      </c>
      <c r="D286" s="381">
        <v>100.2</v>
      </c>
      <c r="E286" s="381">
        <v>104.4</v>
      </c>
      <c r="F286" s="381">
        <v>108.7</v>
      </c>
      <c r="G286" s="381">
        <v>113</v>
      </c>
      <c r="H286" s="381">
        <v>117.3</v>
      </c>
      <c r="I286" s="381">
        <v>90.7</v>
      </c>
      <c r="J286" s="381">
        <v>95.1</v>
      </c>
      <c r="K286" s="381">
        <v>99.5</v>
      </c>
      <c r="L286" s="381">
        <v>103.9</v>
      </c>
      <c r="M286" s="381">
        <v>108.3</v>
      </c>
      <c r="N286" s="381">
        <v>112.7</v>
      </c>
      <c r="O286" s="381">
        <v>117.1</v>
      </c>
    </row>
    <row r="287" spans="1:15">
      <c r="A287" s="414">
        <v>51</v>
      </c>
      <c r="B287" s="381">
        <v>92.1</v>
      </c>
      <c r="C287" s="381">
        <v>96.4</v>
      </c>
      <c r="D287" s="381">
        <v>100.7</v>
      </c>
      <c r="E287" s="381">
        <v>105</v>
      </c>
      <c r="F287" s="381">
        <v>109.3</v>
      </c>
      <c r="G287" s="381">
        <v>113.6</v>
      </c>
      <c r="H287" s="381">
        <v>117.9</v>
      </c>
      <c r="I287" s="381">
        <v>91.2</v>
      </c>
      <c r="J287" s="381">
        <v>95.6</v>
      </c>
      <c r="K287" s="381">
        <v>100.1</v>
      </c>
      <c r="L287" s="381">
        <v>104.5</v>
      </c>
      <c r="M287" s="381">
        <v>108.9</v>
      </c>
      <c r="N287" s="381">
        <v>113.3</v>
      </c>
      <c r="O287" s="381">
        <v>117.7</v>
      </c>
    </row>
    <row r="288" spans="1:15">
      <c r="A288" s="414">
        <v>52</v>
      </c>
      <c r="B288" s="381">
        <v>92.5</v>
      </c>
      <c r="C288" s="381">
        <v>96.9</v>
      </c>
      <c r="D288" s="381">
        <v>101.2</v>
      </c>
      <c r="E288" s="381">
        <v>105.6</v>
      </c>
      <c r="F288" s="381">
        <v>109.9</v>
      </c>
      <c r="G288" s="381">
        <v>114.2</v>
      </c>
      <c r="H288" s="381">
        <v>118.6</v>
      </c>
      <c r="I288" s="381">
        <v>91.7</v>
      </c>
      <c r="J288" s="381">
        <v>96.1</v>
      </c>
      <c r="K288" s="381">
        <v>100.6</v>
      </c>
      <c r="L288" s="381">
        <v>105</v>
      </c>
      <c r="M288" s="381">
        <v>109.5</v>
      </c>
      <c r="N288" s="381">
        <v>114</v>
      </c>
      <c r="O288" s="381">
        <v>118.4</v>
      </c>
    </row>
    <row r="289" spans="1:15">
      <c r="A289" s="414">
        <v>53</v>
      </c>
      <c r="B289" s="381">
        <v>93</v>
      </c>
      <c r="C289" s="381">
        <v>97.4</v>
      </c>
      <c r="D289" s="381">
        <v>101.7</v>
      </c>
      <c r="E289" s="381">
        <v>106.1</v>
      </c>
      <c r="F289" s="381">
        <v>110.5</v>
      </c>
      <c r="G289" s="381">
        <v>114.9</v>
      </c>
      <c r="H289" s="381">
        <v>119.2</v>
      </c>
      <c r="I289" s="381">
        <v>92.1</v>
      </c>
      <c r="J289" s="381">
        <v>96.6</v>
      </c>
      <c r="K289" s="381">
        <v>101.1</v>
      </c>
      <c r="L289" s="381">
        <v>105.6</v>
      </c>
      <c r="M289" s="381">
        <v>110.1</v>
      </c>
      <c r="N289" s="381">
        <v>114.6</v>
      </c>
      <c r="O289" s="381">
        <v>119.1</v>
      </c>
    </row>
    <row r="290" spans="1:15">
      <c r="A290" s="414">
        <v>54</v>
      </c>
      <c r="B290" s="381">
        <v>93.4</v>
      </c>
      <c r="C290" s="381">
        <v>97.8</v>
      </c>
      <c r="D290" s="381">
        <v>102.3</v>
      </c>
      <c r="E290" s="381">
        <v>106.7</v>
      </c>
      <c r="F290" s="381">
        <v>111.1</v>
      </c>
      <c r="G290" s="381">
        <v>115.5</v>
      </c>
      <c r="H290" s="381">
        <v>119.9</v>
      </c>
      <c r="I290" s="381">
        <v>92.6</v>
      </c>
      <c r="J290" s="381">
        <v>97.1</v>
      </c>
      <c r="K290" s="381">
        <v>101.6</v>
      </c>
      <c r="L290" s="381">
        <v>106.2</v>
      </c>
      <c r="M290" s="381">
        <v>110.7</v>
      </c>
      <c r="N290" s="381">
        <v>115.2</v>
      </c>
      <c r="O290" s="381">
        <v>119.8</v>
      </c>
    </row>
    <row r="291" spans="1:15">
      <c r="A291" s="414">
        <v>55</v>
      </c>
      <c r="B291" s="381">
        <v>93.9</v>
      </c>
      <c r="C291" s="381">
        <v>98.3</v>
      </c>
      <c r="D291" s="381">
        <v>102.8</v>
      </c>
      <c r="E291" s="381">
        <v>107.2</v>
      </c>
      <c r="F291" s="381">
        <v>111.7</v>
      </c>
      <c r="G291" s="381">
        <v>116.1</v>
      </c>
      <c r="H291" s="381">
        <v>120.6</v>
      </c>
      <c r="I291" s="381">
        <v>93</v>
      </c>
      <c r="J291" s="381">
        <v>97.6</v>
      </c>
      <c r="K291" s="381">
        <v>102.2</v>
      </c>
      <c r="L291" s="381">
        <v>106.7</v>
      </c>
      <c r="M291" s="381">
        <v>111.3</v>
      </c>
      <c r="N291" s="381">
        <v>115.9</v>
      </c>
      <c r="O291" s="381">
        <v>120.4</v>
      </c>
    </row>
    <row r="292" spans="1:15">
      <c r="A292" s="414">
        <v>56</v>
      </c>
      <c r="B292" s="381">
        <v>94.3</v>
      </c>
      <c r="C292" s="381">
        <v>98.8</v>
      </c>
      <c r="D292" s="381">
        <v>103.3</v>
      </c>
      <c r="E292" s="381">
        <v>107.8</v>
      </c>
      <c r="F292" s="381">
        <v>112.3</v>
      </c>
      <c r="G292" s="381">
        <v>116.7</v>
      </c>
      <c r="H292" s="381">
        <v>121.2</v>
      </c>
      <c r="I292" s="381">
        <v>93.4</v>
      </c>
      <c r="J292" s="381">
        <v>98.1</v>
      </c>
      <c r="K292" s="381">
        <v>102.7</v>
      </c>
      <c r="L292" s="381">
        <v>107.3</v>
      </c>
      <c r="M292" s="381">
        <v>111.9</v>
      </c>
      <c r="N292" s="381">
        <v>116.5</v>
      </c>
      <c r="O292" s="381">
        <v>121.1</v>
      </c>
    </row>
    <row r="293" spans="1:15">
      <c r="A293" s="414">
        <v>57</v>
      </c>
      <c r="B293" s="381">
        <v>94.7</v>
      </c>
      <c r="C293" s="381">
        <v>99.3</v>
      </c>
      <c r="D293" s="381">
        <v>103.8</v>
      </c>
      <c r="E293" s="381">
        <v>108.3</v>
      </c>
      <c r="F293" s="381">
        <v>112.8</v>
      </c>
      <c r="G293" s="381">
        <v>117.4</v>
      </c>
      <c r="H293" s="381">
        <v>121.9</v>
      </c>
      <c r="I293" s="381">
        <v>93.9</v>
      </c>
      <c r="J293" s="381">
        <v>98.5</v>
      </c>
      <c r="K293" s="381">
        <v>103.2</v>
      </c>
      <c r="L293" s="381">
        <v>107.8</v>
      </c>
      <c r="M293" s="381">
        <v>112.5</v>
      </c>
      <c r="N293" s="381">
        <v>117.1</v>
      </c>
      <c r="O293" s="381">
        <v>121.8</v>
      </c>
    </row>
    <row r="294" spans="1:15">
      <c r="A294" s="414">
        <v>58</v>
      </c>
      <c r="B294" s="381">
        <v>95.2</v>
      </c>
      <c r="C294" s="381">
        <v>99.7</v>
      </c>
      <c r="D294" s="381">
        <v>104.3</v>
      </c>
      <c r="E294" s="381">
        <v>108.9</v>
      </c>
      <c r="F294" s="381">
        <v>113.4</v>
      </c>
      <c r="G294" s="381">
        <v>118</v>
      </c>
      <c r="H294" s="381">
        <v>122.6</v>
      </c>
      <c r="I294" s="381">
        <v>94.3</v>
      </c>
      <c r="J294" s="381">
        <v>99</v>
      </c>
      <c r="K294" s="381">
        <v>103.7</v>
      </c>
      <c r="L294" s="381">
        <v>108.4</v>
      </c>
      <c r="M294" s="381">
        <v>113</v>
      </c>
      <c r="N294" s="381">
        <v>117.7</v>
      </c>
      <c r="O294" s="381">
        <v>122.4</v>
      </c>
    </row>
    <row r="295" spans="1:15">
      <c r="A295" s="414">
        <v>59</v>
      </c>
      <c r="B295" s="381">
        <v>95.6</v>
      </c>
      <c r="C295" s="381">
        <v>100.2</v>
      </c>
      <c r="D295" s="381">
        <v>104.8</v>
      </c>
      <c r="E295" s="381">
        <v>109.4</v>
      </c>
      <c r="F295" s="381">
        <v>114</v>
      </c>
      <c r="G295" s="381">
        <v>118.6</v>
      </c>
      <c r="H295" s="381">
        <v>123.2</v>
      </c>
      <c r="I295" s="381">
        <v>94.7</v>
      </c>
      <c r="J295" s="381">
        <v>99.5</v>
      </c>
      <c r="K295" s="381">
        <v>104.2</v>
      </c>
      <c r="L295" s="381">
        <v>108.9</v>
      </c>
      <c r="M295" s="381">
        <v>113.6</v>
      </c>
      <c r="N295" s="381">
        <v>118.3</v>
      </c>
      <c r="O295" s="381">
        <v>123.1</v>
      </c>
    </row>
    <row r="296" spans="1:15">
      <c r="A296" s="415">
        <v>60</v>
      </c>
      <c r="B296" s="382">
        <v>96.1</v>
      </c>
      <c r="C296" s="382">
        <v>100.7</v>
      </c>
      <c r="D296" s="382">
        <v>105.3</v>
      </c>
      <c r="E296" s="382">
        <v>110</v>
      </c>
      <c r="F296" s="382">
        <v>114.6</v>
      </c>
      <c r="G296" s="382">
        <v>119.2</v>
      </c>
      <c r="H296" s="382">
        <v>123.9</v>
      </c>
      <c r="I296" s="382">
        <v>95.2</v>
      </c>
      <c r="J296" s="382">
        <v>99.9</v>
      </c>
      <c r="K296" s="382">
        <v>104.7</v>
      </c>
      <c r="L296" s="382">
        <v>109.4</v>
      </c>
      <c r="M296" s="382">
        <v>114.2</v>
      </c>
      <c r="N296" s="382">
        <v>118.9</v>
      </c>
      <c r="O296" s="382">
        <v>123.7</v>
      </c>
    </row>
    <row r="297" spans="1:15">
      <c r="A297" s="131">
        <v>61</v>
      </c>
      <c r="B297" s="131">
        <v>96.5</v>
      </c>
      <c r="C297" s="131">
        <v>101.1</v>
      </c>
      <c r="D297" s="131">
        <v>105.7</v>
      </c>
      <c r="E297" s="131">
        <v>110.3</v>
      </c>
      <c r="F297" s="131">
        <v>114.9</v>
      </c>
      <c r="G297" s="131">
        <v>119.4</v>
      </c>
      <c r="H297" s="131">
        <v>124</v>
      </c>
      <c r="I297" s="131">
        <v>95.3</v>
      </c>
      <c r="J297" s="131">
        <v>100.1</v>
      </c>
      <c r="K297" s="131">
        <v>104.8</v>
      </c>
      <c r="L297" s="131">
        <v>109.6</v>
      </c>
      <c r="M297" s="131">
        <v>114.4</v>
      </c>
      <c r="N297" s="131">
        <v>119.1</v>
      </c>
      <c r="O297" s="131">
        <v>123.9</v>
      </c>
    </row>
    <row r="298" spans="1:15">
      <c r="A298" s="131">
        <v>62</v>
      </c>
      <c r="B298" s="131">
        <v>96.9</v>
      </c>
      <c r="C298" s="131">
        <v>101.6</v>
      </c>
      <c r="D298" s="131">
        <v>106.2</v>
      </c>
      <c r="E298" s="131">
        <v>110.8</v>
      </c>
      <c r="F298" s="131">
        <v>115.4</v>
      </c>
      <c r="G298" s="131">
        <v>120</v>
      </c>
      <c r="H298" s="131">
        <v>124.7</v>
      </c>
      <c r="I298" s="131">
        <v>95.7</v>
      </c>
      <c r="J298" s="131">
        <v>100.5</v>
      </c>
      <c r="K298" s="131">
        <v>105.3</v>
      </c>
      <c r="L298" s="131">
        <v>110.1</v>
      </c>
      <c r="M298" s="131">
        <v>114.9</v>
      </c>
      <c r="N298" s="131">
        <v>119.7</v>
      </c>
      <c r="O298" s="131">
        <v>124.5</v>
      </c>
    </row>
    <row r="299" spans="1:15">
      <c r="A299" s="131">
        <v>63</v>
      </c>
      <c r="B299" s="131">
        <v>97.4</v>
      </c>
      <c r="C299" s="131">
        <v>102</v>
      </c>
      <c r="D299" s="131">
        <v>106.7</v>
      </c>
      <c r="E299" s="131">
        <v>111.3</v>
      </c>
      <c r="F299" s="131">
        <v>116</v>
      </c>
      <c r="G299" s="131">
        <v>120.6</v>
      </c>
      <c r="H299" s="131">
        <v>125.3</v>
      </c>
      <c r="I299" s="131">
        <v>96.1</v>
      </c>
      <c r="J299" s="131">
        <v>101</v>
      </c>
      <c r="K299" s="131">
        <v>105.8</v>
      </c>
      <c r="L299" s="131">
        <v>110.6</v>
      </c>
      <c r="M299" s="131">
        <v>115.5</v>
      </c>
      <c r="N299" s="131">
        <v>120.3</v>
      </c>
      <c r="O299" s="131">
        <v>125.2</v>
      </c>
    </row>
    <row r="300" spans="1:15">
      <c r="A300" s="131">
        <v>64</v>
      </c>
      <c r="B300" s="131">
        <v>97.8</v>
      </c>
      <c r="C300" s="131">
        <v>102.5</v>
      </c>
      <c r="D300" s="131">
        <v>107.2</v>
      </c>
      <c r="E300" s="131">
        <v>111.9</v>
      </c>
      <c r="F300" s="131">
        <v>116.5</v>
      </c>
      <c r="G300" s="131">
        <v>121.2</v>
      </c>
      <c r="H300" s="131">
        <v>125.9</v>
      </c>
      <c r="I300" s="131">
        <v>96.5</v>
      </c>
      <c r="J300" s="131">
        <v>101.4</v>
      </c>
      <c r="K300" s="131">
        <v>106.3</v>
      </c>
      <c r="L300" s="131">
        <v>111.2</v>
      </c>
      <c r="M300" s="131">
        <v>116</v>
      </c>
      <c r="N300" s="131">
        <v>120.9</v>
      </c>
      <c r="O300" s="131">
        <v>125.8</v>
      </c>
    </row>
    <row r="301" spans="1:15">
      <c r="A301" s="131">
        <v>65</v>
      </c>
      <c r="B301" s="131">
        <v>98.2</v>
      </c>
      <c r="C301" s="131">
        <v>103</v>
      </c>
      <c r="D301" s="131">
        <v>107.7</v>
      </c>
      <c r="E301" s="131">
        <v>112.4</v>
      </c>
      <c r="F301" s="131">
        <v>117.1</v>
      </c>
      <c r="G301" s="131">
        <v>121.8</v>
      </c>
      <c r="H301" s="131">
        <v>126.5</v>
      </c>
      <c r="I301" s="131">
        <v>97</v>
      </c>
      <c r="J301" s="131">
        <v>101.9</v>
      </c>
      <c r="K301" s="131">
        <v>106.8</v>
      </c>
      <c r="L301" s="131">
        <v>111.7</v>
      </c>
      <c r="M301" s="131">
        <v>116.6</v>
      </c>
      <c r="N301" s="131">
        <v>121.5</v>
      </c>
      <c r="O301" s="131">
        <v>126.4</v>
      </c>
    </row>
    <row r="302" spans="1:15">
      <c r="A302" s="404">
        <v>66</v>
      </c>
      <c r="B302" s="381">
        <v>98.7</v>
      </c>
      <c r="C302" s="381">
        <v>103.4</v>
      </c>
      <c r="D302" s="381">
        <v>108.2</v>
      </c>
      <c r="E302" s="381">
        <v>112.9</v>
      </c>
      <c r="F302" s="381">
        <v>117.7</v>
      </c>
      <c r="G302" s="381">
        <v>122.4</v>
      </c>
      <c r="H302" s="381">
        <v>127.1</v>
      </c>
      <c r="I302" s="381">
        <v>97.4</v>
      </c>
      <c r="J302" s="381">
        <v>102.3</v>
      </c>
      <c r="K302" s="381">
        <v>107.2</v>
      </c>
      <c r="L302" s="381">
        <v>112.2</v>
      </c>
      <c r="M302" s="381">
        <v>117.1</v>
      </c>
      <c r="N302" s="381">
        <v>122</v>
      </c>
      <c r="O302" s="381">
        <v>127</v>
      </c>
    </row>
    <row r="303" spans="1:15">
      <c r="A303" s="404">
        <v>67</v>
      </c>
      <c r="B303" s="381">
        <v>99.1</v>
      </c>
      <c r="C303" s="381">
        <v>103.9</v>
      </c>
      <c r="D303" s="381">
        <v>108.7</v>
      </c>
      <c r="E303" s="381">
        <v>113.4</v>
      </c>
      <c r="F303" s="381">
        <v>118.2</v>
      </c>
      <c r="G303" s="381">
        <v>123</v>
      </c>
      <c r="H303" s="381">
        <v>127.8</v>
      </c>
      <c r="I303" s="381">
        <v>97.8</v>
      </c>
      <c r="J303" s="381">
        <v>102.7</v>
      </c>
      <c r="K303" s="381">
        <v>107.7</v>
      </c>
      <c r="L303" s="381">
        <v>112.7</v>
      </c>
      <c r="M303" s="381">
        <v>117.6</v>
      </c>
      <c r="N303" s="381">
        <v>122.6</v>
      </c>
      <c r="O303" s="381">
        <v>127.6</v>
      </c>
    </row>
    <row r="304" spans="1:15">
      <c r="A304" s="404">
        <v>68</v>
      </c>
      <c r="B304" s="381">
        <v>99.5</v>
      </c>
      <c r="C304" s="381">
        <v>104.3</v>
      </c>
      <c r="D304" s="381">
        <v>109.1</v>
      </c>
      <c r="E304" s="381">
        <v>113.9</v>
      </c>
      <c r="F304" s="381">
        <v>118.7</v>
      </c>
      <c r="G304" s="381">
        <v>123.6</v>
      </c>
      <c r="H304" s="381">
        <v>128.4</v>
      </c>
      <c r="I304" s="381">
        <v>98.2</v>
      </c>
      <c r="J304" s="381">
        <v>103.2</v>
      </c>
      <c r="K304" s="381">
        <v>108.2</v>
      </c>
      <c r="L304" s="381">
        <v>113.2</v>
      </c>
      <c r="M304" s="381">
        <v>118.2</v>
      </c>
      <c r="N304" s="381">
        <v>123.2</v>
      </c>
      <c r="O304" s="381">
        <v>128.19999999999999</v>
      </c>
    </row>
    <row r="305" spans="1:15">
      <c r="A305" s="404">
        <v>69</v>
      </c>
      <c r="B305" s="381">
        <v>99.9</v>
      </c>
      <c r="C305" s="381">
        <v>104.8</v>
      </c>
      <c r="D305" s="381">
        <v>109.6</v>
      </c>
      <c r="E305" s="381">
        <v>114.5</v>
      </c>
      <c r="F305" s="381">
        <v>119.3</v>
      </c>
      <c r="G305" s="381">
        <v>124.1</v>
      </c>
      <c r="H305" s="381">
        <v>129</v>
      </c>
      <c r="I305" s="381">
        <v>98.6</v>
      </c>
      <c r="J305" s="381">
        <v>103.6</v>
      </c>
      <c r="K305" s="381">
        <v>108.6</v>
      </c>
      <c r="L305" s="381">
        <v>113.7</v>
      </c>
      <c r="M305" s="381">
        <v>118.7</v>
      </c>
      <c r="N305" s="381">
        <v>123.7</v>
      </c>
      <c r="O305" s="381">
        <v>128.80000000000001</v>
      </c>
    </row>
    <row r="306" spans="1:15">
      <c r="A306" s="404">
        <v>70</v>
      </c>
      <c r="B306" s="381">
        <v>100.4</v>
      </c>
      <c r="C306" s="381">
        <v>105.2</v>
      </c>
      <c r="D306" s="381">
        <v>110.1</v>
      </c>
      <c r="E306" s="381">
        <v>115</v>
      </c>
      <c r="F306" s="381">
        <v>119.8</v>
      </c>
      <c r="G306" s="381">
        <v>124.7</v>
      </c>
      <c r="H306" s="381">
        <v>129.6</v>
      </c>
      <c r="I306" s="381">
        <v>99</v>
      </c>
      <c r="J306" s="381">
        <v>104</v>
      </c>
      <c r="K306" s="381">
        <v>109.1</v>
      </c>
      <c r="L306" s="381">
        <v>114.2</v>
      </c>
      <c r="M306" s="381">
        <v>119.2</v>
      </c>
      <c r="N306" s="381">
        <v>124.3</v>
      </c>
      <c r="O306" s="381">
        <v>129.30000000000001</v>
      </c>
    </row>
    <row r="307" spans="1:15">
      <c r="A307" s="404">
        <v>71</v>
      </c>
      <c r="B307" s="381">
        <v>100.8</v>
      </c>
      <c r="C307" s="381">
        <v>105.7</v>
      </c>
      <c r="D307" s="381">
        <v>110.6</v>
      </c>
      <c r="E307" s="381">
        <v>115.5</v>
      </c>
      <c r="F307" s="381">
        <v>120.4</v>
      </c>
      <c r="G307" s="381">
        <v>125.2</v>
      </c>
      <c r="H307" s="381">
        <v>130.1</v>
      </c>
      <c r="I307" s="381">
        <v>99.4</v>
      </c>
      <c r="J307" s="381">
        <v>104.5</v>
      </c>
      <c r="K307" s="381">
        <v>109.6</v>
      </c>
      <c r="L307" s="381">
        <v>114.6</v>
      </c>
      <c r="M307" s="381">
        <v>119.7</v>
      </c>
      <c r="N307" s="381">
        <v>124.8</v>
      </c>
      <c r="O307" s="381">
        <v>129.9</v>
      </c>
    </row>
    <row r="308" spans="1:15">
      <c r="A308" s="404">
        <v>72</v>
      </c>
      <c r="B308" s="381">
        <v>101.2</v>
      </c>
      <c r="C308" s="381">
        <v>106.1</v>
      </c>
      <c r="D308" s="381">
        <v>111</v>
      </c>
      <c r="E308" s="381">
        <v>116</v>
      </c>
      <c r="F308" s="381">
        <v>120.9</v>
      </c>
      <c r="G308" s="381">
        <v>125.8</v>
      </c>
      <c r="H308" s="381">
        <v>130.69999999999999</v>
      </c>
      <c r="I308" s="381">
        <v>99.8</v>
      </c>
      <c r="J308" s="381">
        <v>104.9</v>
      </c>
      <c r="K308" s="381">
        <v>110</v>
      </c>
      <c r="L308" s="381">
        <v>115.1</v>
      </c>
      <c r="M308" s="381">
        <v>120.2</v>
      </c>
      <c r="N308" s="381">
        <v>125.4</v>
      </c>
      <c r="O308" s="381">
        <v>130.5</v>
      </c>
    </row>
    <row r="309" spans="1:15">
      <c r="A309" s="404">
        <v>73</v>
      </c>
      <c r="B309" s="381">
        <v>101.6</v>
      </c>
      <c r="C309" s="381">
        <v>106.5</v>
      </c>
      <c r="D309" s="381">
        <v>111.5</v>
      </c>
      <c r="E309" s="381">
        <v>116.4</v>
      </c>
      <c r="F309" s="381">
        <v>121.4</v>
      </c>
      <c r="G309" s="381">
        <v>126.4</v>
      </c>
      <c r="H309" s="381">
        <v>131.30000000000001</v>
      </c>
      <c r="I309" s="381">
        <v>100.2</v>
      </c>
      <c r="J309" s="381">
        <v>105.3</v>
      </c>
      <c r="K309" s="381">
        <v>110.5</v>
      </c>
      <c r="L309" s="381">
        <v>115.6</v>
      </c>
      <c r="M309" s="381">
        <v>120.8</v>
      </c>
      <c r="N309" s="381">
        <v>125.9</v>
      </c>
      <c r="O309" s="381">
        <v>131.1</v>
      </c>
    </row>
    <row r="310" spans="1:15">
      <c r="A310" s="404">
        <v>74</v>
      </c>
      <c r="B310" s="381">
        <v>102</v>
      </c>
      <c r="C310" s="381">
        <v>107</v>
      </c>
      <c r="D310" s="381">
        <v>111.9</v>
      </c>
      <c r="E310" s="381">
        <v>116.9</v>
      </c>
      <c r="F310" s="381">
        <v>121.9</v>
      </c>
      <c r="G310" s="381">
        <v>126.9</v>
      </c>
      <c r="H310" s="381">
        <v>131.9</v>
      </c>
      <c r="I310" s="381">
        <v>100.5</v>
      </c>
      <c r="J310" s="381">
        <v>105.7</v>
      </c>
      <c r="K310" s="381">
        <v>110.9</v>
      </c>
      <c r="L310" s="381">
        <v>116.1</v>
      </c>
      <c r="M310" s="381">
        <v>121.3</v>
      </c>
      <c r="N310" s="381">
        <v>126.4</v>
      </c>
      <c r="O310" s="381">
        <v>131.6</v>
      </c>
    </row>
    <row r="311" spans="1:15">
      <c r="A311" s="404">
        <v>75</v>
      </c>
      <c r="B311" s="381">
        <v>102.4</v>
      </c>
      <c r="C311" s="381">
        <v>107.4</v>
      </c>
      <c r="D311" s="381">
        <v>112.4</v>
      </c>
      <c r="E311" s="381">
        <v>117.4</v>
      </c>
      <c r="F311" s="381">
        <v>122.4</v>
      </c>
      <c r="G311" s="381">
        <v>127.5</v>
      </c>
      <c r="H311" s="381">
        <v>132.5</v>
      </c>
      <c r="I311" s="381">
        <v>100.9</v>
      </c>
      <c r="J311" s="381">
        <v>106.1</v>
      </c>
      <c r="K311" s="381">
        <v>111.3</v>
      </c>
      <c r="L311" s="381">
        <v>116.6</v>
      </c>
      <c r="M311" s="381">
        <v>121.8</v>
      </c>
      <c r="N311" s="381">
        <v>127</v>
      </c>
      <c r="O311" s="381">
        <v>132.19999999999999</v>
      </c>
    </row>
    <row r="312" spans="1:15">
      <c r="A312" s="404">
        <v>76</v>
      </c>
      <c r="B312" s="381">
        <v>102.8</v>
      </c>
      <c r="C312" s="381">
        <v>107.8</v>
      </c>
      <c r="D312" s="381">
        <v>112.9</v>
      </c>
      <c r="E312" s="381">
        <v>117.9</v>
      </c>
      <c r="F312" s="381">
        <v>123</v>
      </c>
      <c r="G312" s="381">
        <v>128</v>
      </c>
      <c r="H312" s="381">
        <v>133</v>
      </c>
      <c r="I312" s="381">
        <v>101.3</v>
      </c>
      <c r="J312" s="381">
        <v>106.6</v>
      </c>
      <c r="K312" s="381">
        <v>111.8</v>
      </c>
      <c r="L312" s="381">
        <v>117</v>
      </c>
      <c r="M312" s="381">
        <v>122.3</v>
      </c>
      <c r="N312" s="381">
        <v>127.5</v>
      </c>
      <c r="O312" s="381">
        <v>132.69999999999999</v>
      </c>
    </row>
    <row r="313" spans="1:15">
      <c r="A313" s="404">
        <v>77</v>
      </c>
      <c r="B313" s="381">
        <v>103.2</v>
      </c>
      <c r="C313" s="381">
        <v>108.2</v>
      </c>
      <c r="D313" s="381">
        <v>113.3</v>
      </c>
      <c r="E313" s="381">
        <v>118.4</v>
      </c>
      <c r="F313" s="381">
        <v>123.5</v>
      </c>
      <c r="G313" s="381">
        <v>128.5</v>
      </c>
      <c r="H313" s="381">
        <v>133.6</v>
      </c>
      <c r="I313" s="381">
        <v>101.7</v>
      </c>
      <c r="J313" s="381">
        <v>107</v>
      </c>
      <c r="K313" s="381">
        <v>112.2</v>
      </c>
      <c r="L313" s="381">
        <v>117.5</v>
      </c>
      <c r="M313" s="381">
        <v>122.8</v>
      </c>
      <c r="N313" s="381">
        <v>128</v>
      </c>
      <c r="O313" s="381">
        <v>133.30000000000001</v>
      </c>
    </row>
    <row r="314" spans="1:15">
      <c r="A314" s="404">
        <v>78</v>
      </c>
      <c r="B314" s="381">
        <v>103.6</v>
      </c>
      <c r="C314" s="381">
        <v>108.7</v>
      </c>
      <c r="D314" s="381">
        <v>113.8</v>
      </c>
      <c r="E314" s="381">
        <v>118.9</v>
      </c>
      <c r="F314" s="381">
        <v>124</v>
      </c>
      <c r="G314" s="381">
        <v>129.1</v>
      </c>
      <c r="H314" s="381">
        <v>134.19999999999999</v>
      </c>
      <c r="I314" s="381">
        <v>102.1</v>
      </c>
      <c r="J314" s="381">
        <v>107.4</v>
      </c>
      <c r="K314" s="381">
        <v>112.7</v>
      </c>
      <c r="L314" s="381">
        <v>118</v>
      </c>
      <c r="M314" s="381">
        <v>123.3</v>
      </c>
      <c r="N314" s="381">
        <v>128.6</v>
      </c>
      <c r="O314" s="381">
        <v>133.9</v>
      </c>
    </row>
    <row r="315" spans="1:15">
      <c r="A315" s="404">
        <v>79</v>
      </c>
      <c r="B315" s="381">
        <v>103.9</v>
      </c>
      <c r="C315" s="381">
        <v>109.1</v>
      </c>
      <c r="D315" s="381">
        <v>114.2</v>
      </c>
      <c r="E315" s="381">
        <v>119.4</v>
      </c>
      <c r="F315" s="381">
        <v>124.5</v>
      </c>
      <c r="G315" s="381">
        <v>129.6</v>
      </c>
      <c r="H315" s="381">
        <v>134.80000000000001</v>
      </c>
      <c r="I315" s="381">
        <v>102.5</v>
      </c>
      <c r="J315" s="381">
        <v>107.8</v>
      </c>
      <c r="K315" s="381">
        <v>113.1</v>
      </c>
      <c r="L315" s="381">
        <v>118.4</v>
      </c>
      <c r="M315" s="381">
        <v>123.8</v>
      </c>
      <c r="N315" s="381">
        <v>129.1</v>
      </c>
      <c r="O315" s="381">
        <v>134.4</v>
      </c>
    </row>
    <row r="316" spans="1:15">
      <c r="A316" s="404">
        <v>80</v>
      </c>
      <c r="B316" s="381">
        <v>104.3</v>
      </c>
      <c r="C316" s="381">
        <v>109.5</v>
      </c>
      <c r="D316" s="381">
        <v>114.7</v>
      </c>
      <c r="E316" s="381">
        <v>119.8</v>
      </c>
      <c r="F316" s="381">
        <v>125</v>
      </c>
      <c r="G316" s="381">
        <v>130.19999999999999</v>
      </c>
      <c r="H316" s="381">
        <v>135.30000000000001</v>
      </c>
      <c r="I316" s="381">
        <v>102.9</v>
      </c>
      <c r="J316" s="381">
        <v>108.2</v>
      </c>
      <c r="K316" s="381">
        <v>113.6</v>
      </c>
      <c r="L316" s="381">
        <v>118.9</v>
      </c>
      <c r="M316" s="381">
        <v>124.3</v>
      </c>
      <c r="N316" s="381">
        <v>129.6</v>
      </c>
      <c r="O316" s="381">
        <v>135</v>
      </c>
    </row>
    <row r="317" spans="1:15">
      <c r="A317" s="404">
        <v>81</v>
      </c>
      <c r="B317" s="381">
        <v>104.7</v>
      </c>
      <c r="C317" s="381">
        <v>109.9</v>
      </c>
      <c r="D317" s="381">
        <v>115.1</v>
      </c>
      <c r="E317" s="381">
        <v>120.3</v>
      </c>
      <c r="F317" s="381">
        <v>125.5</v>
      </c>
      <c r="G317" s="381">
        <v>130.69999999999999</v>
      </c>
      <c r="H317" s="381">
        <v>135.9</v>
      </c>
      <c r="I317" s="381">
        <v>103.2</v>
      </c>
      <c r="J317" s="381">
        <v>108.6</v>
      </c>
      <c r="K317" s="381">
        <v>114</v>
      </c>
      <c r="L317" s="381">
        <v>119.4</v>
      </c>
      <c r="M317" s="381">
        <v>124.8</v>
      </c>
      <c r="N317" s="381">
        <v>130.19999999999999</v>
      </c>
      <c r="O317" s="381">
        <v>135.5</v>
      </c>
    </row>
    <row r="318" spans="1:15">
      <c r="A318" s="404">
        <v>82</v>
      </c>
      <c r="B318" s="381">
        <v>105.1</v>
      </c>
      <c r="C318" s="381">
        <v>110.3</v>
      </c>
      <c r="D318" s="381">
        <v>115.6</v>
      </c>
      <c r="E318" s="381">
        <v>120.8</v>
      </c>
      <c r="F318" s="381">
        <v>126</v>
      </c>
      <c r="G318" s="381">
        <v>131.19999999999999</v>
      </c>
      <c r="H318" s="381">
        <v>136.5</v>
      </c>
      <c r="I318" s="381">
        <v>103.6</v>
      </c>
      <c r="J318" s="381">
        <v>109</v>
      </c>
      <c r="K318" s="381">
        <v>114.5</v>
      </c>
      <c r="L318" s="381">
        <v>119.9</v>
      </c>
      <c r="M318" s="381">
        <v>125.3</v>
      </c>
      <c r="N318" s="381">
        <v>130.69999999999999</v>
      </c>
      <c r="O318" s="381">
        <v>136.1</v>
      </c>
    </row>
    <row r="319" spans="1:15">
      <c r="A319" s="404">
        <v>83</v>
      </c>
      <c r="B319" s="381">
        <v>105.5</v>
      </c>
      <c r="C319" s="381">
        <v>110.8</v>
      </c>
      <c r="D319" s="381">
        <v>116</v>
      </c>
      <c r="E319" s="381">
        <v>121.3</v>
      </c>
      <c r="F319" s="381">
        <v>126.5</v>
      </c>
      <c r="G319" s="381">
        <v>131.80000000000001</v>
      </c>
      <c r="H319" s="381">
        <v>137</v>
      </c>
      <c r="I319" s="381">
        <v>104</v>
      </c>
      <c r="J319" s="381">
        <v>109.5</v>
      </c>
      <c r="K319" s="381">
        <v>114.9</v>
      </c>
      <c r="L319" s="381">
        <v>120.3</v>
      </c>
      <c r="M319" s="381">
        <v>125.8</v>
      </c>
      <c r="N319" s="381">
        <v>131.19999999999999</v>
      </c>
      <c r="O319" s="381">
        <v>136.69999999999999</v>
      </c>
    </row>
    <row r="320" spans="1:15">
      <c r="A320" s="404">
        <v>84</v>
      </c>
      <c r="B320" s="381">
        <v>105.9</v>
      </c>
      <c r="C320" s="381">
        <v>111.2</v>
      </c>
      <c r="D320" s="381">
        <v>116.4</v>
      </c>
      <c r="E320" s="381">
        <v>121.7</v>
      </c>
      <c r="F320" s="381">
        <v>127</v>
      </c>
      <c r="G320" s="381">
        <v>132.30000000000001</v>
      </c>
      <c r="H320" s="381">
        <v>137.6</v>
      </c>
      <c r="I320" s="381">
        <v>104.4</v>
      </c>
      <c r="J320" s="381">
        <v>109.9</v>
      </c>
      <c r="K320" s="381">
        <v>115.3</v>
      </c>
      <c r="L320" s="381">
        <v>120.8</v>
      </c>
      <c r="M320" s="381">
        <v>126.3</v>
      </c>
      <c r="N320" s="381">
        <v>131.69999999999999</v>
      </c>
      <c r="O320" s="381">
        <v>137.19999999999999</v>
      </c>
    </row>
    <row r="321" spans="1:15">
      <c r="A321" s="404">
        <v>85</v>
      </c>
      <c r="B321" s="381">
        <v>106.3</v>
      </c>
      <c r="C321" s="381">
        <v>111.6</v>
      </c>
      <c r="D321" s="381">
        <v>116.9</v>
      </c>
      <c r="E321" s="381">
        <v>122.2</v>
      </c>
      <c r="F321" s="381">
        <v>127.5</v>
      </c>
      <c r="G321" s="381">
        <v>132.80000000000001</v>
      </c>
      <c r="H321" s="381">
        <v>138.19999999999999</v>
      </c>
      <c r="I321" s="381">
        <v>104.8</v>
      </c>
      <c r="J321" s="381">
        <v>110.3</v>
      </c>
      <c r="K321" s="381">
        <v>115.8</v>
      </c>
      <c r="L321" s="381">
        <v>121.3</v>
      </c>
      <c r="M321" s="381">
        <v>126.8</v>
      </c>
      <c r="N321" s="381">
        <v>132.30000000000001</v>
      </c>
      <c r="O321" s="381">
        <v>137.80000000000001</v>
      </c>
    </row>
    <row r="322" spans="1:15">
      <c r="A322" s="405">
        <v>86</v>
      </c>
      <c r="B322" s="382">
        <v>106.6</v>
      </c>
      <c r="C322" s="382">
        <v>112</v>
      </c>
      <c r="D322" s="382">
        <v>117.3</v>
      </c>
      <c r="E322" s="382">
        <v>122.7</v>
      </c>
      <c r="F322" s="382">
        <v>128</v>
      </c>
      <c r="G322" s="382">
        <v>133.4</v>
      </c>
      <c r="H322" s="382">
        <v>138.69999999999999</v>
      </c>
      <c r="I322" s="382">
        <v>105.2</v>
      </c>
      <c r="J322" s="382">
        <v>110.7</v>
      </c>
      <c r="K322" s="382">
        <v>116.2</v>
      </c>
      <c r="L322" s="382">
        <v>121.8</v>
      </c>
      <c r="M322" s="382">
        <v>127.3</v>
      </c>
      <c r="N322" s="382">
        <v>132.80000000000001</v>
      </c>
      <c r="O322" s="382">
        <v>138.30000000000001</v>
      </c>
    </row>
    <row r="323" spans="1:15">
      <c r="A323" s="405">
        <v>87</v>
      </c>
      <c r="B323" s="131">
        <v>107</v>
      </c>
      <c r="C323" s="131">
        <v>112.4</v>
      </c>
      <c r="D323" s="131">
        <v>117.8</v>
      </c>
      <c r="E323" s="131">
        <v>123.1</v>
      </c>
      <c r="F323" s="131">
        <v>128.5</v>
      </c>
      <c r="G323" s="131">
        <v>133.9</v>
      </c>
      <c r="H323" s="131">
        <v>139.30000000000001</v>
      </c>
      <c r="I323" s="384">
        <v>105.6</v>
      </c>
      <c r="J323" s="381">
        <v>111.1</v>
      </c>
      <c r="K323" s="381">
        <v>116.7</v>
      </c>
      <c r="L323" s="381">
        <v>122.2</v>
      </c>
      <c r="M323" s="381">
        <v>127.8</v>
      </c>
      <c r="N323" s="381">
        <v>133.30000000000001</v>
      </c>
      <c r="O323" s="381">
        <v>138.9</v>
      </c>
    </row>
    <row r="324" spans="1:15">
      <c r="A324" s="405">
        <v>88</v>
      </c>
      <c r="B324" s="131">
        <v>107.4</v>
      </c>
      <c r="C324" s="131">
        <v>112.8</v>
      </c>
      <c r="D324" s="131">
        <v>118.2</v>
      </c>
      <c r="E324" s="131">
        <v>123.6</v>
      </c>
      <c r="F324" s="131">
        <v>129</v>
      </c>
      <c r="G324" s="131">
        <v>134.4</v>
      </c>
      <c r="H324" s="131">
        <v>139.80000000000001</v>
      </c>
      <c r="I324" s="384">
        <v>106</v>
      </c>
      <c r="J324" s="381">
        <v>111.6</v>
      </c>
      <c r="K324" s="381">
        <v>117.1</v>
      </c>
      <c r="L324" s="381">
        <v>122.7</v>
      </c>
      <c r="M324" s="381">
        <v>128.30000000000001</v>
      </c>
      <c r="N324" s="381">
        <v>133.9</v>
      </c>
      <c r="O324" s="381">
        <v>139.4</v>
      </c>
    </row>
    <row r="325" spans="1:15">
      <c r="A325" s="405">
        <v>89</v>
      </c>
      <c r="B325" s="131">
        <v>107.8</v>
      </c>
      <c r="C325" s="131">
        <v>113.2</v>
      </c>
      <c r="D325" s="131">
        <v>118.6</v>
      </c>
      <c r="E325" s="131">
        <v>124.1</v>
      </c>
      <c r="F325" s="131">
        <v>129.5</v>
      </c>
      <c r="G325" s="131">
        <v>135.9</v>
      </c>
      <c r="H325" s="131">
        <v>140.4</v>
      </c>
      <c r="I325" s="384">
        <v>106.4</v>
      </c>
      <c r="J325" s="381">
        <v>112</v>
      </c>
      <c r="K325" s="381">
        <v>117.6</v>
      </c>
      <c r="L325" s="381">
        <v>123.2</v>
      </c>
      <c r="M325" s="381">
        <v>128.80000000000001</v>
      </c>
      <c r="N325" s="381">
        <v>134.4</v>
      </c>
      <c r="O325" s="381">
        <v>140</v>
      </c>
    </row>
    <row r="326" spans="1:15">
      <c r="A326" s="405">
        <v>90</v>
      </c>
      <c r="B326" s="131">
        <v>108.1</v>
      </c>
      <c r="C326" s="131">
        <v>113.6</v>
      </c>
      <c r="D326" s="131">
        <v>119.1</v>
      </c>
      <c r="E326" s="131">
        <v>125.5</v>
      </c>
      <c r="F326" s="131">
        <v>130</v>
      </c>
      <c r="G326" s="131">
        <v>136.5</v>
      </c>
      <c r="H326" s="131">
        <v>140.9</v>
      </c>
      <c r="I326" s="384">
        <v>106.8</v>
      </c>
      <c r="J326" s="381">
        <v>112.4</v>
      </c>
      <c r="K326" s="381">
        <v>118</v>
      </c>
      <c r="L326" s="381">
        <v>123.7</v>
      </c>
      <c r="M326" s="381">
        <v>129.30000000000001</v>
      </c>
      <c r="N326" s="381">
        <v>134.9</v>
      </c>
      <c r="O326" s="381">
        <v>140.6</v>
      </c>
    </row>
    <row r="327" spans="1:15">
      <c r="A327" s="404">
        <v>91</v>
      </c>
      <c r="B327" s="381">
        <v>108.5</v>
      </c>
      <c r="C327" s="381">
        <v>114</v>
      </c>
      <c r="D327" s="381">
        <v>119.5</v>
      </c>
      <c r="E327" s="381">
        <v>125</v>
      </c>
      <c r="F327" s="381">
        <v>130.5</v>
      </c>
      <c r="G327" s="381">
        <v>136</v>
      </c>
      <c r="H327" s="381">
        <v>141.5</v>
      </c>
      <c r="I327" s="381">
        <v>107.2</v>
      </c>
      <c r="J327" s="381">
        <v>112.8</v>
      </c>
      <c r="K327" s="381">
        <v>118.5</v>
      </c>
      <c r="L327" s="381">
        <v>124.1</v>
      </c>
      <c r="M327" s="381">
        <v>129.80000000000001</v>
      </c>
      <c r="N327" s="381">
        <v>135.5</v>
      </c>
      <c r="O327" s="381">
        <v>141.1</v>
      </c>
    </row>
    <row r="328" spans="1:15">
      <c r="A328" s="404">
        <v>92</v>
      </c>
      <c r="B328" s="381">
        <v>108.9</v>
      </c>
      <c r="C328" s="381">
        <v>114.4</v>
      </c>
      <c r="D328" s="381">
        <v>119.9</v>
      </c>
      <c r="E328" s="381">
        <v>125.5</v>
      </c>
      <c r="F328" s="381">
        <v>131</v>
      </c>
      <c r="G328" s="381">
        <v>136.5</v>
      </c>
      <c r="H328" s="381">
        <v>142</v>
      </c>
      <c r="I328" s="381">
        <v>107.6</v>
      </c>
      <c r="J328" s="381">
        <v>113.2</v>
      </c>
      <c r="K328" s="381">
        <v>118.9</v>
      </c>
      <c r="L328" s="381">
        <v>124.6</v>
      </c>
      <c r="M328" s="381">
        <v>130.30000000000001</v>
      </c>
      <c r="N328" s="381">
        <v>136</v>
      </c>
      <c r="O328" s="381">
        <v>141.69999999999999</v>
      </c>
    </row>
    <row r="329" spans="1:15">
      <c r="A329" s="404">
        <v>93</v>
      </c>
      <c r="B329" s="381">
        <v>109.2</v>
      </c>
      <c r="C329" s="381">
        <v>114.8</v>
      </c>
      <c r="D329" s="381">
        <v>120.4</v>
      </c>
      <c r="E329" s="381">
        <v>125.9</v>
      </c>
      <c r="F329" s="381">
        <v>131.5</v>
      </c>
      <c r="G329" s="381">
        <v>137</v>
      </c>
      <c r="H329" s="381">
        <v>142.6</v>
      </c>
      <c r="I329" s="381">
        <v>108</v>
      </c>
      <c r="J329" s="381">
        <v>113.7</v>
      </c>
      <c r="K329" s="381">
        <v>119.4</v>
      </c>
      <c r="L329" s="381">
        <v>125.1</v>
      </c>
      <c r="M329" s="381">
        <v>130.80000000000001</v>
      </c>
      <c r="N329" s="381">
        <v>136.5</v>
      </c>
      <c r="O329" s="381">
        <v>142.30000000000001</v>
      </c>
    </row>
    <row r="330" spans="1:15">
      <c r="A330" s="404">
        <v>94</v>
      </c>
      <c r="B330" s="381">
        <v>109.6</v>
      </c>
      <c r="C330" s="381">
        <v>115.2</v>
      </c>
      <c r="D330" s="381">
        <v>120.8</v>
      </c>
      <c r="E330" s="381">
        <v>126.4</v>
      </c>
      <c r="F330" s="381">
        <v>132</v>
      </c>
      <c r="G330" s="381">
        <v>137.5</v>
      </c>
      <c r="H330" s="381">
        <v>143.1</v>
      </c>
      <c r="I330" s="381">
        <v>108.4</v>
      </c>
      <c r="J330" s="381">
        <v>114.1</v>
      </c>
      <c r="K330" s="381">
        <v>119.8</v>
      </c>
      <c r="L330" s="381">
        <v>125.6</v>
      </c>
      <c r="M330" s="381">
        <v>131.30000000000001</v>
      </c>
      <c r="N330" s="381">
        <v>137.1</v>
      </c>
      <c r="O330" s="381">
        <v>142.80000000000001</v>
      </c>
    </row>
    <row r="331" spans="1:15">
      <c r="A331" s="404">
        <v>95</v>
      </c>
      <c r="B331" s="381">
        <v>110</v>
      </c>
      <c r="C331" s="381">
        <v>115.6</v>
      </c>
      <c r="D331" s="381">
        <v>121.2</v>
      </c>
      <c r="E331" s="381">
        <v>126.8</v>
      </c>
      <c r="F331" s="381">
        <v>132.4</v>
      </c>
      <c r="G331" s="381">
        <v>138.1</v>
      </c>
      <c r="H331" s="381">
        <v>143.69999999999999</v>
      </c>
      <c r="I331" s="381">
        <v>108.8</v>
      </c>
      <c r="J331" s="381">
        <v>114.5</v>
      </c>
      <c r="K331" s="381">
        <v>120.3</v>
      </c>
      <c r="L331" s="381">
        <v>126.1</v>
      </c>
      <c r="M331" s="381">
        <v>131.80000000000001</v>
      </c>
      <c r="N331" s="381">
        <v>137.6</v>
      </c>
      <c r="O331" s="381">
        <v>143.4</v>
      </c>
    </row>
    <row r="332" spans="1:15">
      <c r="A332" s="404">
        <v>96</v>
      </c>
      <c r="B332" s="381">
        <v>110.3</v>
      </c>
      <c r="C332" s="381">
        <v>116</v>
      </c>
      <c r="D332" s="381">
        <v>121.6</v>
      </c>
      <c r="E332" s="381">
        <v>127.3</v>
      </c>
      <c r="F332" s="381">
        <v>132.9</v>
      </c>
      <c r="G332" s="381">
        <v>138.6</v>
      </c>
      <c r="H332" s="381">
        <v>144.19999999999999</v>
      </c>
      <c r="I332" s="381">
        <v>109.2</v>
      </c>
      <c r="J332" s="381">
        <v>115</v>
      </c>
      <c r="K332" s="381">
        <v>120.8</v>
      </c>
      <c r="L332" s="381">
        <v>126.6</v>
      </c>
      <c r="M332" s="381">
        <v>132.4</v>
      </c>
      <c r="N332" s="381">
        <v>138.19999999999999</v>
      </c>
      <c r="O332" s="381">
        <v>143.9</v>
      </c>
    </row>
    <row r="333" spans="1:15">
      <c r="A333" s="404">
        <v>97</v>
      </c>
      <c r="B333" s="381">
        <v>110.7</v>
      </c>
      <c r="C333" s="381">
        <v>116.4</v>
      </c>
      <c r="D333" s="381">
        <v>122</v>
      </c>
      <c r="E333" s="381">
        <v>127.7</v>
      </c>
      <c r="F333" s="381">
        <v>133.4</v>
      </c>
      <c r="G333" s="381">
        <v>139.1</v>
      </c>
      <c r="H333" s="381">
        <v>144.69999999999999</v>
      </c>
      <c r="I333" s="381">
        <v>109.6</v>
      </c>
      <c r="J333" s="381">
        <v>115.4</v>
      </c>
      <c r="K333" s="381">
        <v>121.2</v>
      </c>
      <c r="L333" s="381">
        <v>127</v>
      </c>
      <c r="M333" s="381">
        <v>132.9</v>
      </c>
      <c r="N333" s="381">
        <v>138.69999999999999</v>
      </c>
      <c r="O333" s="381">
        <v>144.5</v>
      </c>
    </row>
    <row r="334" spans="1:15">
      <c r="A334" s="404">
        <v>98</v>
      </c>
      <c r="B334" s="381">
        <v>111</v>
      </c>
      <c r="C334" s="381">
        <v>116.7</v>
      </c>
      <c r="D334" s="381">
        <v>122.5</v>
      </c>
      <c r="E334" s="381">
        <v>128.19999999999999</v>
      </c>
      <c r="F334" s="381">
        <v>133.9</v>
      </c>
      <c r="G334" s="381">
        <v>139.6</v>
      </c>
      <c r="H334" s="381">
        <v>145.30000000000001</v>
      </c>
      <c r="I334" s="381">
        <v>110</v>
      </c>
      <c r="J334" s="381">
        <v>115.8</v>
      </c>
      <c r="K334" s="381">
        <v>121.7</v>
      </c>
      <c r="L334" s="381">
        <v>127.5</v>
      </c>
      <c r="M334" s="381">
        <v>133.4</v>
      </c>
      <c r="N334" s="381">
        <v>139.19999999999999</v>
      </c>
      <c r="O334" s="381">
        <v>145.1</v>
      </c>
    </row>
    <row r="335" spans="1:15">
      <c r="A335" s="404">
        <v>99</v>
      </c>
      <c r="B335" s="381">
        <v>111.4</v>
      </c>
      <c r="C335" s="381">
        <v>117.1</v>
      </c>
      <c r="D335" s="381">
        <v>122.9</v>
      </c>
      <c r="E335" s="381">
        <v>128.6</v>
      </c>
      <c r="F335" s="381">
        <v>134.30000000000001</v>
      </c>
      <c r="G335" s="381">
        <v>140.1</v>
      </c>
      <c r="H335" s="381">
        <v>145.80000000000001</v>
      </c>
      <c r="I335" s="381">
        <v>110.4</v>
      </c>
      <c r="J335" s="381">
        <v>116.3</v>
      </c>
      <c r="K335" s="381">
        <v>122.1</v>
      </c>
      <c r="L335" s="381">
        <v>128</v>
      </c>
      <c r="M335" s="381">
        <v>133.9</v>
      </c>
      <c r="N335" s="381">
        <v>139.80000000000001</v>
      </c>
      <c r="O335" s="381">
        <v>145.69999999999999</v>
      </c>
    </row>
    <row r="336" spans="1:15">
      <c r="A336" s="414">
        <v>100</v>
      </c>
      <c r="B336" s="381">
        <v>111.7</v>
      </c>
      <c r="C336" s="381">
        <v>117.5</v>
      </c>
      <c r="D336" s="381">
        <v>123.3</v>
      </c>
      <c r="E336" s="381">
        <v>129</v>
      </c>
      <c r="F336" s="381">
        <v>134.80000000000001</v>
      </c>
      <c r="G336" s="381">
        <v>140.6</v>
      </c>
      <c r="H336" s="381">
        <v>146.4</v>
      </c>
      <c r="I336" s="381">
        <v>110.8</v>
      </c>
      <c r="J336" s="381">
        <v>116.7</v>
      </c>
      <c r="K336" s="381">
        <v>122.6</v>
      </c>
      <c r="L336" s="381">
        <v>128.5</v>
      </c>
      <c r="M336" s="381">
        <v>134.4</v>
      </c>
      <c r="N336" s="381">
        <v>140.30000000000001</v>
      </c>
      <c r="O336" s="381">
        <v>146.19999999999999</v>
      </c>
    </row>
    <row r="337" spans="1:15">
      <c r="A337" s="414">
        <v>101</v>
      </c>
      <c r="B337" s="381">
        <v>112.1</v>
      </c>
      <c r="C337" s="381">
        <v>117.9</v>
      </c>
      <c r="D337" s="381">
        <v>123.7</v>
      </c>
      <c r="E337" s="381">
        <v>129.5</v>
      </c>
      <c r="F337" s="381">
        <v>135.30000000000001</v>
      </c>
      <c r="G337" s="381">
        <v>141.1</v>
      </c>
      <c r="H337" s="381">
        <v>146.9</v>
      </c>
      <c r="I337" s="381">
        <v>111.2</v>
      </c>
      <c r="J337" s="381">
        <v>117.1</v>
      </c>
      <c r="K337" s="381">
        <v>123.1</v>
      </c>
      <c r="L337" s="381">
        <v>129</v>
      </c>
      <c r="M337" s="381">
        <v>134.9</v>
      </c>
      <c r="N337" s="381">
        <v>140.9</v>
      </c>
      <c r="O337" s="381">
        <v>146.80000000000001</v>
      </c>
    </row>
    <row r="338" spans="1:15">
      <c r="A338" s="414">
        <v>102</v>
      </c>
      <c r="B338" s="381">
        <v>112.4</v>
      </c>
      <c r="C338" s="381">
        <v>118.3</v>
      </c>
      <c r="D338" s="381">
        <v>124.1</v>
      </c>
      <c r="E338" s="381">
        <v>129.9</v>
      </c>
      <c r="F338" s="381">
        <v>135.80000000000001</v>
      </c>
      <c r="G338" s="381">
        <v>141.6</v>
      </c>
      <c r="H338" s="381">
        <v>147.4</v>
      </c>
      <c r="I338" s="381">
        <v>111.6</v>
      </c>
      <c r="J338" s="381">
        <v>117.6</v>
      </c>
      <c r="K338" s="381">
        <v>123.5</v>
      </c>
      <c r="L338" s="381">
        <v>129.5</v>
      </c>
      <c r="M338" s="381">
        <v>135.5</v>
      </c>
      <c r="N338" s="381">
        <v>141.4</v>
      </c>
      <c r="O338" s="381">
        <v>147.4</v>
      </c>
    </row>
    <row r="339" spans="1:15">
      <c r="A339" s="414">
        <v>103</v>
      </c>
      <c r="B339" s="381">
        <v>112.8</v>
      </c>
      <c r="C339" s="381">
        <v>118.7</v>
      </c>
      <c r="D339" s="381">
        <v>124.5</v>
      </c>
      <c r="E339" s="381">
        <v>130.4</v>
      </c>
      <c r="F339" s="381">
        <v>136.19999999999999</v>
      </c>
      <c r="G339" s="381">
        <v>142.1</v>
      </c>
      <c r="H339" s="381">
        <v>148</v>
      </c>
      <c r="I339" s="381">
        <v>112</v>
      </c>
      <c r="J339" s="381">
        <v>118</v>
      </c>
      <c r="K339" s="381">
        <v>124</v>
      </c>
      <c r="L339" s="381">
        <v>130</v>
      </c>
      <c r="M339" s="381">
        <v>136</v>
      </c>
      <c r="N339" s="381">
        <v>142</v>
      </c>
      <c r="O339" s="381">
        <v>147.9</v>
      </c>
    </row>
    <row r="340" spans="1:15">
      <c r="A340" s="414">
        <v>104</v>
      </c>
      <c r="B340" s="381">
        <v>113.1</v>
      </c>
      <c r="C340" s="381">
        <v>119</v>
      </c>
      <c r="D340" s="381">
        <v>124.9</v>
      </c>
      <c r="E340" s="381">
        <v>130.80000000000001</v>
      </c>
      <c r="F340" s="381">
        <v>136.69999999999999</v>
      </c>
      <c r="G340" s="381">
        <v>142.6</v>
      </c>
      <c r="H340" s="381">
        <v>148.5</v>
      </c>
      <c r="I340" s="381">
        <v>112.5</v>
      </c>
      <c r="J340" s="381">
        <v>118.5</v>
      </c>
      <c r="K340" s="381">
        <v>124.5</v>
      </c>
      <c r="L340" s="381">
        <v>130.5</v>
      </c>
      <c r="M340" s="381">
        <v>136.5</v>
      </c>
      <c r="N340" s="381">
        <v>142.5</v>
      </c>
      <c r="O340" s="381">
        <v>148.5</v>
      </c>
    </row>
    <row r="341" spans="1:15">
      <c r="A341" s="414">
        <v>105</v>
      </c>
      <c r="B341" s="381">
        <v>113.5</v>
      </c>
      <c r="C341" s="381">
        <v>119.4</v>
      </c>
      <c r="D341" s="381">
        <v>125.3</v>
      </c>
      <c r="E341" s="381">
        <v>131.30000000000001</v>
      </c>
      <c r="F341" s="381">
        <v>137.19999999999999</v>
      </c>
      <c r="G341" s="381">
        <v>143.1</v>
      </c>
      <c r="H341" s="381">
        <v>149</v>
      </c>
      <c r="I341" s="381">
        <v>112.9</v>
      </c>
      <c r="J341" s="381">
        <v>118.9</v>
      </c>
      <c r="K341" s="381">
        <v>125</v>
      </c>
      <c r="L341" s="381">
        <v>131</v>
      </c>
      <c r="M341" s="381">
        <v>137</v>
      </c>
      <c r="N341" s="381">
        <v>143.1</v>
      </c>
      <c r="O341" s="381">
        <v>149.1</v>
      </c>
    </row>
    <row r="342" spans="1:15">
      <c r="A342" s="414">
        <v>106</v>
      </c>
      <c r="B342" s="381">
        <v>113.8</v>
      </c>
      <c r="C342" s="381">
        <v>119.8</v>
      </c>
      <c r="D342" s="381">
        <v>125.7</v>
      </c>
      <c r="E342" s="381">
        <v>131.69999999999999</v>
      </c>
      <c r="F342" s="381">
        <v>137.6</v>
      </c>
      <c r="G342" s="381">
        <v>143.6</v>
      </c>
      <c r="H342" s="381">
        <v>149.5</v>
      </c>
      <c r="I342" s="381">
        <v>113.3</v>
      </c>
      <c r="J342" s="381">
        <v>119.4</v>
      </c>
      <c r="K342" s="381">
        <v>125.4</v>
      </c>
      <c r="L342" s="381">
        <v>131.5</v>
      </c>
      <c r="M342" s="381">
        <v>137.5</v>
      </c>
      <c r="N342" s="381">
        <v>143.6</v>
      </c>
      <c r="O342" s="381">
        <v>149.69999999999999</v>
      </c>
    </row>
    <row r="343" spans="1:15">
      <c r="A343" s="414">
        <v>107</v>
      </c>
      <c r="B343" s="381">
        <v>114.2</v>
      </c>
      <c r="C343" s="381">
        <v>120.2</v>
      </c>
      <c r="D343" s="381">
        <v>126.1</v>
      </c>
      <c r="E343" s="381">
        <v>132.1</v>
      </c>
      <c r="F343" s="381">
        <v>138.1</v>
      </c>
      <c r="G343" s="381">
        <v>144.1</v>
      </c>
      <c r="H343" s="381">
        <v>150.1</v>
      </c>
      <c r="I343" s="381">
        <v>113.7</v>
      </c>
      <c r="J343" s="381">
        <v>119.8</v>
      </c>
      <c r="K343" s="381">
        <v>125.9</v>
      </c>
      <c r="L343" s="381">
        <v>132</v>
      </c>
      <c r="M343" s="381">
        <v>138.1</v>
      </c>
      <c r="N343" s="381">
        <v>144.19999999999999</v>
      </c>
      <c r="O343" s="381">
        <v>150.19999999999999</v>
      </c>
    </row>
    <row r="344" spans="1:15">
      <c r="A344" s="414">
        <v>108</v>
      </c>
      <c r="B344" s="381">
        <v>114.5</v>
      </c>
      <c r="C344" s="381">
        <v>120.5</v>
      </c>
      <c r="D344" s="381">
        <v>126.6</v>
      </c>
      <c r="E344" s="381">
        <v>132.6</v>
      </c>
      <c r="F344" s="381">
        <v>138.6</v>
      </c>
      <c r="G344" s="381">
        <v>144.6</v>
      </c>
      <c r="H344" s="381">
        <v>150.6</v>
      </c>
      <c r="I344" s="381">
        <v>114.2</v>
      </c>
      <c r="J344" s="381">
        <v>120.3</v>
      </c>
      <c r="K344" s="381">
        <v>126.4</v>
      </c>
      <c r="L344" s="381">
        <v>132.5</v>
      </c>
      <c r="M344" s="381">
        <v>138.6</v>
      </c>
      <c r="N344" s="381">
        <v>144.69999999999999</v>
      </c>
      <c r="O344" s="381">
        <v>150.80000000000001</v>
      </c>
    </row>
    <row r="345" spans="1:15">
      <c r="A345" s="414">
        <v>109</v>
      </c>
      <c r="B345" s="381">
        <v>114.9</v>
      </c>
      <c r="C345" s="381">
        <v>120.9</v>
      </c>
      <c r="D345" s="381">
        <v>127</v>
      </c>
      <c r="E345" s="381">
        <v>133</v>
      </c>
      <c r="F345" s="381">
        <v>139</v>
      </c>
      <c r="G345" s="381">
        <v>145.1</v>
      </c>
      <c r="H345" s="381">
        <v>151.1</v>
      </c>
      <c r="I345" s="381">
        <v>114.6</v>
      </c>
      <c r="J345" s="381">
        <v>120.7</v>
      </c>
      <c r="K345" s="381">
        <v>126.9</v>
      </c>
      <c r="L345" s="381">
        <v>133</v>
      </c>
      <c r="M345" s="381">
        <v>139.1</v>
      </c>
      <c r="N345" s="381">
        <v>145.30000000000001</v>
      </c>
      <c r="O345" s="381">
        <v>151.4</v>
      </c>
    </row>
    <row r="346" spans="1:15">
      <c r="A346" s="414">
        <v>110</v>
      </c>
      <c r="B346" s="381">
        <v>115.2</v>
      </c>
      <c r="C346" s="381">
        <v>121.3</v>
      </c>
      <c r="D346" s="381">
        <v>127.4</v>
      </c>
      <c r="E346" s="381">
        <v>133.4</v>
      </c>
      <c r="F346" s="381">
        <v>139.5</v>
      </c>
      <c r="G346" s="381">
        <v>145.6</v>
      </c>
      <c r="H346" s="381">
        <v>151.69999999999999</v>
      </c>
      <c r="I346" s="381">
        <v>115</v>
      </c>
      <c r="J346" s="381">
        <v>121.2</v>
      </c>
      <c r="K346" s="381">
        <v>127.3</v>
      </c>
      <c r="L346" s="381">
        <v>133.5</v>
      </c>
      <c r="M346" s="381">
        <v>139.69999999999999</v>
      </c>
      <c r="N346" s="381">
        <v>145.80000000000001</v>
      </c>
      <c r="O346" s="381">
        <v>152</v>
      </c>
    </row>
    <row r="347" spans="1:15">
      <c r="A347" s="415">
        <v>111</v>
      </c>
      <c r="B347" s="382">
        <v>115.6</v>
      </c>
      <c r="C347" s="382">
        <v>121.7</v>
      </c>
      <c r="D347" s="382">
        <v>127.8</v>
      </c>
      <c r="E347" s="382">
        <v>133.9</v>
      </c>
      <c r="F347" s="382">
        <v>140</v>
      </c>
      <c r="G347" s="382">
        <v>146.1</v>
      </c>
      <c r="H347" s="382">
        <v>152.19999999999999</v>
      </c>
      <c r="I347" s="382">
        <v>115.5</v>
      </c>
      <c r="J347" s="382">
        <v>121.6</v>
      </c>
      <c r="K347" s="382">
        <v>127.8</v>
      </c>
      <c r="L347" s="382">
        <v>134</v>
      </c>
      <c r="M347" s="382">
        <v>140.19999999999999</v>
      </c>
      <c r="N347" s="382">
        <v>146.4</v>
      </c>
      <c r="O347" s="382">
        <v>152.6</v>
      </c>
    </row>
    <row r="348" spans="1:15">
      <c r="A348" s="417">
        <v>112</v>
      </c>
      <c r="B348" s="385">
        <v>115.9</v>
      </c>
      <c r="C348" s="385">
        <v>122</v>
      </c>
      <c r="D348" s="385">
        <v>128.19999999999999</v>
      </c>
      <c r="E348" s="385">
        <v>134.30000000000001</v>
      </c>
      <c r="F348" s="385">
        <v>140.4</v>
      </c>
      <c r="G348" s="385">
        <v>146.6</v>
      </c>
      <c r="H348" s="385">
        <v>152.69999999999999</v>
      </c>
      <c r="I348" s="385">
        <v>115.9</v>
      </c>
      <c r="J348" s="385">
        <v>122.1</v>
      </c>
      <c r="K348" s="385">
        <v>128.30000000000001</v>
      </c>
      <c r="L348" s="385">
        <v>134.5</v>
      </c>
      <c r="M348" s="385">
        <v>140.69999999999999</v>
      </c>
      <c r="N348" s="385">
        <v>146.9</v>
      </c>
      <c r="O348" s="385">
        <v>153.1</v>
      </c>
    </row>
    <row r="349" spans="1:15">
      <c r="A349" s="414">
        <v>113</v>
      </c>
      <c r="B349" s="381">
        <v>116.3</v>
      </c>
      <c r="C349" s="381">
        <v>122.4</v>
      </c>
      <c r="D349" s="381">
        <v>128.6</v>
      </c>
      <c r="E349" s="381">
        <v>134.69999999999999</v>
      </c>
      <c r="F349" s="381">
        <v>140.9</v>
      </c>
      <c r="G349" s="381">
        <v>147.1</v>
      </c>
      <c r="H349" s="381">
        <v>153.19999999999999</v>
      </c>
      <c r="I349" s="381">
        <v>116.3</v>
      </c>
      <c r="J349" s="381">
        <v>122.6</v>
      </c>
      <c r="K349" s="381">
        <v>128.80000000000001</v>
      </c>
      <c r="L349" s="381">
        <v>135</v>
      </c>
      <c r="M349" s="381">
        <v>141.30000000000001</v>
      </c>
      <c r="N349" s="381">
        <v>147.5</v>
      </c>
      <c r="O349" s="381">
        <v>153.69999999999999</v>
      </c>
    </row>
    <row r="350" spans="1:15">
      <c r="A350" s="414">
        <v>114</v>
      </c>
      <c r="B350" s="381">
        <v>116.6</v>
      </c>
      <c r="C350" s="381">
        <v>122.8</v>
      </c>
      <c r="D350" s="381">
        <v>129</v>
      </c>
      <c r="E350" s="381">
        <v>135.19999999999999</v>
      </c>
      <c r="F350" s="381">
        <v>141.4</v>
      </c>
      <c r="G350" s="381">
        <v>147.6</v>
      </c>
      <c r="H350" s="381">
        <v>153.80000000000001</v>
      </c>
      <c r="I350" s="381">
        <v>116.8</v>
      </c>
      <c r="J350" s="381">
        <v>123</v>
      </c>
      <c r="K350" s="381">
        <v>129.30000000000001</v>
      </c>
      <c r="L350" s="381">
        <v>135.5</v>
      </c>
      <c r="M350" s="381">
        <v>141.80000000000001</v>
      </c>
      <c r="N350" s="381">
        <v>148.1</v>
      </c>
      <c r="O350" s="381">
        <v>154.30000000000001</v>
      </c>
    </row>
    <row r="351" spans="1:15">
      <c r="A351" s="414">
        <v>115</v>
      </c>
      <c r="B351" s="381">
        <v>116.9</v>
      </c>
      <c r="C351" s="381">
        <v>123.2</v>
      </c>
      <c r="D351" s="381">
        <v>129.4</v>
      </c>
      <c r="E351" s="381">
        <v>135.6</v>
      </c>
      <c r="F351" s="381">
        <v>141.80000000000001</v>
      </c>
      <c r="G351" s="381">
        <v>148.1</v>
      </c>
      <c r="H351" s="381">
        <v>154.30000000000001</v>
      </c>
      <c r="I351" s="381">
        <v>117.2</v>
      </c>
      <c r="J351" s="381">
        <v>123.5</v>
      </c>
      <c r="K351" s="381">
        <v>129.80000000000001</v>
      </c>
      <c r="L351" s="381">
        <v>136.1</v>
      </c>
      <c r="M351" s="381">
        <v>142.30000000000001</v>
      </c>
      <c r="N351" s="381">
        <v>148.6</v>
      </c>
      <c r="O351" s="381">
        <v>154.9</v>
      </c>
    </row>
    <row r="352" spans="1:15">
      <c r="A352" s="414">
        <v>116</v>
      </c>
      <c r="B352" s="381">
        <v>117.3</v>
      </c>
      <c r="C352" s="381">
        <v>123.5</v>
      </c>
      <c r="D352" s="381">
        <v>129.80000000000001</v>
      </c>
      <c r="E352" s="381">
        <v>136.1</v>
      </c>
      <c r="F352" s="381">
        <v>142.30000000000001</v>
      </c>
      <c r="G352" s="381">
        <v>148.6</v>
      </c>
      <c r="H352" s="381">
        <v>154.80000000000001</v>
      </c>
      <c r="I352" s="381">
        <v>117.7</v>
      </c>
      <c r="J352" s="381">
        <v>124</v>
      </c>
      <c r="K352" s="381">
        <v>130.30000000000001</v>
      </c>
      <c r="L352" s="381">
        <v>136.6</v>
      </c>
      <c r="M352" s="381">
        <v>142.9</v>
      </c>
      <c r="N352" s="381">
        <v>149.19999999999999</v>
      </c>
      <c r="O352" s="381">
        <v>155.5</v>
      </c>
    </row>
    <row r="353" spans="1:15">
      <c r="A353" s="414">
        <v>117</v>
      </c>
      <c r="B353" s="381">
        <v>117.6</v>
      </c>
      <c r="C353" s="381">
        <v>123.9</v>
      </c>
      <c r="D353" s="381">
        <v>130.19999999999999</v>
      </c>
      <c r="E353" s="381">
        <v>136.5</v>
      </c>
      <c r="F353" s="381">
        <v>142.80000000000001</v>
      </c>
      <c r="G353" s="381">
        <v>149.1</v>
      </c>
      <c r="H353" s="381">
        <v>155.30000000000001</v>
      </c>
      <c r="I353" s="381">
        <v>118.1</v>
      </c>
      <c r="J353" s="381">
        <v>124.4</v>
      </c>
      <c r="K353" s="381">
        <v>130.80000000000001</v>
      </c>
      <c r="L353" s="381">
        <v>137.1</v>
      </c>
      <c r="M353" s="381">
        <v>143.4</v>
      </c>
      <c r="N353" s="381">
        <v>149.69999999999999</v>
      </c>
      <c r="O353" s="381">
        <v>156.1</v>
      </c>
    </row>
    <row r="354" spans="1:15">
      <c r="A354" s="414">
        <v>118</v>
      </c>
      <c r="B354" s="381">
        <v>118</v>
      </c>
      <c r="C354" s="381">
        <v>124.3</v>
      </c>
      <c r="D354" s="381">
        <v>130.6</v>
      </c>
      <c r="E354" s="381">
        <v>136.9</v>
      </c>
      <c r="F354" s="381">
        <v>143.19999999999999</v>
      </c>
      <c r="G354" s="381">
        <v>149.5</v>
      </c>
      <c r="H354" s="381">
        <v>155.9</v>
      </c>
      <c r="I354" s="381">
        <v>118.5</v>
      </c>
      <c r="J354" s="381">
        <v>124.9</v>
      </c>
      <c r="K354" s="381">
        <v>131.19999999999999</v>
      </c>
      <c r="L354" s="381">
        <v>137.6</v>
      </c>
      <c r="M354" s="381">
        <v>144</v>
      </c>
      <c r="N354" s="381">
        <v>150.30000000000001</v>
      </c>
      <c r="O354" s="381">
        <v>156.69999999999999</v>
      </c>
    </row>
    <row r="355" spans="1:15">
      <c r="A355" s="414">
        <v>119</v>
      </c>
      <c r="B355" s="381">
        <v>118.3</v>
      </c>
      <c r="C355" s="381">
        <v>124.7</v>
      </c>
      <c r="D355" s="381">
        <v>131</v>
      </c>
      <c r="E355" s="381">
        <v>137.30000000000001</v>
      </c>
      <c r="F355" s="381">
        <v>143.69999999999999</v>
      </c>
      <c r="G355" s="381">
        <v>150</v>
      </c>
      <c r="H355" s="381">
        <v>156.4</v>
      </c>
      <c r="I355" s="381">
        <v>119</v>
      </c>
      <c r="J355" s="381">
        <v>125.4</v>
      </c>
      <c r="K355" s="381">
        <v>131.69999999999999</v>
      </c>
      <c r="L355" s="381">
        <v>138.1</v>
      </c>
      <c r="M355" s="381">
        <v>144.5</v>
      </c>
      <c r="N355" s="381">
        <v>150.9</v>
      </c>
      <c r="O355" s="381">
        <v>157.19999999999999</v>
      </c>
    </row>
    <row r="356" spans="1:15">
      <c r="A356" s="414">
        <v>120</v>
      </c>
      <c r="B356" s="381">
        <v>118.7</v>
      </c>
      <c r="C356" s="381">
        <v>125</v>
      </c>
      <c r="D356" s="381">
        <v>131.4</v>
      </c>
      <c r="E356" s="381">
        <v>137.80000000000001</v>
      </c>
      <c r="F356" s="381">
        <v>144.19999999999999</v>
      </c>
      <c r="G356" s="381">
        <v>150.5</v>
      </c>
      <c r="H356" s="381">
        <v>156.9</v>
      </c>
      <c r="I356" s="381">
        <v>119.4</v>
      </c>
      <c r="J356" s="381">
        <v>125.8</v>
      </c>
      <c r="K356" s="381">
        <v>132.19999999999999</v>
      </c>
      <c r="L356" s="381">
        <v>138.6</v>
      </c>
      <c r="M356" s="381">
        <v>145</v>
      </c>
      <c r="N356" s="381">
        <v>151.4</v>
      </c>
      <c r="O356" s="381">
        <v>157.80000000000001</v>
      </c>
    </row>
    <row r="357" spans="1:15">
      <c r="A357" s="414">
        <v>121</v>
      </c>
      <c r="B357" s="381">
        <v>119</v>
      </c>
      <c r="C357" s="381">
        <v>125.4</v>
      </c>
      <c r="D357" s="381">
        <v>131.80000000000001</v>
      </c>
      <c r="E357" s="381">
        <v>138.19999999999999</v>
      </c>
      <c r="F357" s="381">
        <v>144.6</v>
      </c>
      <c r="G357" s="381">
        <v>151</v>
      </c>
      <c r="H357" s="381">
        <v>157.4</v>
      </c>
      <c r="I357" s="381">
        <v>119.9</v>
      </c>
      <c r="J357" s="381">
        <v>126.3</v>
      </c>
      <c r="K357" s="381">
        <v>132.69999999999999</v>
      </c>
      <c r="L357" s="381">
        <v>139.19999999999999</v>
      </c>
      <c r="M357" s="381">
        <v>145.6</v>
      </c>
      <c r="N357" s="381">
        <v>152</v>
      </c>
      <c r="O357" s="381">
        <v>158.4</v>
      </c>
    </row>
    <row r="358" spans="1:15">
      <c r="A358" s="414">
        <v>122</v>
      </c>
      <c r="B358" s="381">
        <v>119.3</v>
      </c>
      <c r="C358" s="381">
        <v>125.8</v>
      </c>
      <c r="D358" s="381">
        <v>132.19999999999999</v>
      </c>
      <c r="E358" s="381">
        <v>138.6</v>
      </c>
      <c r="F358" s="381">
        <v>145.1</v>
      </c>
      <c r="G358" s="381">
        <v>151.5</v>
      </c>
      <c r="H358" s="381">
        <v>157.9</v>
      </c>
      <c r="I358" s="381">
        <v>120.4</v>
      </c>
      <c r="J358" s="381">
        <v>126.8</v>
      </c>
      <c r="K358" s="381">
        <v>133.19999999999999</v>
      </c>
      <c r="L358" s="381">
        <v>139.69999999999999</v>
      </c>
      <c r="M358" s="381">
        <v>146.1</v>
      </c>
      <c r="N358" s="381">
        <v>152.6</v>
      </c>
      <c r="O358" s="381">
        <v>159</v>
      </c>
    </row>
    <row r="359" spans="1:15">
      <c r="A359" s="414">
        <v>123</v>
      </c>
      <c r="B359" s="381">
        <v>119.7</v>
      </c>
      <c r="C359" s="381">
        <v>126.2</v>
      </c>
      <c r="D359" s="381">
        <v>132.6</v>
      </c>
      <c r="E359" s="381">
        <v>139.1</v>
      </c>
      <c r="F359" s="381">
        <v>145.5</v>
      </c>
      <c r="G359" s="381">
        <v>152</v>
      </c>
      <c r="H359" s="381">
        <v>158.5</v>
      </c>
      <c r="I359" s="381">
        <v>120.8</v>
      </c>
      <c r="J359" s="381">
        <v>127.3</v>
      </c>
      <c r="K359" s="381">
        <v>133.69999999999999</v>
      </c>
      <c r="L359" s="381">
        <v>140.19999999999999</v>
      </c>
      <c r="M359" s="381">
        <v>146.69999999999999</v>
      </c>
      <c r="N359" s="381">
        <v>153.1</v>
      </c>
      <c r="O359" s="381">
        <v>159.6</v>
      </c>
    </row>
    <row r="360" spans="1:15">
      <c r="A360" s="414">
        <v>124</v>
      </c>
      <c r="B360" s="381">
        <v>120</v>
      </c>
      <c r="C360" s="381">
        <v>126.5</v>
      </c>
      <c r="D360" s="381">
        <v>133</v>
      </c>
      <c r="E360" s="381">
        <v>139.5</v>
      </c>
      <c r="F360" s="381">
        <v>146</v>
      </c>
      <c r="G360" s="381">
        <v>152.5</v>
      </c>
      <c r="H360" s="381">
        <v>159</v>
      </c>
      <c r="I360" s="381">
        <v>121.3</v>
      </c>
      <c r="J360" s="381">
        <v>127.8</v>
      </c>
      <c r="K360" s="381">
        <v>134.19999999999999</v>
      </c>
      <c r="L360" s="381">
        <v>140.69999999999999</v>
      </c>
      <c r="M360" s="381">
        <v>147.19999999999999</v>
      </c>
      <c r="N360" s="381">
        <v>153.69999999999999</v>
      </c>
      <c r="O360" s="381">
        <v>160.19999999999999</v>
      </c>
    </row>
    <row r="361" spans="1:15">
      <c r="A361" s="414">
        <v>125</v>
      </c>
      <c r="B361" s="381">
        <v>120.4</v>
      </c>
      <c r="C361" s="381">
        <v>126.9</v>
      </c>
      <c r="D361" s="381">
        <v>133.4</v>
      </c>
      <c r="E361" s="381">
        <v>140</v>
      </c>
      <c r="F361" s="381">
        <v>146.5</v>
      </c>
      <c r="G361" s="381">
        <v>153</v>
      </c>
      <c r="H361" s="381">
        <v>159.5</v>
      </c>
      <c r="I361" s="381">
        <v>121.7</v>
      </c>
      <c r="J361" s="381">
        <v>128.19999999999999</v>
      </c>
      <c r="K361" s="381">
        <v>134.80000000000001</v>
      </c>
      <c r="L361" s="381">
        <v>141.30000000000001</v>
      </c>
      <c r="M361" s="381">
        <v>147.80000000000001</v>
      </c>
      <c r="N361" s="381">
        <v>154.30000000000001</v>
      </c>
      <c r="O361" s="381">
        <v>160.80000000000001</v>
      </c>
    </row>
    <row r="362" spans="1:15">
      <c r="A362" s="414">
        <v>126</v>
      </c>
      <c r="B362" s="381">
        <v>120.7</v>
      </c>
      <c r="C362" s="381">
        <v>127.3</v>
      </c>
      <c r="D362" s="381">
        <v>133.80000000000001</v>
      </c>
      <c r="E362" s="381">
        <v>140.4</v>
      </c>
      <c r="F362" s="381">
        <v>146.9</v>
      </c>
      <c r="G362" s="381">
        <v>153.5</v>
      </c>
      <c r="H362" s="381">
        <v>160.1</v>
      </c>
      <c r="I362" s="381">
        <v>122.2</v>
      </c>
      <c r="J362" s="381">
        <v>128.69999999999999</v>
      </c>
      <c r="K362" s="381">
        <v>135.30000000000001</v>
      </c>
      <c r="L362" s="381">
        <v>141.80000000000001</v>
      </c>
      <c r="M362" s="381">
        <v>148.30000000000001</v>
      </c>
      <c r="N362" s="381">
        <v>154.80000000000001</v>
      </c>
      <c r="O362" s="381">
        <v>161.4</v>
      </c>
    </row>
    <row r="363" spans="1:15">
      <c r="A363" s="414">
        <v>127</v>
      </c>
      <c r="B363" s="381">
        <v>121.1</v>
      </c>
      <c r="C363" s="381">
        <v>127.7</v>
      </c>
      <c r="D363" s="381">
        <v>134.30000000000001</v>
      </c>
      <c r="E363" s="381">
        <v>140.80000000000001</v>
      </c>
      <c r="F363" s="381">
        <v>147.4</v>
      </c>
      <c r="G363" s="381">
        <v>154</v>
      </c>
      <c r="H363" s="381">
        <v>160.6</v>
      </c>
      <c r="I363" s="381">
        <v>122.7</v>
      </c>
      <c r="J363" s="381">
        <v>129.19999999999999</v>
      </c>
      <c r="K363" s="381">
        <v>135.80000000000001</v>
      </c>
      <c r="L363" s="381">
        <v>142.30000000000001</v>
      </c>
      <c r="M363" s="381">
        <v>148.9</v>
      </c>
      <c r="N363" s="381">
        <v>155.4</v>
      </c>
      <c r="O363" s="381">
        <v>162</v>
      </c>
    </row>
    <row r="364" spans="1:15">
      <c r="A364" s="414">
        <v>128</v>
      </c>
      <c r="B364" s="381">
        <v>121.4</v>
      </c>
      <c r="C364" s="381">
        <v>128.1</v>
      </c>
      <c r="D364" s="381">
        <v>134.69999999999999</v>
      </c>
      <c r="E364" s="381">
        <v>141.30000000000001</v>
      </c>
      <c r="F364" s="381">
        <v>147.9</v>
      </c>
      <c r="G364" s="381">
        <v>154.5</v>
      </c>
      <c r="H364" s="381">
        <v>161.1</v>
      </c>
      <c r="I364" s="381">
        <v>123.2</v>
      </c>
      <c r="J364" s="381">
        <v>129.69999999999999</v>
      </c>
      <c r="K364" s="381">
        <v>136.30000000000001</v>
      </c>
      <c r="L364" s="381">
        <v>142.9</v>
      </c>
      <c r="M364" s="381">
        <v>149.4</v>
      </c>
      <c r="N364" s="381">
        <v>156</v>
      </c>
      <c r="O364" s="381">
        <v>162.6</v>
      </c>
    </row>
    <row r="365" spans="1:15">
      <c r="A365" s="414">
        <v>129</v>
      </c>
      <c r="B365" s="381">
        <v>121.8</v>
      </c>
      <c r="C365" s="381">
        <v>128.5</v>
      </c>
      <c r="D365" s="381">
        <v>135.1</v>
      </c>
      <c r="E365" s="381">
        <v>141.69999999999999</v>
      </c>
      <c r="F365" s="381">
        <v>148.4</v>
      </c>
      <c r="G365" s="381">
        <v>155</v>
      </c>
      <c r="H365" s="381">
        <v>161.69999999999999</v>
      </c>
      <c r="I365" s="381">
        <v>123.6</v>
      </c>
      <c r="J365" s="381">
        <v>130.19999999999999</v>
      </c>
      <c r="K365" s="381">
        <v>136.80000000000001</v>
      </c>
      <c r="L365" s="381">
        <v>143.4</v>
      </c>
      <c r="M365" s="381">
        <v>150</v>
      </c>
      <c r="N365" s="381">
        <v>156.6</v>
      </c>
      <c r="O365" s="381">
        <v>163.1</v>
      </c>
    </row>
    <row r="366" spans="1:15">
      <c r="A366" s="414">
        <v>130</v>
      </c>
      <c r="B366" s="381">
        <v>122.2</v>
      </c>
      <c r="C366" s="381">
        <v>128.80000000000001</v>
      </c>
      <c r="D366" s="381">
        <v>135.5</v>
      </c>
      <c r="E366" s="381">
        <v>142.19999999999999</v>
      </c>
      <c r="F366" s="381">
        <v>148.9</v>
      </c>
      <c r="G366" s="381">
        <v>155.5</v>
      </c>
      <c r="H366" s="381">
        <v>162.19999999999999</v>
      </c>
      <c r="I366" s="381">
        <v>124.1</v>
      </c>
      <c r="J366" s="381">
        <v>130.69999999999999</v>
      </c>
      <c r="K366" s="381">
        <v>137.30000000000001</v>
      </c>
      <c r="L366" s="381">
        <v>143.9</v>
      </c>
      <c r="M366" s="381">
        <v>150.5</v>
      </c>
      <c r="N366" s="381">
        <v>157.1</v>
      </c>
      <c r="O366" s="381">
        <v>163.69999999999999</v>
      </c>
    </row>
    <row r="367" spans="1:15">
      <c r="A367" s="414">
        <v>131</v>
      </c>
      <c r="B367" s="381">
        <v>122.5</v>
      </c>
      <c r="C367" s="381">
        <v>129.19999999999999</v>
      </c>
      <c r="D367" s="381">
        <v>135.9</v>
      </c>
      <c r="E367" s="381">
        <v>142.69999999999999</v>
      </c>
      <c r="F367" s="381">
        <v>149.4</v>
      </c>
      <c r="G367" s="381">
        <v>156.1</v>
      </c>
      <c r="H367" s="381">
        <v>162.80000000000001</v>
      </c>
      <c r="I367" s="381">
        <v>124.6</v>
      </c>
      <c r="J367" s="381">
        <v>131.19999999999999</v>
      </c>
      <c r="K367" s="381">
        <v>137.80000000000001</v>
      </c>
      <c r="L367" s="381">
        <v>144.5</v>
      </c>
      <c r="M367" s="381">
        <v>151.1</v>
      </c>
      <c r="N367" s="381">
        <v>157.69999999999999</v>
      </c>
      <c r="O367" s="381">
        <v>164.3</v>
      </c>
    </row>
    <row r="368" spans="1:15">
      <c r="A368" s="414">
        <v>132</v>
      </c>
      <c r="B368" s="381">
        <v>122.9</v>
      </c>
      <c r="C368" s="381">
        <v>129.69999999999999</v>
      </c>
      <c r="D368" s="381">
        <v>136.4</v>
      </c>
      <c r="E368" s="381">
        <v>143.1</v>
      </c>
      <c r="F368" s="381">
        <v>149.80000000000001</v>
      </c>
      <c r="G368" s="381">
        <v>156.6</v>
      </c>
      <c r="H368" s="381">
        <v>163.30000000000001</v>
      </c>
      <c r="I368" s="381">
        <v>125.1</v>
      </c>
      <c r="J368" s="381">
        <v>131.69999999999999</v>
      </c>
      <c r="K368" s="381">
        <v>138.30000000000001</v>
      </c>
      <c r="L368" s="381">
        <v>145</v>
      </c>
      <c r="M368" s="381">
        <v>151.6</v>
      </c>
      <c r="N368" s="381">
        <v>158.30000000000001</v>
      </c>
      <c r="O368" s="381">
        <v>164.9</v>
      </c>
    </row>
    <row r="369" spans="1:15">
      <c r="A369" s="414">
        <v>133</v>
      </c>
      <c r="B369" s="381">
        <v>123.3</v>
      </c>
      <c r="C369" s="381">
        <v>130.1</v>
      </c>
      <c r="D369" s="381">
        <v>136.80000000000001</v>
      </c>
      <c r="E369" s="381">
        <v>143.6</v>
      </c>
      <c r="F369" s="381">
        <v>150.30000000000001</v>
      </c>
      <c r="G369" s="381">
        <v>157.1</v>
      </c>
      <c r="H369" s="381">
        <v>163.9</v>
      </c>
      <c r="I369" s="381">
        <v>125.5</v>
      </c>
      <c r="J369" s="381">
        <v>132.19999999999999</v>
      </c>
      <c r="K369" s="381">
        <v>138.9</v>
      </c>
      <c r="L369" s="381">
        <v>145.5</v>
      </c>
      <c r="M369" s="381">
        <v>152.19999999999999</v>
      </c>
      <c r="N369" s="381">
        <v>158.9</v>
      </c>
      <c r="O369" s="381">
        <v>165.5</v>
      </c>
    </row>
    <row r="370" spans="1:15">
      <c r="A370" s="414">
        <v>134</v>
      </c>
      <c r="B370" s="381">
        <v>123.7</v>
      </c>
      <c r="C370" s="381">
        <v>130.5</v>
      </c>
      <c r="D370" s="381">
        <v>137.30000000000001</v>
      </c>
      <c r="E370" s="381">
        <v>144.1</v>
      </c>
      <c r="F370" s="381">
        <v>150.80000000000001</v>
      </c>
      <c r="G370" s="381">
        <v>157.6</v>
      </c>
      <c r="H370" s="381">
        <v>164.4</v>
      </c>
      <c r="I370" s="381">
        <v>126</v>
      </c>
      <c r="J370" s="381">
        <v>132.69999999999999</v>
      </c>
      <c r="K370" s="381">
        <v>139.4</v>
      </c>
      <c r="L370" s="381">
        <v>146.1</v>
      </c>
      <c r="M370" s="381">
        <v>152.69999999999999</v>
      </c>
      <c r="N370" s="381">
        <v>159.4</v>
      </c>
      <c r="O370" s="381">
        <v>166.1</v>
      </c>
    </row>
    <row r="371" spans="1:15">
      <c r="A371" s="415">
        <v>135</v>
      </c>
      <c r="B371" s="382">
        <v>124.1</v>
      </c>
      <c r="C371" s="382">
        <v>130.9</v>
      </c>
      <c r="D371" s="382">
        <v>137.69999999999999</v>
      </c>
      <c r="E371" s="382">
        <v>144.5</v>
      </c>
      <c r="F371" s="382">
        <v>151.30000000000001</v>
      </c>
      <c r="G371" s="382">
        <v>158.19999999999999</v>
      </c>
      <c r="H371" s="382">
        <v>165</v>
      </c>
      <c r="I371" s="382">
        <v>126.5</v>
      </c>
      <c r="J371" s="382">
        <v>133.19999999999999</v>
      </c>
      <c r="K371" s="382">
        <v>139.9</v>
      </c>
      <c r="L371" s="382">
        <v>146.6</v>
      </c>
      <c r="M371" s="382">
        <v>153.30000000000001</v>
      </c>
      <c r="N371" s="382">
        <v>160</v>
      </c>
      <c r="O371" s="382">
        <v>166.7</v>
      </c>
    </row>
    <row r="372" spans="1:15">
      <c r="A372" s="417">
        <v>136</v>
      </c>
      <c r="B372" s="385">
        <v>124.5</v>
      </c>
      <c r="C372" s="385">
        <v>131.30000000000001</v>
      </c>
      <c r="D372" s="385">
        <v>138.19999999999999</v>
      </c>
      <c r="E372" s="385">
        <v>145</v>
      </c>
      <c r="F372" s="385">
        <v>151.9</v>
      </c>
      <c r="G372" s="385">
        <v>158.69999999999999</v>
      </c>
      <c r="H372" s="385">
        <v>165.6</v>
      </c>
      <c r="I372" s="385">
        <v>127</v>
      </c>
      <c r="J372" s="385">
        <v>133.69999999999999</v>
      </c>
      <c r="K372" s="385">
        <v>140.4</v>
      </c>
      <c r="L372" s="385">
        <v>147.1</v>
      </c>
      <c r="M372" s="385">
        <v>153.80000000000001</v>
      </c>
      <c r="N372" s="385">
        <v>160.6</v>
      </c>
      <c r="O372" s="385">
        <v>167.3</v>
      </c>
    </row>
    <row r="373" spans="1:15">
      <c r="A373" s="414">
        <v>137</v>
      </c>
      <c r="B373" s="381">
        <v>124.9</v>
      </c>
      <c r="C373" s="381">
        <v>131.69999999999999</v>
      </c>
      <c r="D373" s="381">
        <v>138.6</v>
      </c>
      <c r="E373" s="381">
        <v>145.5</v>
      </c>
      <c r="F373" s="381">
        <v>152.4</v>
      </c>
      <c r="G373" s="381">
        <v>159.30000000000001</v>
      </c>
      <c r="H373" s="381">
        <v>166.1</v>
      </c>
      <c r="I373" s="381">
        <v>127.4</v>
      </c>
      <c r="J373" s="381">
        <v>134.19999999999999</v>
      </c>
      <c r="K373" s="381">
        <v>140.9</v>
      </c>
      <c r="L373" s="381">
        <v>147.69999999999999</v>
      </c>
      <c r="M373" s="381">
        <v>154.4</v>
      </c>
      <c r="N373" s="381">
        <v>161.1</v>
      </c>
      <c r="O373" s="381">
        <v>167.9</v>
      </c>
    </row>
    <row r="374" spans="1:15">
      <c r="A374" s="414">
        <v>138</v>
      </c>
      <c r="B374" s="381">
        <v>125.3</v>
      </c>
      <c r="C374" s="381">
        <v>132.19999999999999</v>
      </c>
      <c r="D374" s="381">
        <v>139.1</v>
      </c>
      <c r="E374" s="381">
        <v>146</v>
      </c>
      <c r="F374" s="381">
        <v>152.9</v>
      </c>
      <c r="G374" s="381">
        <v>159.80000000000001</v>
      </c>
      <c r="H374" s="381">
        <v>166.7</v>
      </c>
      <c r="I374" s="381">
        <v>127.9</v>
      </c>
      <c r="J374" s="381">
        <v>134.69999999999999</v>
      </c>
      <c r="K374" s="381">
        <v>141.4</v>
      </c>
      <c r="L374" s="381">
        <v>148.19999999999999</v>
      </c>
      <c r="M374" s="381">
        <v>154.9</v>
      </c>
      <c r="N374" s="381">
        <v>161.69999999999999</v>
      </c>
      <c r="O374" s="381">
        <v>168.4</v>
      </c>
    </row>
    <row r="375" spans="1:15">
      <c r="A375" s="414">
        <v>139</v>
      </c>
      <c r="B375" s="381">
        <v>125.7</v>
      </c>
      <c r="C375" s="381">
        <v>132.6</v>
      </c>
      <c r="D375" s="381">
        <v>139.6</v>
      </c>
      <c r="E375" s="381">
        <v>146.5</v>
      </c>
      <c r="F375" s="381">
        <v>153.4</v>
      </c>
      <c r="G375" s="381">
        <v>160.4</v>
      </c>
      <c r="H375" s="381">
        <v>167.3</v>
      </c>
      <c r="I375" s="381">
        <v>128.4</v>
      </c>
      <c r="J375" s="381">
        <v>135.19999999999999</v>
      </c>
      <c r="K375" s="381">
        <v>141.9</v>
      </c>
      <c r="L375" s="381">
        <v>148.69999999999999</v>
      </c>
      <c r="M375" s="381">
        <v>155.5</v>
      </c>
      <c r="N375" s="381">
        <v>162.19999999999999</v>
      </c>
      <c r="O375" s="381">
        <v>169</v>
      </c>
    </row>
    <row r="376" spans="1:15">
      <c r="A376" s="414">
        <v>140</v>
      </c>
      <c r="B376" s="381">
        <v>126.1</v>
      </c>
      <c r="C376" s="381">
        <v>133.1</v>
      </c>
      <c r="D376" s="381">
        <v>140</v>
      </c>
      <c r="E376" s="381">
        <v>147</v>
      </c>
      <c r="F376" s="381">
        <v>154</v>
      </c>
      <c r="G376" s="381">
        <v>160.9</v>
      </c>
      <c r="H376" s="381">
        <v>167.9</v>
      </c>
      <c r="I376" s="381">
        <v>128.9</v>
      </c>
      <c r="J376" s="381">
        <v>135.69999999999999</v>
      </c>
      <c r="K376" s="381">
        <v>142.4</v>
      </c>
      <c r="L376" s="381">
        <v>149.19999999999999</v>
      </c>
      <c r="M376" s="381">
        <v>156</v>
      </c>
      <c r="N376" s="381">
        <v>162.80000000000001</v>
      </c>
      <c r="O376" s="381">
        <v>169.6</v>
      </c>
    </row>
    <row r="377" spans="1:15">
      <c r="A377" s="414">
        <v>141</v>
      </c>
      <c r="B377" s="381">
        <v>126.5</v>
      </c>
      <c r="C377" s="381">
        <v>133.5</v>
      </c>
      <c r="D377" s="381">
        <v>140.5</v>
      </c>
      <c r="E377" s="381">
        <v>147.5</v>
      </c>
      <c r="F377" s="381">
        <v>154.5</v>
      </c>
      <c r="G377" s="381">
        <v>161.5</v>
      </c>
      <c r="H377" s="381">
        <v>168.5</v>
      </c>
      <c r="I377" s="381">
        <v>129.30000000000001</v>
      </c>
      <c r="J377" s="381">
        <v>136.1</v>
      </c>
      <c r="K377" s="381">
        <v>142.9</v>
      </c>
      <c r="L377" s="381">
        <v>149.69999999999999</v>
      </c>
      <c r="M377" s="381">
        <v>156.5</v>
      </c>
      <c r="N377" s="381">
        <v>163.30000000000001</v>
      </c>
      <c r="O377" s="381">
        <v>170.1</v>
      </c>
    </row>
    <row r="378" spans="1:15">
      <c r="A378" s="414">
        <v>142</v>
      </c>
      <c r="B378" s="381">
        <v>126.9</v>
      </c>
      <c r="C378" s="381">
        <v>134</v>
      </c>
      <c r="D378" s="381">
        <v>141</v>
      </c>
      <c r="E378" s="381">
        <v>148</v>
      </c>
      <c r="F378" s="381">
        <v>155</v>
      </c>
      <c r="G378" s="381">
        <v>162.1</v>
      </c>
      <c r="H378" s="381">
        <v>169.1</v>
      </c>
      <c r="I378" s="381">
        <v>129.80000000000001</v>
      </c>
      <c r="J378" s="381">
        <v>136.6</v>
      </c>
      <c r="K378" s="381">
        <v>143.4</v>
      </c>
      <c r="L378" s="381">
        <v>150.19999999999999</v>
      </c>
      <c r="M378" s="381">
        <v>157.1</v>
      </c>
      <c r="N378" s="381">
        <v>163.9</v>
      </c>
      <c r="O378" s="381">
        <v>170.7</v>
      </c>
    </row>
    <row r="379" spans="1:15">
      <c r="A379" s="414">
        <v>143</v>
      </c>
      <c r="B379" s="381">
        <v>127.4</v>
      </c>
      <c r="C379" s="381">
        <v>134.4</v>
      </c>
      <c r="D379" s="381">
        <v>141.5</v>
      </c>
      <c r="E379" s="381">
        <v>148.5</v>
      </c>
      <c r="F379" s="381">
        <v>155.6</v>
      </c>
      <c r="G379" s="381">
        <v>162.69999999999999</v>
      </c>
      <c r="H379" s="381">
        <v>169.7</v>
      </c>
      <c r="I379" s="381">
        <v>130.30000000000001</v>
      </c>
      <c r="J379" s="381">
        <v>137.1</v>
      </c>
      <c r="K379" s="381">
        <v>143.9</v>
      </c>
      <c r="L379" s="381">
        <v>150.69999999999999</v>
      </c>
      <c r="M379" s="381">
        <v>157.6</v>
      </c>
      <c r="N379" s="381">
        <v>164.4</v>
      </c>
      <c r="O379" s="381">
        <v>171.2</v>
      </c>
    </row>
    <row r="380" spans="1:15">
      <c r="A380" s="414">
        <v>144</v>
      </c>
      <c r="B380" s="381">
        <v>127.8</v>
      </c>
      <c r="C380" s="381">
        <v>134.9</v>
      </c>
      <c r="D380" s="381">
        <v>142</v>
      </c>
      <c r="E380" s="381">
        <v>149.1</v>
      </c>
      <c r="F380" s="381">
        <v>156.19999999999999</v>
      </c>
      <c r="G380" s="381">
        <v>163.30000000000001</v>
      </c>
      <c r="H380" s="381">
        <v>170.3</v>
      </c>
      <c r="I380" s="381">
        <v>130.69999999999999</v>
      </c>
      <c r="J380" s="381">
        <v>137.6</v>
      </c>
      <c r="K380" s="381">
        <v>144.4</v>
      </c>
      <c r="L380" s="381">
        <v>151.19999999999999</v>
      </c>
      <c r="M380" s="381">
        <v>158.1</v>
      </c>
      <c r="N380" s="381">
        <v>164.9</v>
      </c>
      <c r="O380" s="381">
        <v>171.8</v>
      </c>
    </row>
    <row r="381" spans="1:15">
      <c r="A381" s="414">
        <v>145</v>
      </c>
      <c r="B381" s="381">
        <v>128.30000000000001</v>
      </c>
      <c r="C381" s="381">
        <v>135.4</v>
      </c>
      <c r="D381" s="381">
        <v>142.5</v>
      </c>
      <c r="E381" s="381">
        <v>149.6</v>
      </c>
      <c r="F381" s="381">
        <v>156.69999999999999</v>
      </c>
      <c r="G381" s="381">
        <v>163.9</v>
      </c>
      <c r="H381" s="381">
        <v>171</v>
      </c>
      <c r="I381" s="381">
        <v>131.19999999999999</v>
      </c>
      <c r="J381" s="381">
        <v>138</v>
      </c>
      <c r="K381" s="381">
        <v>144.9</v>
      </c>
      <c r="L381" s="381">
        <v>151.69999999999999</v>
      </c>
      <c r="M381" s="381">
        <v>158.6</v>
      </c>
      <c r="N381" s="381">
        <v>165.4</v>
      </c>
      <c r="O381" s="381">
        <v>172.3</v>
      </c>
    </row>
    <row r="382" spans="1:15">
      <c r="A382" s="414">
        <v>146</v>
      </c>
      <c r="B382" s="381">
        <v>128.69999999999999</v>
      </c>
      <c r="C382" s="381">
        <v>135.9</v>
      </c>
      <c r="D382" s="381">
        <v>143</v>
      </c>
      <c r="E382" s="381">
        <v>150.19999999999999</v>
      </c>
      <c r="F382" s="381">
        <v>157.30000000000001</v>
      </c>
      <c r="G382" s="381">
        <v>164.5</v>
      </c>
      <c r="H382" s="381">
        <v>171.6</v>
      </c>
      <c r="I382" s="381">
        <v>131.6</v>
      </c>
      <c r="J382" s="381">
        <v>138.5</v>
      </c>
      <c r="K382" s="381">
        <v>145.30000000000001</v>
      </c>
      <c r="L382" s="381">
        <v>152.19999999999999</v>
      </c>
      <c r="M382" s="381">
        <v>159.1</v>
      </c>
      <c r="N382" s="381">
        <v>165.9</v>
      </c>
      <c r="O382" s="381">
        <v>172.8</v>
      </c>
    </row>
    <row r="383" spans="1:15">
      <c r="A383" s="414">
        <v>147</v>
      </c>
      <c r="B383" s="381">
        <v>129.19999999999999</v>
      </c>
      <c r="C383" s="381">
        <v>136.4</v>
      </c>
      <c r="D383" s="381">
        <v>143.6</v>
      </c>
      <c r="E383" s="381">
        <v>150.69999999999999</v>
      </c>
      <c r="F383" s="381">
        <v>157.9</v>
      </c>
      <c r="G383" s="381">
        <v>165.1</v>
      </c>
      <c r="H383" s="381">
        <v>172.2</v>
      </c>
      <c r="I383" s="381">
        <v>132</v>
      </c>
      <c r="J383" s="381">
        <v>138.9</v>
      </c>
      <c r="K383" s="381">
        <v>145.80000000000001</v>
      </c>
      <c r="L383" s="381">
        <v>152.69999999999999</v>
      </c>
      <c r="M383" s="381">
        <v>159.5</v>
      </c>
      <c r="N383" s="381">
        <v>166.4</v>
      </c>
      <c r="O383" s="381">
        <v>173.3</v>
      </c>
    </row>
    <row r="384" spans="1:15">
      <c r="A384" s="414">
        <v>148</v>
      </c>
      <c r="B384" s="381">
        <v>129.69999999999999</v>
      </c>
      <c r="C384" s="381">
        <v>136.9</v>
      </c>
      <c r="D384" s="381">
        <v>144.1</v>
      </c>
      <c r="E384" s="381">
        <v>151.30000000000001</v>
      </c>
      <c r="F384" s="381">
        <v>158.5</v>
      </c>
      <c r="G384" s="381">
        <v>165.7</v>
      </c>
      <c r="H384" s="381">
        <v>172.9</v>
      </c>
      <c r="I384" s="381">
        <v>132.5</v>
      </c>
      <c r="J384" s="381">
        <v>139.30000000000001</v>
      </c>
      <c r="K384" s="381">
        <v>146.19999999999999</v>
      </c>
      <c r="L384" s="381">
        <v>153.1</v>
      </c>
      <c r="M384" s="381">
        <v>160</v>
      </c>
      <c r="N384" s="381">
        <v>166.9</v>
      </c>
      <c r="O384" s="381">
        <v>173.8</v>
      </c>
    </row>
    <row r="385" spans="1:15">
      <c r="A385" s="414">
        <v>149</v>
      </c>
      <c r="B385" s="381">
        <v>130.19999999999999</v>
      </c>
      <c r="C385" s="381">
        <v>137.4</v>
      </c>
      <c r="D385" s="381">
        <v>144.6</v>
      </c>
      <c r="E385" s="381">
        <v>151.9</v>
      </c>
      <c r="F385" s="381">
        <v>159.1</v>
      </c>
      <c r="G385" s="381">
        <v>166.3</v>
      </c>
      <c r="H385" s="381">
        <v>173.6</v>
      </c>
      <c r="I385" s="381">
        <v>132.9</v>
      </c>
      <c r="J385" s="381">
        <v>139.80000000000001</v>
      </c>
      <c r="K385" s="381">
        <v>146.69999999999999</v>
      </c>
      <c r="L385" s="381">
        <v>153.6</v>
      </c>
      <c r="M385" s="381">
        <v>160.5</v>
      </c>
      <c r="N385" s="381">
        <v>167.4</v>
      </c>
      <c r="O385" s="381">
        <v>174.3</v>
      </c>
    </row>
    <row r="386" spans="1:15">
      <c r="A386" s="414">
        <v>150</v>
      </c>
      <c r="B386" s="381">
        <v>130.69999999999999</v>
      </c>
      <c r="C386" s="381">
        <v>137.9</v>
      </c>
      <c r="D386" s="381">
        <v>145.19999999999999</v>
      </c>
      <c r="E386" s="381">
        <v>152.4</v>
      </c>
      <c r="F386" s="381">
        <v>159.69999999999999</v>
      </c>
      <c r="G386" s="381">
        <v>167</v>
      </c>
      <c r="H386" s="381">
        <v>174.2</v>
      </c>
      <c r="I386" s="381">
        <v>133.30000000000001</v>
      </c>
      <c r="J386" s="381">
        <v>140.19999999999999</v>
      </c>
      <c r="K386" s="381">
        <v>147.1</v>
      </c>
      <c r="L386" s="381">
        <v>154</v>
      </c>
      <c r="M386" s="381">
        <v>160.9</v>
      </c>
      <c r="N386" s="381">
        <v>167.8</v>
      </c>
      <c r="O386" s="381">
        <v>174.7</v>
      </c>
    </row>
    <row r="387" spans="1:15">
      <c r="A387" s="414">
        <v>151</v>
      </c>
      <c r="B387" s="381">
        <v>131.19999999999999</v>
      </c>
      <c r="C387" s="381">
        <v>138.5</v>
      </c>
      <c r="D387" s="381">
        <v>145.69999999999999</v>
      </c>
      <c r="E387" s="381">
        <v>153</v>
      </c>
      <c r="F387" s="381">
        <v>160.30000000000001</v>
      </c>
      <c r="G387" s="381">
        <v>167.6</v>
      </c>
      <c r="H387" s="381">
        <v>174.9</v>
      </c>
      <c r="I387" s="381">
        <v>133.69999999999999</v>
      </c>
      <c r="J387" s="381">
        <v>140.6</v>
      </c>
      <c r="K387" s="381">
        <v>147.5</v>
      </c>
      <c r="L387" s="381">
        <v>154.4</v>
      </c>
      <c r="M387" s="381">
        <v>161.30000000000001</v>
      </c>
      <c r="N387" s="381">
        <v>168.3</v>
      </c>
      <c r="O387" s="381">
        <v>175.2</v>
      </c>
    </row>
    <row r="388" spans="1:15">
      <c r="A388" s="414">
        <v>152</v>
      </c>
      <c r="B388" s="381">
        <v>131.69999999999999</v>
      </c>
      <c r="C388" s="381">
        <v>139</v>
      </c>
      <c r="D388" s="381">
        <v>146.30000000000001</v>
      </c>
      <c r="E388" s="381">
        <v>153.6</v>
      </c>
      <c r="F388" s="381">
        <v>160.9</v>
      </c>
      <c r="G388" s="381">
        <v>168.3</v>
      </c>
      <c r="H388" s="381">
        <v>175.6</v>
      </c>
      <c r="I388" s="381">
        <v>134.1</v>
      </c>
      <c r="J388" s="381">
        <v>141</v>
      </c>
      <c r="K388" s="381">
        <v>147.9</v>
      </c>
      <c r="L388" s="381">
        <v>154.80000000000001</v>
      </c>
      <c r="M388" s="381">
        <v>161.80000000000001</v>
      </c>
      <c r="N388" s="381">
        <v>168.7</v>
      </c>
      <c r="O388" s="381">
        <v>175.6</v>
      </c>
    </row>
    <row r="389" spans="1:15">
      <c r="A389" s="414">
        <v>153</v>
      </c>
      <c r="B389" s="381">
        <v>132.19999999999999</v>
      </c>
      <c r="C389" s="381">
        <v>139.5</v>
      </c>
      <c r="D389" s="381">
        <v>146.9</v>
      </c>
      <c r="E389" s="381">
        <v>154.19999999999999</v>
      </c>
      <c r="F389" s="381">
        <v>161.6</v>
      </c>
      <c r="G389" s="381">
        <v>168.9</v>
      </c>
      <c r="H389" s="381">
        <v>176.3</v>
      </c>
      <c r="I389" s="381">
        <v>134.5</v>
      </c>
      <c r="J389" s="381">
        <v>141.4</v>
      </c>
      <c r="K389" s="381">
        <v>148.30000000000001</v>
      </c>
      <c r="L389" s="381">
        <v>155.19999999999999</v>
      </c>
      <c r="M389" s="381">
        <v>162.19999999999999</v>
      </c>
      <c r="N389" s="381">
        <v>169.1</v>
      </c>
      <c r="O389" s="381">
        <v>176</v>
      </c>
    </row>
    <row r="390" spans="1:15">
      <c r="A390" s="414">
        <v>154</v>
      </c>
      <c r="B390" s="381">
        <v>132.69999999999999</v>
      </c>
      <c r="C390" s="381">
        <v>140.1</v>
      </c>
      <c r="D390" s="381">
        <v>147.5</v>
      </c>
      <c r="E390" s="381">
        <v>154.80000000000001</v>
      </c>
      <c r="F390" s="381">
        <v>162.19999999999999</v>
      </c>
      <c r="G390" s="381">
        <v>169.6</v>
      </c>
      <c r="H390" s="381">
        <v>176.9</v>
      </c>
      <c r="I390" s="381">
        <v>134.80000000000001</v>
      </c>
      <c r="J390" s="381">
        <v>141.80000000000001</v>
      </c>
      <c r="K390" s="381">
        <v>148.69999999999999</v>
      </c>
      <c r="L390" s="381">
        <v>155.6</v>
      </c>
      <c r="M390" s="381">
        <v>162.6</v>
      </c>
      <c r="N390" s="381">
        <v>169.5</v>
      </c>
      <c r="O390" s="381">
        <v>176.4</v>
      </c>
    </row>
    <row r="391" spans="1:15">
      <c r="A391" s="414">
        <v>155</v>
      </c>
      <c r="B391" s="381">
        <v>133.19999999999999</v>
      </c>
      <c r="C391" s="381">
        <v>140.6</v>
      </c>
      <c r="D391" s="381">
        <v>148</v>
      </c>
      <c r="E391" s="381">
        <v>155.4</v>
      </c>
      <c r="F391" s="381">
        <v>162.80000000000001</v>
      </c>
      <c r="G391" s="381">
        <v>170.2</v>
      </c>
      <c r="H391" s="381">
        <v>177.6</v>
      </c>
      <c r="I391" s="381">
        <v>135.19999999999999</v>
      </c>
      <c r="J391" s="381">
        <v>142.1</v>
      </c>
      <c r="K391" s="381">
        <v>149.1</v>
      </c>
      <c r="L391" s="381">
        <v>156</v>
      </c>
      <c r="M391" s="381">
        <v>162.9</v>
      </c>
      <c r="N391" s="381">
        <v>169.9</v>
      </c>
      <c r="O391" s="381">
        <v>176.8</v>
      </c>
    </row>
    <row r="392" spans="1:15">
      <c r="A392" s="414">
        <v>156</v>
      </c>
      <c r="B392" s="381">
        <v>133.80000000000001</v>
      </c>
      <c r="C392" s="381">
        <v>141.19999999999999</v>
      </c>
      <c r="D392" s="381">
        <v>148.6</v>
      </c>
      <c r="E392" s="381">
        <v>156</v>
      </c>
      <c r="F392" s="381">
        <v>163.5</v>
      </c>
      <c r="G392" s="381">
        <v>170.9</v>
      </c>
      <c r="H392" s="381">
        <v>178.3</v>
      </c>
      <c r="I392" s="381">
        <v>135.6</v>
      </c>
      <c r="J392" s="381">
        <v>142.5</v>
      </c>
      <c r="K392" s="381">
        <v>149.4</v>
      </c>
      <c r="L392" s="381">
        <v>156.4</v>
      </c>
      <c r="M392" s="381">
        <v>163.30000000000001</v>
      </c>
      <c r="N392" s="381">
        <v>170.3</v>
      </c>
      <c r="O392" s="381">
        <v>177.2</v>
      </c>
    </row>
    <row r="393" spans="1:15">
      <c r="A393" s="414">
        <v>157</v>
      </c>
      <c r="B393" s="381">
        <v>134.30000000000001</v>
      </c>
      <c r="C393" s="381">
        <v>141.69999999999999</v>
      </c>
      <c r="D393" s="381">
        <v>149.19999999999999</v>
      </c>
      <c r="E393" s="381">
        <v>156.69999999999999</v>
      </c>
      <c r="F393" s="381">
        <v>164.1</v>
      </c>
      <c r="G393" s="381">
        <v>171.6</v>
      </c>
      <c r="H393" s="381">
        <v>179</v>
      </c>
      <c r="I393" s="381">
        <v>135.9</v>
      </c>
      <c r="J393" s="381">
        <v>142.80000000000001</v>
      </c>
      <c r="K393" s="381">
        <v>149.80000000000001</v>
      </c>
      <c r="L393" s="381">
        <v>156.69999999999999</v>
      </c>
      <c r="M393" s="381">
        <v>163.69999999999999</v>
      </c>
      <c r="N393" s="381">
        <v>170.6</v>
      </c>
      <c r="O393" s="381">
        <v>177.6</v>
      </c>
    </row>
    <row r="394" spans="1:15">
      <c r="A394" s="414">
        <v>158</v>
      </c>
      <c r="B394" s="381">
        <v>134.80000000000001</v>
      </c>
      <c r="C394" s="381">
        <v>142.30000000000001</v>
      </c>
      <c r="D394" s="381">
        <v>149.80000000000001</v>
      </c>
      <c r="E394" s="381">
        <v>157.30000000000001</v>
      </c>
      <c r="F394" s="381">
        <v>164.7</v>
      </c>
      <c r="G394" s="381">
        <v>172.2</v>
      </c>
      <c r="H394" s="381">
        <v>179.7</v>
      </c>
      <c r="I394" s="381">
        <v>136.19999999999999</v>
      </c>
      <c r="J394" s="381">
        <v>143.19999999999999</v>
      </c>
      <c r="K394" s="381">
        <v>150.1</v>
      </c>
      <c r="L394" s="381">
        <v>157.1</v>
      </c>
      <c r="M394" s="381">
        <v>164</v>
      </c>
      <c r="N394" s="381">
        <v>171</v>
      </c>
      <c r="O394" s="381">
        <v>177.9</v>
      </c>
    </row>
    <row r="395" spans="1:15">
      <c r="A395" s="415">
        <v>159</v>
      </c>
      <c r="B395" s="382">
        <v>135.4</v>
      </c>
      <c r="C395" s="382">
        <v>142.9</v>
      </c>
      <c r="D395" s="382">
        <v>150.4</v>
      </c>
      <c r="E395" s="382">
        <v>157.9</v>
      </c>
      <c r="F395" s="382">
        <v>165.4</v>
      </c>
      <c r="G395" s="382">
        <v>172.9</v>
      </c>
      <c r="H395" s="382">
        <v>180.4</v>
      </c>
      <c r="I395" s="382">
        <v>136.5</v>
      </c>
      <c r="J395" s="382">
        <v>143.5</v>
      </c>
      <c r="K395" s="382">
        <v>150.4</v>
      </c>
      <c r="L395" s="382">
        <v>157.4</v>
      </c>
      <c r="M395" s="382">
        <v>164.3</v>
      </c>
      <c r="N395" s="382">
        <v>171.3</v>
      </c>
      <c r="O395" s="382">
        <v>178.2</v>
      </c>
    </row>
    <row r="396" spans="1:15">
      <c r="A396" s="417">
        <v>160</v>
      </c>
      <c r="B396" s="385">
        <v>135.9</v>
      </c>
      <c r="C396" s="385">
        <v>143.4</v>
      </c>
      <c r="D396" s="385">
        <v>151</v>
      </c>
      <c r="E396" s="385">
        <v>158.5</v>
      </c>
      <c r="F396" s="385">
        <v>166</v>
      </c>
      <c r="G396" s="385">
        <v>173.5</v>
      </c>
      <c r="H396" s="385">
        <v>181.1</v>
      </c>
      <c r="I396" s="385">
        <v>136.9</v>
      </c>
      <c r="J396" s="385">
        <v>143.80000000000001</v>
      </c>
      <c r="K396" s="385">
        <v>150.80000000000001</v>
      </c>
      <c r="L396" s="385">
        <v>157.69999999999999</v>
      </c>
      <c r="M396" s="385">
        <v>164.7</v>
      </c>
      <c r="N396" s="385">
        <v>171.6</v>
      </c>
      <c r="O396" s="385">
        <v>178.6</v>
      </c>
    </row>
    <row r="397" spans="1:15">
      <c r="A397" s="414">
        <v>161</v>
      </c>
      <c r="B397" s="381">
        <v>136.4</v>
      </c>
      <c r="C397" s="381">
        <v>144</v>
      </c>
      <c r="D397" s="381">
        <v>151.5</v>
      </c>
      <c r="E397" s="381">
        <v>159.1</v>
      </c>
      <c r="F397" s="381">
        <v>166.6</v>
      </c>
      <c r="G397" s="381">
        <v>174.2</v>
      </c>
      <c r="H397" s="381">
        <v>181.8</v>
      </c>
      <c r="I397" s="381">
        <v>137.19999999999999</v>
      </c>
      <c r="J397" s="381">
        <v>144.1</v>
      </c>
      <c r="K397" s="381">
        <v>151.1</v>
      </c>
      <c r="L397" s="381">
        <v>158</v>
      </c>
      <c r="M397" s="381">
        <v>165</v>
      </c>
      <c r="N397" s="381">
        <v>171.9</v>
      </c>
      <c r="O397" s="381">
        <v>178.9</v>
      </c>
    </row>
    <row r="398" spans="1:15">
      <c r="A398" s="414">
        <v>162</v>
      </c>
      <c r="B398" s="381">
        <v>137</v>
      </c>
      <c r="C398" s="381">
        <v>144.5</v>
      </c>
      <c r="D398" s="381">
        <v>152.1</v>
      </c>
      <c r="E398" s="381">
        <v>159.69999999999999</v>
      </c>
      <c r="F398" s="381">
        <v>167.3</v>
      </c>
      <c r="G398" s="381">
        <v>174.8</v>
      </c>
      <c r="H398" s="381">
        <v>182.4</v>
      </c>
      <c r="I398" s="381">
        <v>137.4</v>
      </c>
      <c r="J398" s="381">
        <v>144.4</v>
      </c>
      <c r="K398" s="381">
        <v>151.30000000000001</v>
      </c>
      <c r="L398" s="381">
        <v>158.30000000000001</v>
      </c>
      <c r="M398" s="381">
        <v>165.3</v>
      </c>
      <c r="N398" s="381">
        <v>172.2</v>
      </c>
      <c r="O398" s="381">
        <v>179.2</v>
      </c>
    </row>
    <row r="399" spans="1:15">
      <c r="A399" s="414">
        <v>163</v>
      </c>
      <c r="B399" s="381">
        <v>137.5</v>
      </c>
      <c r="C399" s="381">
        <v>145.1</v>
      </c>
      <c r="D399" s="381">
        <v>152.69999999999999</v>
      </c>
      <c r="E399" s="381">
        <v>160.30000000000001</v>
      </c>
      <c r="F399" s="381">
        <v>167.9</v>
      </c>
      <c r="G399" s="381">
        <v>175.5</v>
      </c>
      <c r="H399" s="381">
        <v>183.1</v>
      </c>
      <c r="I399" s="381">
        <v>137.69999999999999</v>
      </c>
      <c r="J399" s="381">
        <v>144.69999999999999</v>
      </c>
      <c r="K399" s="381">
        <v>151.6</v>
      </c>
      <c r="L399" s="381">
        <v>158.6</v>
      </c>
      <c r="M399" s="381">
        <v>165.5</v>
      </c>
      <c r="N399" s="381">
        <v>172.5</v>
      </c>
      <c r="O399" s="381">
        <v>179.4</v>
      </c>
    </row>
    <row r="400" spans="1:15">
      <c r="A400" s="414">
        <v>164</v>
      </c>
      <c r="B400" s="381">
        <v>138</v>
      </c>
      <c r="C400" s="381">
        <v>145.69999999999999</v>
      </c>
      <c r="D400" s="381">
        <v>153.30000000000001</v>
      </c>
      <c r="E400" s="381">
        <v>160.9</v>
      </c>
      <c r="F400" s="381">
        <v>168.5</v>
      </c>
      <c r="G400" s="381">
        <v>176.1</v>
      </c>
      <c r="H400" s="381">
        <v>183.7</v>
      </c>
      <c r="I400" s="381">
        <v>138</v>
      </c>
      <c r="J400" s="381">
        <v>144.9</v>
      </c>
      <c r="K400" s="381">
        <v>151.9</v>
      </c>
      <c r="L400" s="381">
        <v>158.80000000000001</v>
      </c>
      <c r="M400" s="381">
        <v>165.8</v>
      </c>
      <c r="N400" s="381">
        <v>172.7</v>
      </c>
      <c r="O400" s="381">
        <v>179.7</v>
      </c>
    </row>
    <row r="401" spans="1:15">
      <c r="A401" s="414">
        <v>165</v>
      </c>
      <c r="B401" s="381">
        <v>138.6</v>
      </c>
      <c r="C401" s="381">
        <v>146.19999999999999</v>
      </c>
      <c r="D401" s="381">
        <v>153.80000000000001</v>
      </c>
      <c r="E401" s="381">
        <v>161.5</v>
      </c>
      <c r="F401" s="381">
        <v>169.1</v>
      </c>
      <c r="G401" s="381">
        <v>176.7</v>
      </c>
      <c r="H401" s="381">
        <v>184.4</v>
      </c>
      <c r="I401" s="381">
        <v>138.19999999999999</v>
      </c>
      <c r="J401" s="381">
        <v>145.19999999999999</v>
      </c>
      <c r="K401" s="381">
        <v>152.1</v>
      </c>
      <c r="L401" s="381">
        <v>159.1</v>
      </c>
      <c r="M401" s="381">
        <v>166</v>
      </c>
      <c r="N401" s="381">
        <v>173</v>
      </c>
      <c r="O401" s="381">
        <v>179.9</v>
      </c>
    </row>
    <row r="402" spans="1:15">
      <c r="A402" s="414">
        <v>166</v>
      </c>
      <c r="B402" s="381">
        <v>139.1</v>
      </c>
      <c r="C402" s="381">
        <v>146.69999999999999</v>
      </c>
      <c r="D402" s="381">
        <v>154.4</v>
      </c>
      <c r="E402" s="381">
        <v>162.1</v>
      </c>
      <c r="F402" s="381">
        <v>169.7</v>
      </c>
      <c r="G402" s="381">
        <v>177.4</v>
      </c>
      <c r="H402" s="381">
        <v>185</v>
      </c>
      <c r="I402" s="381">
        <v>138.5</v>
      </c>
      <c r="J402" s="381">
        <v>145.4</v>
      </c>
      <c r="K402" s="381">
        <v>152.4</v>
      </c>
      <c r="L402" s="381">
        <v>159.30000000000001</v>
      </c>
      <c r="M402" s="381">
        <v>166.3</v>
      </c>
      <c r="N402" s="381">
        <v>173.2</v>
      </c>
      <c r="O402" s="381">
        <v>180.2</v>
      </c>
    </row>
    <row r="403" spans="1:15">
      <c r="A403" s="414">
        <v>167</v>
      </c>
      <c r="B403" s="381">
        <v>139.6</v>
      </c>
      <c r="C403" s="381">
        <v>147.30000000000001</v>
      </c>
      <c r="D403" s="381">
        <v>154.9</v>
      </c>
      <c r="E403" s="381">
        <v>162.6</v>
      </c>
      <c r="F403" s="381">
        <v>170.3</v>
      </c>
      <c r="G403" s="381">
        <v>178</v>
      </c>
      <c r="H403" s="381">
        <v>185.6</v>
      </c>
      <c r="I403" s="381">
        <v>138.69999999999999</v>
      </c>
      <c r="J403" s="381">
        <v>145.69999999999999</v>
      </c>
      <c r="K403" s="381">
        <v>152.6</v>
      </c>
      <c r="L403" s="381">
        <v>159.6</v>
      </c>
      <c r="M403" s="381">
        <v>166.5</v>
      </c>
      <c r="N403" s="381">
        <v>173.5</v>
      </c>
      <c r="O403" s="381">
        <v>180.4</v>
      </c>
    </row>
    <row r="404" spans="1:15">
      <c r="A404" s="414">
        <v>168</v>
      </c>
      <c r="B404" s="381">
        <v>140.1</v>
      </c>
      <c r="C404" s="381">
        <v>147.80000000000001</v>
      </c>
      <c r="D404" s="381">
        <v>155.5</v>
      </c>
      <c r="E404" s="381">
        <v>163.19999999999999</v>
      </c>
      <c r="F404" s="381">
        <v>170.9</v>
      </c>
      <c r="G404" s="381">
        <v>178.6</v>
      </c>
      <c r="H404" s="381">
        <v>186.3</v>
      </c>
      <c r="I404" s="381">
        <v>139</v>
      </c>
      <c r="J404" s="381">
        <v>145.9</v>
      </c>
      <c r="K404" s="381">
        <v>152.80000000000001</v>
      </c>
      <c r="L404" s="381">
        <v>159.80000000000001</v>
      </c>
      <c r="M404" s="381">
        <v>166.7</v>
      </c>
      <c r="N404" s="381">
        <v>173.7</v>
      </c>
      <c r="O404" s="381">
        <v>180.6</v>
      </c>
    </row>
    <row r="405" spans="1:15">
      <c r="A405" s="414">
        <v>169</v>
      </c>
      <c r="B405" s="381">
        <v>140.6</v>
      </c>
      <c r="C405" s="381">
        <v>148.30000000000001</v>
      </c>
      <c r="D405" s="381">
        <v>156</v>
      </c>
      <c r="E405" s="381">
        <v>163.69999999999999</v>
      </c>
      <c r="F405" s="381">
        <v>171.4</v>
      </c>
      <c r="G405" s="381">
        <v>179.1</v>
      </c>
      <c r="H405" s="381">
        <v>186.9</v>
      </c>
      <c r="I405" s="381">
        <v>139.19999999999999</v>
      </c>
      <c r="J405" s="381">
        <v>146.1</v>
      </c>
      <c r="K405" s="381">
        <v>153.1</v>
      </c>
      <c r="L405" s="381">
        <v>160</v>
      </c>
      <c r="M405" s="381">
        <v>166.9</v>
      </c>
      <c r="N405" s="381">
        <v>173.9</v>
      </c>
      <c r="O405" s="381">
        <v>180.8</v>
      </c>
    </row>
    <row r="406" spans="1:15">
      <c r="A406" s="414">
        <v>170</v>
      </c>
      <c r="B406" s="381">
        <v>141.1</v>
      </c>
      <c r="C406" s="381">
        <v>148.80000000000001</v>
      </c>
      <c r="D406" s="381">
        <v>156.5</v>
      </c>
      <c r="E406" s="381">
        <v>164.3</v>
      </c>
      <c r="F406" s="381">
        <v>172</v>
      </c>
      <c r="G406" s="381">
        <v>179.7</v>
      </c>
      <c r="H406" s="381">
        <v>187.4</v>
      </c>
      <c r="I406" s="381">
        <v>139.4</v>
      </c>
      <c r="J406" s="381">
        <v>146.30000000000001</v>
      </c>
      <c r="K406" s="381">
        <v>153.30000000000001</v>
      </c>
      <c r="L406" s="381">
        <v>160.19999999999999</v>
      </c>
      <c r="M406" s="381">
        <v>167.1</v>
      </c>
      <c r="N406" s="381">
        <v>174.1</v>
      </c>
      <c r="O406" s="381">
        <v>181</v>
      </c>
    </row>
    <row r="407" spans="1:15">
      <c r="A407" s="414">
        <v>171</v>
      </c>
      <c r="B407" s="381">
        <v>141.6</v>
      </c>
      <c r="C407" s="381">
        <v>149.30000000000001</v>
      </c>
      <c r="D407" s="381">
        <v>157.1</v>
      </c>
      <c r="E407" s="381">
        <v>164.8</v>
      </c>
      <c r="F407" s="381">
        <v>172.5</v>
      </c>
      <c r="G407" s="381">
        <v>180.3</v>
      </c>
      <c r="H407" s="381">
        <v>188</v>
      </c>
      <c r="I407" s="381">
        <v>139.6</v>
      </c>
      <c r="J407" s="381">
        <v>146.5</v>
      </c>
      <c r="K407" s="381">
        <v>153.5</v>
      </c>
      <c r="L407" s="381">
        <v>160.4</v>
      </c>
      <c r="M407" s="381">
        <v>167.3</v>
      </c>
      <c r="N407" s="381">
        <v>174.2</v>
      </c>
      <c r="O407" s="381">
        <v>181.2</v>
      </c>
    </row>
    <row r="408" spans="1:15">
      <c r="A408" s="414">
        <v>172</v>
      </c>
      <c r="B408" s="381">
        <v>142.1</v>
      </c>
      <c r="C408" s="381">
        <v>149.80000000000001</v>
      </c>
      <c r="D408" s="381">
        <v>157.6</v>
      </c>
      <c r="E408" s="381">
        <v>165.3</v>
      </c>
      <c r="F408" s="381">
        <v>173.1</v>
      </c>
      <c r="G408" s="381">
        <v>180.8</v>
      </c>
      <c r="H408" s="381">
        <v>188.6</v>
      </c>
      <c r="I408" s="381">
        <v>139.80000000000001</v>
      </c>
      <c r="J408" s="381">
        <v>146.69999999999999</v>
      </c>
      <c r="K408" s="381">
        <v>153.6</v>
      </c>
      <c r="L408" s="381">
        <v>160.6</v>
      </c>
      <c r="M408" s="381">
        <v>167.5</v>
      </c>
      <c r="N408" s="381">
        <v>174.4</v>
      </c>
      <c r="O408" s="381">
        <v>181.3</v>
      </c>
    </row>
    <row r="409" spans="1:15">
      <c r="A409" s="414">
        <v>173</v>
      </c>
      <c r="B409" s="381">
        <v>142.5</v>
      </c>
      <c r="C409" s="381">
        <v>150.30000000000001</v>
      </c>
      <c r="D409" s="381">
        <v>158.1</v>
      </c>
      <c r="E409" s="381">
        <v>165.8</v>
      </c>
      <c r="F409" s="381">
        <v>173.6</v>
      </c>
      <c r="G409" s="381">
        <v>181.3</v>
      </c>
      <c r="H409" s="381">
        <v>189.1</v>
      </c>
      <c r="I409" s="381">
        <v>140</v>
      </c>
      <c r="J409" s="381">
        <v>146.9</v>
      </c>
      <c r="K409" s="381">
        <v>153.80000000000001</v>
      </c>
      <c r="L409" s="381">
        <v>160.69999999999999</v>
      </c>
      <c r="M409" s="381">
        <v>167.7</v>
      </c>
      <c r="N409" s="381">
        <v>174.6</v>
      </c>
      <c r="O409" s="381">
        <v>181.5</v>
      </c>
    </row>
    <row r="410" spans="1:15">
      <c r="A410" s="414">
        <v>174</v>
      </c>
      <c r="B410" s="381">
        <v>143</v>
      </c>
      <c r="C410" s="381">
        <v>150.80000000000001</v>
      </c>
      <c r="D410" s="381">
        <v>158.5</v>
      </c>
      <c r="E410" s="381">
        <v>166.3</v>
      </c>
      <c r="F410" s="381">
        <v>174.1</v>
      </c>
      <c r="G410" s="381">
        <v>181.8</v>
      </c>
      <c r="H410" s="381">
        <v>189.6</v>
      </c>
      <c r="I410" s="381">
        <v>140.1</v>
      </c>
      <c r="J410" s="381">
        <v>147.1</v>
      </c>
      <c r="K410" s="381">
        <v>154</v>
      </c>
      <c r="L410" s="381">
        <v>160.9</v>
      </c>
      <c r="M410" s="381">
        <v>167.8</v>
      </c>
      <c r="N410" s="381">
        <v>174.7</v>
      </c>
      <c r="O410" s="381">
        <v>181.6</v>
      </c>
    </row>
    <row r="411" spans="1:15">
      <c r="A411" s="414">
        <v>175</v>
      </c>
      <c r="B411" s="381">
        <v>143.4</v>
      </c>
      <c r="C411" s="381">
        <v>151.19999999999999</v>
      </c>
      <c r="D411" s="381">
        <v>159</v>
      </c>
      <c r="E411" s="381">
        <v>166.8</v>
      </c>
      <c r="F411" s="381">
        <v>174.6</v>
      </c>
      <c r="G411" s="381">
        <v>182.3</v>
      </c>
      <c r="H411" s="381">
        <v>190.1</v>
      </c>
      <c r="I411" s="381">
        <v>140.30000000000001</v>
      </c>
      <c r="J411" s="381">
        <v>147.19999999999999</v>
      </c>
      <c r="K411" s="381">
        <v>154.1</v>
      </c>
      <c r="L411" s="381">
        <v>161</v>
      </c>
      <c r="M411" s="381">
        <v>168</v>
      </c>
      <c r="N411" s="381">
        <v>174.9</v>
      </c>
      <c r="O411" s="381">
        <v>181.8</v>
      </c>
    </row>
    <row r="412" spans="1:15">
      <c r="A412" s="414">
        <v>176</v>
      </c>
      <c r="B412" s="381">
        <v>143.9</v>
      </c>
      <c r="C412" s="381">
        <v>151.69999999999999</v>
      </c>
      <c r="D412" s="381">
        <v>159.5</v>
      </c>
      <c r="E412" s="381">
        <v>167.2</v>
      </c>
      <c r="F412" s="381">
        <v>175</v>
      </c>
      <c r="G412" s="381">
        <v>182.8</v>
      </c>
      <c r="H412" s="381">
        <v>190.6</v>
      </c>
      <c r="I412" s="381">
        <v>140.5</v>
      </c>
      <c r="J412" s="381">
        <v>147.4</v>
      </c>
      <c r="K412" s="381">
        <v>154.30000000000001</v>
      </c>
      <c r="L412" s="381">
        <v>161.19999999999999</v>
      </c>
      <c r="M412" s="381">
        <v>168.1</v>
      </c>
      <c r="N412" s="381">
        <v>175</v>
      </c>
      <c r="O412" s="381">
        <v>181.9</v>
      </c>
    </row>
    <row r="413" spans="1:15">
      <c r="A413" s="414">
        <v>177</v>
      </c>
      <c r="B413" s="381">
        <v>144.30000000000001</v>
      </c>
      <c r="C413" s="381">
        <v>152.1</v>
      </c>
      <c r="D413" s="381">
        <v>159.9</v>
      </c>
      <c r="E413" s="381">
        <v>167.7</v>
      </c>
      <c r="F413" s="381">
        <v>175.5</v>
      </c>
      <c r="G413" s="381">
        <v>183.3</v>
      </c>
      <c r="H413" s="381">
        <v>191.1</v>
      </c>
      <c r="I413" s="381">
        <v>140.6</v>
      </c>
      <c r="J413" s="381">
        <v>147.5</v>
      </c>
      <c r="K413" s="381">
        <v>154.4</v>
      </c>
      <c r="L413" s="381">
        <v>161.30000000000001</v>
      </c>
      <c r="M413" s="381">
        <v>168.2</v>
      </c>
      <c r="N413" s="381">
        <v>175.1</v>
      </c>
      <c r="O413" s="381">
        <v>182</v>
      </c>
    </row>
    <row r="414" spans="1:15">
      <c r="A414" s="414">
        <v>178</v>
      </c>
      <c r="B414" s="381">
        <v>144.69999999999999</v>
      </c>
      <c r="C414" s="381">
        <v>152.5</v>
      </c>
      <c r="D414" s="381">
        <v>160.30000000000001</v>
      </c>
      <c r="E414" s="381">
        <v>168.1</v>
      </c>
      <c r="F414" s="381">
        <v>175.9</v>
      </c>
      <c r="G414" s="381">
        <v>183.7</v>
      </c>
      <c r="H414" s="381">
        <v>191.5</v>
      </c>
      <c r="I414" s="381">
        <v>140.80000000000001</v>
      </c>
      <c r="J414" s="381">
        <v>147.69999999999999</v>
      </c>
      <c r="K414" s="381">
        <v>154.5</v>
      </c>
      <c r="L414" s="381">
        <v>161.4</v>
      </c>
      <c r="M414" s="381">
        <v>168.3</v>
      </c>
      <c r="N414" s="381">
        <v>175.2</v>
      </c>
      <c r="O414" s="381">
        <v>182.1</v>
      </c>
    </row>
    <row r="415" spans="1:15">
      <c r="A415" s="414">
        <v>179</v>
      </c>
      <c r="B415" s="381">
        <v>145.1</v>
      </c>
      <c r="C415" s="381">
        <v>152.9</v>
      </c>
      <c r="D415" s="381">
        <v>160.69999999999999</v>
      </c>
      <c r="E415" s="381">
        <v>168.5</v>
      </c>
      <c r="F415" s="381">
        <v>176.3</v>
      </c>
      <c r="G415" s="381">
        <v>184.1</v>
      </c>
      <c r="H415" s="381">
        <v>191.9</v>
      </c>
      <c r="I415" s="381">
        <v>140.9</v>
      </c>
      <c r="J415" s="381">
        <v>147.80000000000001</v>
      </c>
      <c r="K415" s="381">
        <v>154.69999999999999</v>
      </c>
      <c r="L415" s="381">
        <v>161.6</v>
      </c>
      <c r="M415" s="381">
        <v>168.4</v>
      </c>
      <c r="N415" s="381">
        <v>175.3</v>
      </c>
      <c r="O415" s="381">
        <v>182.2</v>
      </c>
    </row>
    <row r="416" spans="1:15">
      <c r="A416" s="414">
        <v>180</v>
      </c>
      <c r="B416" s="381">
        <v>145.5</v>
      </c>
      <c r="C416" s="381">
        <v>153.4</v>
      </c>
      <c r="D416" s="381">
        <v>161.19999999999999</v>
      </c>
      <c r="E416" s="381">
        <v>169</v>
      </c>
      <c r="F416" s="381">
        <v>176.8</v>
      </c>
      <c r="G416" s="381">
        <v>184.6</v>
      </c>
      <c r="H416" s="381">
        <v>192.4</v>
      </c>
      <c r="I416" s="381">
        <v>141</v>
      </c>
      <c r="J416" s="381">
        <v>147.9</v>
      </c>
      <c r="K416" s="381">
        <v>154.80000000000001</v>
      </c>
      <c r="L416" s="381">
        <v>161.69999999999999</v>
      </c>
      <c r="M416" s="381">
        <v>168.5</v>
      </c>
      <c r="N416" s="381">
        <v>175.4</v>
      </c>
      <c r="O416" s="381">
        <v>182.3</v>
      </c>
    </row>
    <row r="417" spans="1:15">
      <c r="A417" s="414">
        <v>181</v>
      </c>
      <c r="B417" s="381">
        <v>145.9</v>
      </c>
      <c r="C417" s="381">
        <v>153.69999999999999</v>
      </c>
      <c r="D417" s="381">
        <v>161.5</v>
      </c>
      <c r="E417" s="381">
        <v>169.4</v>
      </c>
      <c r="F417" s="381">
        <v>177.2</v>
      </c>
      <c r="G417" s="381">
        <v>185</v>
      </c>
      <c r="H417" s="381">
        <v>192.8</v>
      </c>
      <c r="I417" s="381">
        <v>141.19999999999999</v>
      </c>
      <c r="J417" s="381">
        <v>148</v>
      </c>
      <c r="K417" s="381">
        <v>154.9</v>
      </c>
      <c r="L417" s="381">
        <v>161.80000000000001</v>
      </c>
      <c r="M417" s="381">
        <v>168.6</v>
      </c>
      <c r="N417" s="381">
        <v>175.5</v>
      </c>
      <c r="O417" s="381">
        <v>182.4</v>
      </c>
    </row>
    <row r="418" spans="1:15">
      <c r="A418" s="414">
        <v>182</v>
      </c>
      <c r="B418" s="381">
        <v>146.30000000000001</v>
      </c>
      <c r="C418" s="381">
        <v>154.1</v>
      </c>
      <c r="D418" s="381">
        <v>161.9</v>
      </c>
      <c r="E418" s="381">
        <v>169.7</v>
      </c>
      <c r="F418" s="381">
        <v>177.5</v>
      </c>
      <c r="G418" s="381">
        <v>185.4</v>
      </c>
      <c r="H418" s="381">
        <v>193.2</v>
      </c>
      <c r="I418" s="381">
        <v>141.30000000000001</v>
      </c>
      <c r="J418" s="381">
        <v>148.1</v>
      </c>
      <c r="K418" s="381">
        <v>155</v>
      </c>
      <c r="L418" s="381">
        <v>161.9</v>
      </c>
      <c r="M418" s="381">
        <v>168.7</v>
      </c>
      <c r="N418" s="381">
        <v>175.6</v>
      </c>
      <c r="O418" s="381">
        <v>182.5</v>
      </c>
    </row>
    <row r="419" spans="1:15">
      <c r="A419" s="415">
        <v>183</v>
      </c>
      <c r="B419" s="382">
        <v>146.69999999999999</v>
      </c>
      <c r="C419" s="382">
        <v>154.5</v>
      </c>
      <c r="D419" s="382">
        <v>162.30000000000001</v>
      </c>
      <c r="E419" s="382">
        <v>170.1</v>
      </c>
      <c r="F419" s="382">
        <v>177.9</v>
      </c>
      <c r="G419" s="382">
        <v>185.7</v>
      </c>
      <c r="H419" s="382">
        <v>193.5</v>
      </c>
      <c r="I419" s="382">
        <v>141.4</v>
      </c>
      <c r="J419" s="382">
        <v>148.19999999999999</v>
      </c>
      <c r="K419" s="382">
        <v>155.1</v>
      </c>
      <c r="L419" s="382">
        <v>162</v>
      </c>
      <c r="M419" s="382">
        <v>168.8</v>
      </c>
      <c r="N419" s="382">
        <v>175.7</v>
      </c>
      <c r="O419" s="382">
        <v>182.5</v>
      </c>
    </row>
    <row r="420" spans="1:15">
      <c r="A420" s="417">
        <v>184</v>
      </c>
      <c r="B420" s="385">
        <v>147.1</v>
      </c>
      <c r="C420" s="385">
        <v>154.9</v>
      </c>
      <c r="D420" s="385">
        <v>162.69999999999999</v>
      </c>
      <c r="E420" s="385">
        <v>170.5</v>
      </c>
      <c r="F420" s="385">
        <v>178.3</v>
      </c>
      <c r="G420" s="385">
        <v>186.1</v>
      </c>
      <c r="H420" s="385">
        <v>193.9</v>
      </c>
      <c r="I420" s="385">
        <v>141.5</v>
      </c>
      <c r="J420" s="385">
        <v>148.30000000000001</v>
      </c>
      <c r="K420" s="385">
        <v>155.19999999999999</v>
      </c>
      <c r="L420" s="385">
        <v>162</v>
      </c>
      <c r="M420" s="385">
        <v>168.9</v>
      </c>
      <c r="N420" s="385">
        <v>175.7</v>
      </c>
      <c r="O420" s="385">
        <v>182.6</v>
      </c>
    </row>
    <row r="421" spans="1:15">
      <c r="A421" s="414">
        <v>185</v>
      </c>
      <c r="B421" s="381">
        <v>147.4</v>
      </c>
      <c r="C421" s="381">
        <v>155.19999999999999</v>
      </c>
      <c r="D421" s="381">
        <v>163</v>
      </c>
      <c r="E421" s="381">
        <v>170.8</v>
      </c>
      <c r="F421" s="381">
        <v>178.6</v>
      </c>
      <c r="G421" s="381">
        <v>186.4</v>
      </c>
      <c r="H421" s="381">
        <v>194.2</v>
      </c>
      <c r="I421" s="381">
        <v>141.6</v>
      </c>
      <c r="J421" s="381">
        <v>148.4</v>
      </c>
      <c r="K421" s="381">
        <v>155.30000000000001</v>
      </c>
      <c r="L421" s="381">
        <v>162.1</v>
      </c>
      <c r="M421" s="381">
        <v>169</v>
      </c>
      <c r="N421" s="381">
        <v>175.8</v>
      </c>
      <c r="O421" s="381">
        <v>182.6</v>
      </c>
    </row>
    <row r="422" spans="1:15">
      <c r="A422" s="414">
        <v>186</v>
      </c>
      <c r="B422" s="381">
        <v>147.69999999999999</v>
      </c>
      <c r="C422" s="381">
        <v>155.5</v>
      </c>
      <c r="D422" s="381">
        <v>163.30000000000001</v>
      </c>
      <c r="E422" s="381">
        <v>171.1</v>
      </c>
      <c r="F422" s="381">
        <v>178.9</v>
      </c>
      <c r="G422" s="381">
        <v>186.8</v>
      </c>
      <c r="H422" s="381">
        <v>194.6</v>
      </c>
      <c r="I422" s="381">
        <v>141.69999999999999</v>
      </c>
      <c r="J422" s="381">
        <v>148.5</v>
      </c>
      <c r="K422" s="381">
        <v>155.4</v>
      </c>
      <c r="L422" s="381">
        <v>162.19999999999999</v>
      </c>
      <c r="M422" s="381">
        <v>169</v>
      </c>
      <c r="N422" s="381">
        <v>175.9</v>
      </c>
      <c r="O422" s="381">
        <v>182.7</v>
      </c>
    </row>
    <row r="423" spans="1:15">
      <c r="A423" s="414">
        <v>187</v>
      </c>
      <c r="B423" s="381">
        <v>148.1</v>
      </c>
      <c r="C423" s="381">
        <v>155.9</v>
      </c>
      <c r="D423" s="381">
        <v>163.69999999999999</v>
      </c>
      <c r="E423" s="381">
        <v>171.5</v>
      </c>
      <c r="F423" s="381">
        <v>179.3</v>
      </c>
      <c r="G423" s="381">
        <v>187.1</v>
      </c>
      <c r="H423" s="381">
        <v>194.9</v>
      </c>
      <c r="I423" s="381">
        <v>141.80000000000001</v>
      </c>
      <c r="J423" s="381">
        <v>148.6</v>
      </c>
      <c r="K423" s="381">
        <v>155.4</v>
      </c>
      <c r="L423" s="381">
        <v>162.30000000000001</v>
      </c>
      <c r="M423" s="381">
        <v>169.1</v>
      </c>
      <c r="N423" s="381">
        <v>175.9</v>
      </c>
      <c r="O423" s="381">
        <v>182.7</v>
      </c>
    </row>
    <row r="424" spans="1:15">
      <c r="A424" s="414">
        <v>188</v>
      </c>
      <c r="B424" s="381">
        <v>148.4</v>
      </c>
      <c r="C424" s="381">
        <v>156.19999999999999</v>
      </c>
      <c r="D424" s="381">
        <v>164</v>
      </c>
      <c r="E424" s="381">
        <v>171.8</v>
      </c>
      <c r="F424" s="381">
        <v>179.6</v>
      </c>
      <c r="G424" s="381">
        <v>187.4</v>
      </c>
      <c r="H424" s="381">
        <v>195.2</v>
      </c>
      <c r="I424" s="381">
        <v>141.9</v>
      </c>
      <c r="J424" s="381">
        <v>148.69999999999999</v>
      </c>
      <c r="K424" s="381">
        <v>155.5</v>
      </c>
      <c r="L424" s="381">
        <v>162.30000000000001</v>
      </c>
      <c r="M424" s="381">
        <v>169.1</v>
      </c>
      <c r="N424" s="381">
        <v>176</v>
      </c>
      <c r="O424" s="381">
        <v>182.8</v>
      </c>
    </row>
    <row r="425" spans="1:15">
      <c r="A425" s="414">
        <v>189</v>
      </c>
      <c r="B425" s="381">
        <v>148.69999999999999</v>
      </c>
      <c r="C425" s="381">
        <v>156.5</v>
      </c>
      <c r="D425" s="381">
        <v>164.3</v>
      </c>
      <c r="E425" s="381">
        <v>172.1</v>
      </c>
      <c r="F425" s="381">
        <v>179.9</v>
      </c>
      <c r="G425" s="381">
        <v>187.7</v>
      </c>
      <c r="H425" s="381">
        <v>195.4</v>
      </c>
      <c r="I425" s="381">
        <v>141.9</v>
      </c>
      <c r="J425" s="381">
        <v>148.69999999999999</v>
      </c>
      <c r="K425" s="381">
        <v>155.6</v>
      </c>
      <c r="L425" s="381">
        <v>162.4</v>
      </c>
      <c r="M425" s="381">
        <v>169.2</v>
      </c>
      <c r="N425" s="381">
        <v>176</v>
      </c>
      <c r="O425" s="381">
        <v>182.8</v>
      </c>
    </row>
    <row r="426" spans="1:15">
      <c r="A426" s="414">
        <v>190</v>
      </c>
      <c r="B426" s="381">
        <v>149</v>
      </c>
      <c r="C426" s="381">
        <v>156.80000000000001</v>
      </c>
      <c r="D426" s="381">
        <v>164.6</v>
      </c>
      <c r="E426" s="381">
        <v>172.4</v>
      </c>
      <c r="F426" s="381">
        <v>180.1</v>
      </c>
      <c r="G426" s="381">
        <v>187.9</v>
      </c>
      <c r="H426" s="381">
        <v>195.7</v>
      </c>
      <c r="I426" s="381">
        <v>142</v>
      </c>
      <c r="J426" s="381">
        <v>148.80000000000001</v>
      </c>
      <c r="K426" s="381">
        <v>155.6</v>
      </c>
      <c r="L426" s="381">
        <v>162.4</v>
      </c>
      <c r="M426" s="381">
        <v>169.2</v>
      </c>
      <c r="N426" s="381">
        <v>176</v>
      </c>
      <c r="O426" s="381">
        <v>182.8</v>
      </c>
    </row>
    <row r="427" spans="1:15">
      <c r="A427" s="414">
        <v>191</v>
      </c>
      <c r="B427" s="381">
        <v>149.30000000000001</v>
      </c>
      <c r="C427" s="381">
        <v>157.1</v>
      </c>
      <c r="D427" s="381">
        <v>164.9</v>
      </c>
      <c r="E427" s="381">
        <v>172.6</v>
      </c>
      <c r="F427" s="381">
        <v>180.4</v>
      </c>
      <c r="G427" s="381">
        <v>188.2</v>
      </c>
      <c r="H427" s="381">
        <v>196</v>
      </c>
      <c r="I427" s="381">
        <v>142.1</v>
      </c>
      <c r="J427" s="381">
        <v>148.9</v>
      </c>
      <c r="K427" s="381">
        <v>155.69999999999999</v>
      </c>
      <c r="L427" s="381">
        <v>162.5</v>
      </c>
      <c r="M427" s="381">
        <v>169.3</v>
      </c>
      <c r="N427" s="381">
        <v>176.1</v>
      </c>
      <c r="O427" s="381">
        <v>182.9</v>
      </c>
    </row>
    <row r="428" spans="1:15">
      <c r="A428" s="414">
        <v>192</v>
      </c>
      <c r="B428" s="381">
        <v>149.6</v>
      </c>
      <c r="C428" s="381">
        <v>157.4</v>
      </c>
      <c r="D428" s="381">
        <v>165.1</v>
      </c>
      <c r="E428" s="381">
        <v>172.9</v>
      </c>
      <c r="F428" s="381">
        <v>180.7</v>
      </c>
      <c r="G428" s="381">
        <v>188.4</v>
      </c>
      <c r="H428" s="381">
        <v>196.2</v>
      </c>
      <c r="I428" s="381">
        <v>142.19999999999999</v>
      </c>
      <c r="J428" s="381">
        <v>148.9</v>
      </c>
      <c r="K428" s="381">
        <v>155.69999999999999</v>
      </c>
      <c r="L428" s="381">
        <v>162.5</v>
      </c>
      <c r="M428" s="381">
        <v>169.3</v>
      </c>
      <c r="N428" s="381">
        <v>176.1</v>
      </c>
      <c r="O428" s="381">
        <v>182.9</v>
      </c>
    </row>
    <row r="429" spans="1:15">
      <c r="A429" s="414">
        <v>193</v>
      </c>
      <c r="B429" s="381">
        <v>149.9</v>
      </c>
      <c r="C429" s="381">
        <v>157.6</v>
      </c>
      <c r="D429" s="381">
        <v>165.4</v>
      </c>
      <c r="E429" s="381">
        <v>173.1</v>
      </c>
      <c r="F429" s="381">
        <v>180.9</v>
      </c>
      <c r="G429" s="381">
        <v>188.7</v>
      </c>
      <c r="H429" s="381">
        <v>196.4</v>
      </c>
      <c r="I429" s="381">
        <v>142.19999999999999</v>
      </c>
      <c r="J429" s="381">
        <v>149</v>
      </c>
      <c r="K429" s="381">
        <v>155.80000000000001</v>
      </c>
      <c r="L429" s="381">
        <v>162.6</v>
      </c>
      <c r="M429" s="381">
        <v>169.3</v>
      </c>
      <c r="N429" s="381">
        <v>176.1</v>
      </c>
      <c r="O429" s="381">
        <v>182.9</v>
      </c>
    </row>
    <row r="430" spans="1:15">
      <c r="A430" s="414">
        <v>194</v>
      </c>
      <c r="B430" s="381">
        <v>150.1</v>
      </c>
      <c r="C430" s="381">
        <v>157.9</v>
      </c>
      <c r="D430" s="381">
        <v>165.6</v>
      </c>
      <c r="E430" s="381">
        <v>173.4</v>
      </c>
      <c r="F430" s="381">
        <v>181.1</v>
      </c>
      <c r="G430" s="381">
        <v>188.9</v>
      </c>
      <c r="H430" s="381">
        <v>196.7</v>
      </c>
      <c r="I430" s="381">
        <v>142.30000000000001</v>
      </c>
      <c r="J430" s="381">
        <v>149.1</v>
      </c>
      <c r="K430" s="381">
        <v>155.80000000000001</v>
      </c>
      <c r="L430" s="381">
        <v>162.6</v>
      </c>
      <c r="M430" s="381">
        <v>169.4</v>
      </c>
      <c r="N430" s="381">
        <v>176.1</v>
      </c>
      <c r="O430" s="381">
        <v>182.9</v>
      </c>
    </row>
    <row r="431" spans="1:15">
      <c r="A431" s="414">
        <v>195</v>
      </c>
      <c r="B431" s="381">
        <v>150.4</v>
      </c>
      <c r="C431" s="381">
        <v>158.1</v>
      </c>
      <c r="D431" s="381">
        <v>165.9</v>
      </c>
      <c r="E431" s="381">
        <v>173.6</v>
      </c>
      <c r="F431" s="381">
        <v>181.4</v>
      </c>
      <c r="G431" s="381">
        <v>189.1</v>
      </c>
      <c r="H431" s="381">
        <v>196.9</v>
      </c>
      <c r="I431" s="381">
        <v>142.30000000000001</v>
      </c>
      <c r="J431" s="381">
        <v>149.1</v>
      </c>
      <c r="K431" s="381">
        <v>155.9</v>
      </c>
      <c r="L431" s="381">
        <v>162.6</v>
      </c>
      <c r="M431" s="381">
        <v>169.4</v>
      </c>
      <c r="N431" s="381">
        <v>176.2</v>
      </c>
      <c r="O431" s="381">
        <v>182.9</v>
      </c>
    </row>
    <row r="432" spans="1:15">
      <c r="A432" s="414">
        <v>196</v>
      </c>
      <c r="B432" s="381">
        <v>150.6</v>
      </c>
      <c r="C432" s="381">
        <v>158.4</v>
      </c>
      <c r="D432" s="381">
        <v>166.1</v>
      </c>
      <c r="E432" s="381">
        <v>173.8</v>
      </c>
      <c r="F432" s="381">
        <v>181.6</v>
      </c>
      <c r="G432" s="381">
        <v>189.3</v>
      </c>
      <c r="H432" s="381">
        <v>197</v>
      </c>
      <c r="I432" s="381">
        <v>142.4</v>
      </c>
      <c r="J432" s="381">
        <v>149.19999999999999</v>
      </c>
      <c r="K432" s="381">
        <v>155.9</v>
      </c>
      <c r="L432" s="381">
        <v>162.69999999999999</v>
      </c>
      <c r="M432" s="381">
        <v>169.4</v>
      </c>
      <c r="N432" s="381">
        <v>176.2</v>
      </c>
      <c r="O432" s="381">
        <v>182.9</v>
      </c>
    </row>
    <row r="433" spans="1:15">
      <c r="A433" s="414">
        <v>197</v>
      </c>
      <c r="B433" s="381">
        <v>150.9</v>
      </c>
      <c r="C433" s="381">
        <v>158.6</v>
      </c>
      <c r="D433" s="381">
        <v>166.3</v>
      </c>
      <c r="E433" s="381">
        <v>174</v>
      </c>
      <c r="F433" s="381">
        <v>181.8</v>
      </c>
      <c r="G433" s="381">
        <v>189.5</v>
      </c>
      <c r="H433" s="381">
        <v>197.2</v>
      </c>
      <c r="I433" s="381">
        <v>142.4</v>
      </c>
      <c r="J433" s="381">
        <v>149.19999999999999</v>
      </c>
      <c r="K433" s="381">
        <v>155.9</v>
      </c>
      <c r="L433" s="381">
        <v>162.69999999999999</v>
      </c>
      <c r="M433" s="381">
        <v>169.4</v>
      </c>
      <c r="N433" s="381">
        <v>176.2</v>
      </c>
      <c r="O433" s="381">
        <v>182.9</v>
      </c>
    </row>
    <row r="434" spans="1:15">
      <c r="A434" s="414">
        <v>198</v>
      </c>
      <c r="B434" s="381">
        <v>151.1</v>
      </c>
      <c r="C434" s="381">
        <v>158.80000000000001</v>
      </c>
      <c r="D434" s="381">
        <v>166.5</v>
      </c>
      <c r="E434" s="381">
        <v>174.2</v>
      </c>
      <c r="F434" s="381">
        <v>181.9</v>
      </c>
      <c r="G434" s="381">
        <v>189.7</v>
      </c>
      <c r="H434" s="381">
        <v>197.4</v>
      </c>
      <c r="I434" s="381">
        <v>142.5</v>
      </c>
      <c r="J434" s="381">
        <v>149.19999999999999</v>
      </c>
      <c r="K434" s="381">
        <v>156</v>
      </c>
      <c r="L434" s="381">
        <v>162.69999999999999</v>
      </c>
      <c r="M434" s="381">
        <v>169.5</v>
      </c>
      <c r="N434" s="381">
        <v>176.2</v>
      </c>
      <c r="O434" s="381">
        <v>182.9</v>
      </c>
    </row>
    <row r="435" spans="1:15">
      <c r="A435" s="414">
        <v>199</v>
      </c>
      <c r="B435" s="381">
        <v>151.30000000000001</v>
      </c>
      <c r="C435" s="381">
        <v>159</v>
      </c>
      <c r="D435" s="381">
        <v>166.7</v>
      </c>
      <c r="E435" s="381">
        <v>174.4</v>
      </c>
      <c r="F435" s="381">
        <v>182.1</v>
      </c>
      <c r="G435" s="381">
        <v>189.8</v>
      </c>
      <c r="H435" s="381">
        <v>197.5</v>
      </c>
      <c r="I435" s="381">
        <v>142.5</v>
      </c>
      <c r="J435" s="381">
        <v>149.30000000000001</v>
      </c>
      <c r="K435" s="381">
        <v>156</v>
      </c>
      <c r="L435" s="381">
        <v>162.69999999999999</v>
      </c>
      <c r="M435" s="381">
        <v>169.5</v>
      </c>
      <c r="N435" s="381">
        <v>176.2</v>
      </c>
      <c r="O435" s="381">
        <v>182.9</v>
      </c>
    </row>
    <row r="436" spans="1:15">
      <c r="A436" s="414">
        <v>200</v>
      </c>
      <c r="B436" s="381">
        <v>151.5</v>
      </c>
      <c r="C436" s="381">
        <v>159.19999999999999</v>
      </c>
      <c r="D436" s="381">
        <v>166.9</v>
      </c>
      <c r="E436" s="381">
        <v>174.6</v>
      </c>
      <c r="F436" s="381">
        <v>182.3</v>
      </c>
      <c r="G436" s="381">
        <v>190</v>
      </c>
      <c r="H436" s="381">
        <v>197.7</v>
      </c>
      <c r="I436" s="381">
        <v>142.6</v>
      </c>
      <c r="J436" s="381">
        <v>149.30000000000001</v>
      </c>
      <c r="K436" s="381">
        <v>156</v>
      </c>
      <c r="L436" s="381">
        <v>162.80000000000001</v>
      </c>
      <c r="M436" s="381">
        <v>169.5</v>
      </c>
      <c r="N436" s="381">
        <v>176.2</v>
      </c>
      <c r="O436" s="381">
        <v>182.9</v>
      </c>
    </row>
    <row r="437" spans="1:15">
      <c r="A437" s="414">
        <v>201</v>
      </c>
      <c r="B437" s="381">
        <v>151.69999999999999</v>
      </c>
      <c r="C437" s="381">
        <v>159.4</v>
      </c>
      <c r="D437" s="381">
        <v>167.1</v>
      </c>
      <c r="E437" s="381">
        <v>174.7</v>
      </c>
      <c r="F437" s="381">
        <v>182.4</v>
      </c>
      <c r="G437" s="381">
        <v>190.1</v>
      </c>
      <c r="H437" s="381">
        <v>197.8</v>
      </c>
      <c r="I437" s="381">
        <v>142.6</v>
      </c>
      <c r="J437" s="381">
        <v>149.4</v>
      </c>
      <c r="K437" s="381">
        <v>156.1</v>
      </c>
      <c r="L437" s="381">
        <v>162.80000000000001</v>
      </c>
      <c r="M437" s="381">
        <v>169.5</v>
      </c>
      <c r="N437" s="381">
        <v>176.2</v>
      </c>
      <c r="O437" s="381">
        <v>182.9</v>
      </c>
    </row>
    <row r="438" spans="1:15">
      <c r="A438" s="414">
        <v>202</v>
      </c>
      <c r="B438" s="381">
        <v>151.9</v>
      </c>
      <c r="C438" s="381">
        <v>159.6</v>
      </c>
      <c r="D438" s="381">
        <v>167.2</v>
      </c>
      <c r="E438" s="381">
        <v>174.9</v>
      </c>
      <c r="F438" s="381">
        <v>182.6</v>
      </c>
      <c r="G438" s="381">
        <v>190.2</v>
      </c>
      <c r="H438" s="381">
        <v>197.9</v>
      </c>
      <c r="I438" s="381">
        <v>142.69999999999999</v>
      </c>
      <c r="J438" s="381">
        <v>149.4</v>
      </c>
      <c r="K438" s="381">
        <v>156.1</v>
      </c>
      <c r="L438" s="381">
        <v>162.80000000000001</v>
      </c>
      <c r="M438" s="381">
        <v>169.5</v>
      </c>
      <c r="N438" s="381">
        <v>176.2</v>
      </c>
      <c r="O438" s="381">
        <v>182.9</v>
      </c>
    </row>
    <row r="439" spans="1:15">
      <c r="A439" s="414">
        <v>203</v>
      </c>
      <c r="B439" s="381">
        <v>152.1</v>
      </c>
      <c r="C439" s="381">
        <v>159.69999999999999</v>
      </c>
      <c r="D439" s="381">
        <v>167.4</v>
      </c>
      <c r="E439" s="381">
        <v>175</v>
      </c>
      <c r="F439" s="381">
        <v>182.7</v>
      </c>
      <c r="G439" s="381">
        <v>190.3</v>
      </c>
      <c r="H439" s="381">
        <v>198</v>
      </c>
      <c r="I439" s="381">
        <v>142.69999999999999</v>
      </c>
      <c r="J439" s="381">
        <v>149.4</v>
      </c>
      <c r="K439" s="381">
        <v>156.1</v>
      </c>
      <c r="L439" s="381">
        <v>162.80000000000001</v>
      </c>
      <c r="M439" s="381">
        <v>169.5</v>
      </c>
      <c r="N439" s="381">
        <v>176.2</v>
      </c>
      <c r="O439" s="381">
        <v>182.9</v>
      </c>
    </row>
    <row r="440" spans="1:15">
      <c r="A440" s="414">
        <v>204</v>
      </c>
      <c r="B440" s="381">
        <v>152.19999999999999</v>
      </c>
      <c r="C440" s="381">
        <v>159.9</v>
      </c>
      <c r="D440" s="381">
        <v>167.5</v>
      </c>
      <c r="E440" s="381">
        <v>175.2</v>
      </c>
      <c r="F440" s="381">
        <v>182.8</v>
      </c>
      <c r="G440" s="381">
        <v>190.4</v>
      </c>
      <c r="H440" s="381">
        <v>198.1</v>
      </c>
      <c r="I440" s="381">
        <v>142.80000000000001</v>
      </c>
      <c r="J440" s="381">
        <v>149.5</v>
      </c>
      <c r="K440" s="381">
        <v>156.19999999999999</v>
      </c>
      <c r="L440" s="381">
        <v>162.9</v>
      </c>
      <c r="M440" s="381">
        <v>169.5</v>
      </c>
      <c r="N440" s="381">
        <v>176.2</v>
      </c>
      <c r="O440" s="381">
        <v>182.9</v>
      </c>
    </row>
    <row r="441" spans="1:15">
      <c r="A441" s="414">
        <v>205</v>
      </c>
      <c r="B441" s="381">
        <v>152.4</v>
      </c>
      <c r="C441" s="381">
        <v>160</v>
      </c>
      <c r="D441" s="381">
        <v>167.7</v>
      </c>
      <c r="E441" s="381">
        <v>175.3</v>
      </c>
      <c r="F441" s="381">
        <v>182.9</v>
      </c>
      <c r="G441" s="381">
        <v>190.5</v>
      </c>
      <c r="H441" s="381">
        <v>198.2</v>
      </c>
      <c r="I441" s="381">
        <v>142.80000000000001</v>
      </c>
      <c r="J441" s="381">
        <v>149.5</v>
      </c>
      <c r="K441" s="381">
        <v>156.19999999999999</v>
      </c>
      <c r="L441" s="381">
        <v>162.9</v>
      </c>
      <c r="M441" s="381">
        <v>169.6</v>
      </c>
      <c r="N441" s="381">
        <v>176.2</v>
      </c>
      <c r="O441" s="381">
        <v>182.9</v>
      </c>
    </row>
    <row r="442" spans="1:15">
      <c r="A442" s="414">
        <v>206</v>
      </c>
      <c r="B442" s="381">
        <v>152.5</v>
      </c>
      <c r="C442" s="381">
        <v>160.19999999999999</v>
      </c>
      <c r="D442" s="381">
        <v>167.8</v>
      </c>
      <c r="E442" s="381">
        <v>175.4</v>
      </c>
      <c r="F442" s="381">
        <v>183</v>
      </c>
      <c r="G442" s="381">
        <v>190.6</v>
      </c>
      <c r="H442" s="381">
        <v>198.2</v>
      </c>
      <c r="I442" s="381">
        <v>142.9</v>
      </c>
      <c r="J442" s="381">
        <v>149.5</v>
      </c>
      <c r="K442" s="381">
        <v>156.19999999999999</v>
      </c>
      <c r="L442" s="381">
        <v>162.9</v>
      </c>
      <c r="M442" s="381">
        <v>169.6</v>
      </c>
      <c r="N442" s="381">
        <v>176.2</v>
      </c>
      <c r="O442" s="381">
        <v>182.9</v>
      </c>
    </row>
    <row r="443" spans="1:15">
      <c r="A443" s="415">
        <v>207</v>
      </c>
      <c r="B443" s="382">
        <v>152.69999999999999</v>
      </c>
      <c r="C443" s="382">
        <v>160.30000000000001</v>
      </c>
      <c r="D443" s="382">
        <v>167.9</v>
      </c>
      <c r="E443" s="382">
        <v>175.5</v>
      </c>
      <c r="F443" s="382">
        <v>183.1</v>
      </c>
      <c r="G443" s="382">
        <v>190.7</v>
      </c>
      <c r="H443" s="382">
        <v>198.3</v>
      </c>
      <c r="I443" s="382">
        <v>142.9</v>
      </c>
      <c r="J443" s="382">
        <v>149.6</v>
      </c>
      <c r="K443" s="382">
        <v>156.19999999999999</v>
      </c>
      <c r="L443" s="382">
        <v>162.9</v>
      </c>
      <c r="M443" s="382">
        <v>169.6</v>
      </c>
      <c r="N443" s="382">
        <v>176.3</v>
      </c>
      <c r="O443" s="382">
        <v>182.9</v>
      </c>
    </row>
    <row r="444" spans="1:15">
      <c r="A444" s="417">
        <v>208</v>
      </c>
      <c r="B444" s="385">
        <v>152.80000000000001</v>
      </c>
      <c r="C444" s="385">
        <v>160.4</v>
      </c>
      <c r="D444" s="385">
        <v>168</v>
      </c>
      <c r="E444" s="385">
        <v>175.6</v>
      </c>
      <c r="F444" s="385">
        <v>183.2</v>
      </c>
      <c r="G444" s="385">
        <v>190.8</v>
      </c>
      <c r="H444" s="385">
        <v>198.4</v>
      </c>
      <c r="I444" s="385">
        <v>142.9</v>
      </c>
      <c r="J444" s="385">
        <v>149.6</v>
      </c>
      <c r="K444" s="385">
        <v>156.30000000000001</v>
      </c>
      <c r="L444" s="385">
        <v>162.9</v>
      </c>
      <c r="M444" s="385">
        <v>169.6</v>
      </c>
      <c r="N444" s="385">
        <v>176.3</v>
      </c>
      <c r="O444" s="385">
        <v>182.9</v>
      </c>
    </row>
    <row r="445" spans="1:15">
      <c r="A445" s="414">
        <v>209</v>
      </c>
      <c r="B445" s="381">
        <v>153</v>
      </c>
      <c r="C445" s="381">
        <v>160.5</v>
      </c>
      <c r="D445" s="381">
        <v>168.1</v>
      </c>
      <c r="E445" s="381">
        <v>175.7</v>
      </c>
      <c r="F445" s="381">
        <v>183.3</v>
      </c>
      <c r="G445" s="381">
        <v>190.8</v>
      </c>
      <c r="H445" s="381">
        <v>198.4</v>
      </c>
      <c r="I445" s="381">
        <v>143</v>
      </c>
      <c r="J445" s="381">
        <v>149.6</v>
      </c>
      <c r="K445" s="381">
        <v>156.30000000000001</v>
      </c>
      <c r="L445" s="381">
        <v>162.9</v>
      </c>
      <c r="M445" s="381">
        <v>169.6</v>
      </c>
      <c r="N445" s="381">
        <v>176.3</v>
      </c>
      <c r="O445" s="381">
        <v>182.9</v>
      </c>
    </row>
    <row r="446" spans="1:15">
      <c r="A446" s="414">
        <v>210</v>
      </c>
      <c r="B446" s="381">
        <v>153.1</v>
      </c>
      <c r="C446" s="381">
        <v>160.6</v>
      </c>
      <c r="D446" s="381">
        <v>168.2</v>
      </c>
      <c r="E446" s="381">
        <v>175.8</v>
      </c>
      <c r="F446" s="381">
        <v>183.3</v>
      </c>
      <c r="G446" s="381">
        <v>190.9</v>
      </c>
      <c r="H446" s="381">
        <v>198.4</v>
      </c>
      <c r="I446" s="381">
        <v>143</v>
      </c>
      <c r="J446" s="381">
        <v>149.69999999999999</v>
      </c>
      <c r="K446" s="381">
        <v>156.30000000000001</v>
      </c>
      <c r="L446" s="381">
        <v>163</v>
      </c>
      <c r="M446" s="381">
        <v>169.6</v>
      </c>
      <c r="N446" s="381">
        <v>176.3</v>
      </c>
      <c r="O446" s="381">
        <v>182.9</v>
      </c>
    </row>
    <row r="447" spans="1:15">
      <c r="A447" s="414">
        <v>211</v>
      </c>
      <c r="B447" s="381">
        <v>153.19999999999999</v>
      </c>
      <c r="C447" s="381">
        <v>160.80000000000001</v>
      </c>
      <c r="D447" s="381">
        <v>168.3</v>
      </c>
      <c r="E447" s="381">
        <v>175.8</v>
      </c>
      <c r="F447" s="381">
        <v>183.4</v>
      </c>
      <c r="G447" s="381">
        <v>190.9</v>
      </c>
      <c r="H447" s="381">
        <v>198.5</v>
      </c>
      <c r="I447" s="381">
        <v>143.1</v>
      </c>
      <c r="J447" s="381">
        <v>149.69999999999999</v>
      </c>
      <c r="K447" s="381">
        <v>156.30000000000001</v>
      </c>
      <c r="L447" s="381">
        <v>163</v>
      </c>
      <c r="M447" s="381">
        <v>169.6</v>
      </c>
      <c r="N447" s="381">
        <v>176.3</v>
      </c>
      <c r="O447" s="381">
        <v>182.9</v>
      </c>
    </row>
    <row r="448" spans="1:15">
      <c r="A448" s="414">
        <v>212</v>
      </c>
      <c r="B448" s="381">
        <v>153.30000000000001</v>
      </c>
      <c r="C448" s="381">
        <v>160.9</v>
      </c>
      <c r="D448" s="381">
        <v>168.4</v>
      </c>
      <c r="E448" s="381">
        <v>175.9</v>
      </c>
      <c r="F448" s="381">
        <v>183.4</v>
      </c>
      <c r="G448" s="381">
        <v>191</v>
      </c>
      <c r="H448" s="381">
        <v>198.5</v>
      </c>
      <c r="I448" s="381">
        <v>143.1</v>
      </c>
      <c r="J448" s="381">
        <v>149.69999999999999</v>
      </c>
      <c r="K448" s="381">
        <v>156.4</v>
      </c>
      <c r="L448" s="381">
        <v>163</v>
      </c>
      <c r="M448" s="381">
        <v>169.6</v>
      </c>
      <c r="N448" s="381">
        <v>176.3</v>
      </c>
      <c r="O448" s="381">
        <v>182.9</v>
      </c>
    </row>
    <row r="449" spans="1:15">
      <c r="A449" s="414">
        <v>213</v>
      </c>
      <c r="B449" s="381">
        <v>153.4</v>
      </c>
      <c r="C449" s="381">
        <v>160.9</v>
      </c>
      <c r="D449" s="381">
        <v>168.5</v>
      </c>
      <c r="E449" s="381">
        <v>176</v>
      </c>
      <c r="F449" s="381">
        <v>183.5</v>
      </c>
      <c r="G449" s="381">
        <v>191</v>
      </c>
      <c r="H449" s="381">
        <v>198.5</v>
      </c>
      <c r="I449" s="381">
        <v>143.1</v>
      </c>
      <c r="J449" s="381">
        <v>149.80000000000001</v>
      </c>
      <c r="K449" s="381">
        <v>156.4</v>
      </c>
      <c r="L449" s="381">
        <v>163</v>
      </c>
      <c r="M449" s="381">
        <v>169.6</v>
      </c>
      <c r="N449" s="381">
        <v>176.3</v>
      </c>
      <c r="O449" s="381">
        <v>182.9</v>
      </c>
    </row>
    <row r="450" spans="1:15">
      <c r="A450" s="414">
        <v>214</v>
      </c>
      <c r="B450" s="381">
        <v>153.5</v>
      </c>
      <c r="C450" s="381">
        <v>161</v>
      </c>
      <c r="D450" s="381">
        <v>168.5</v>
      </c>
      <c r="E450" s="381">
        <v>176</v>
      </c>
      <c r="F450" s="381">
        <v>183.5</v>
      </c>
      <c r="G450" s="381">
        <v>191</v>
      </c>
      <c r="H450" s="381">
        <v>198.5</v>
      </c>
      <c r="I450" s="381">
        <v>143.19999999999999</v>
      </c>
      <c r="J450" s="381">
        <v>149.80000000000001</v>
      </c>
      <c r="K450" s="381">
        <v>156.4</v>
      </c>
      <c r="L450" s="381">
        <v>163</v>
      </c>
      <c r="M450" s="381">
        <v>169.7</v>
      </c>
      <c r="N450" s="381">
        <v>176.3</v>
      </c>
      <c r="O450" s="381">
        <v>182.9</v>
      </c>
    </row>
    <row r="451" spans="1:15">
      <c r="A451" s="414">
        <v>215</v>
      </c>
      <c r="B451" s="381">
        <v>153.6</v>
      </c>
      <c r="C451" s="381">
        <v>161.1</v>
      </c>
      <c r="D451" s="381">
        <v>168.6</v>
      </c>
      <c r="E451" s="381">
        <v>176.1</v>
      </c>
      <c r="F451" s="381">
        <v>183.6</v>
      </c>
      <c r="G451" s="381">
        <v>191.1</v>
      </c>
      <c r="H451" s="381">
        <v>198.6</v>
      </c>
      <c r="I451" s="381">
        <v>143.19999999999999</v>
      </c>
      <c r="J451" s="381">
        <v>149.80000000000001</v>
      </c>
      <c r="K451" s="381">
        <v>156.4</v>
      </c>
      <c r="L451" s="381">
        <v>163</v>
      </c>
      <c r="M451" s="381">
        <v>169.7</v>
      </c>
      <c r="N451" s="381">
        <v>176.3</v>
      </c>
      <c r="O451" s="381">
        <v>182.9</v>
      </c>
    </row>
    <row r="452" spans="1:15">
      <c r="A452" s="414">
        <v>216</v>
      </c>
      <c r="B452" s="381">
        <v>153.69999999999999</v>
      </c>
      <c r="C452" s="381">
        <v>161.19999999999999</v>
      </c>
      <c r="D452" s="381">
        <v>168.7</v>
      </c>
      <c r="E452" s="381">
        <v>176.1</v>
      </c>
      <c r="F452" s="381">
        <v>183.6</v>
      </c>
      <c r="G452" s="381">
        <v>191.1</v>
      </c>
      <c r="H452" s="381">
        <v>198.6</v>
      </c>
      <c r="I452" s="381">
        <v>143.19999999999999</v>
      </c>
      <c r="J452" s="381">
        <v>149.80000000000001</v>
      </c>
      <c r="K452" s="381">
        <v>156.5</v>
      </c>
      <c r="L452" s="381">
        <v>163.1</v>
      </c>
      <c r="M452" s="381">
        <v>169.7</v>
      </c>
      <c r="N452" s="381">
        <v>176.3</v>
      </c>
      <c r="O452" s="381">
        <v>182.9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8"/>
  <sheetViews>
    <sheetView topLeftCell="A40" workbookViewId="0">
      <selection activeCell="M49" sqref="M49"/>
    </sheetView>
  </sheetViews>
  <sheetFormatPr defaultRowHeight="15"/>
  <cols>
    <col min="1" max="1" width="20.7109375" style="438" customWidth="1"/>
    <col min="2" max="3" width="16.5703125" style="438" bestFit="1" customWidth="1"/>
    <col min="4" max="4" width="16.7109375" style="438" bestFit="1" customWidth="1"/>
    <col min="5" max="16384" width="9.140625" style="438"/>
  </cols>
  <sheetData>
    <row r="1" spans="1:37" s="62" customFormat="1" ht="12.75">
      <c r="A1" s="289" t="s">
        <v>559</v>
      </c>
      <c r="B1" s="418"/>
      <c r="C1" s="418"/>
      <c r="AB1" s="79"/>
      <c r="AC1" s="87"/>
      <c r="AD1" s="87"/>
      <c r="AE1" s="87"/>
      <c r="AF1" s="87"/>
      <c r="AK1" s="87"/>
    </row>
    <row r="2" spans="1:37" s="62" customFormat="1" ht="12.75">
      <c r="A2" s="462" t="s">
        <v>560</v>
      </c>
      <c r="B2" s="462"/>
      <c r="C2" s="462"/>
      <c r="D2" s="462"/>
      <c r="AB2" s="79"/>
      <c r="AC2" s="87"/>
      <c r="AD2" s="87"/>
      <c r="AE2" s="87"/>
      <c r="AF2" s="87"/>
      <c r="AK2" s="87"/>
    </row>
    <row r="3" spans="1:37" s="62" customFormat="1" ht="15" customHeight="1">
      <c r="A3" s="463" t="s">
        <v>561</v>
      </c>
      <c r="B3" s="463"/>
      <c r="C3" s="463"/>
      <c r="D3" s="463"/>
      <c r="E3" s="463"/>
      <c r="F3" s="463"/>
      <c r="G3" s="463"/>
      <c r="H3" s="419"/>
      <c r="I3" s="419"/>
      <c r="J3" s="419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AB3" s="79"/>
      <c r="AC3" s="87"/>
      <c r="AD3" s="87"/>
      <c r="AE3" s="87"/>
      <c r="AF3" s="87"/>
      <c r="AK3" s="87"/>
    </row>
    <row r="4" spans="1:37" s="62" customFormat="1" ht="15.75">
      <c r="A4" s="420" t="s">
        <v>538</v>
      </c>
      <c r="B4" s="421"/>
      <c r="C4" s="421"/>
      <c r="D4" s="419"/>
      <c r="E4" s="421"/>
      <c r="F4" s="419"/>
      <c r="G4" s="420" t="s">
        <v>539</v>
      </c>
      <c r="H4" s="421"/>
      <c r="I4" s="419"/>
      <c r="J4" s="419"/>
      <c r="K4" s="26"/>
      <c r="L4" s="26"/>
      <c r="M4" s="26"/>
      <c r="N4" s="422"/>
      <c r="O4" s="26"/>
      <c r="P4" s="423"/>
      <c r="Q4" s="26"/>
      <c r="R4" s="423"/>
      <c r="S4" s="423"/>
      <c r="T4" s="26"/>
      <c r="U4" s="26"/>
      <c r="AB4" s="79"/>
      <c r="AC4" s="87"/>
      <c r="AD4" s="87"/>
      <c r="AE4" s="87"/>
      <c r="AF4" s="87"/>
      <c r="AK4" s="87"/>
    </row>
    <row r="5" spans="1:37" s="62" customFormat="1" ht="21.75" customHeight="1">
      <c r="A5" s="424" t="s">
        <v>562</v>
      </c>
      <c r="B5" s="425" t="s">
        <v>563</v>
      </c>
      <c r="C5" s="426" t="s">
        <v>141</v>
      </c>
      <c r="D5" s="426" t="s">
        <v>564</v>
      </c>
      <c r="E5" s="426" t="s">
        <v>565</v>
      </c>
      <c r="F5" s="419"/>
      <c r="G5" s="419" t="s">
        <v>566</v>
      </c>
      <c r="H5" s="426" t="s">
        <v>141</v>
      </c>
      <c r="I5" s="426" t="s">
        <v>564</v>
      </c>
      <c r="J5" s="426" t="s">
        <v>565</v>
      </c>
      <c r="K5" s="26"/>
      <c r="L5" s="26"/>
      <c r="M5" s="26"/>
      <c r="O5" s="26"/>
      <c r="P5" s="26"/>
      <c r="Q5" s="26"/>
      <c r="R5" s="26"/>
      <c r="S5" s="26"/>
      <c r="T5" s="26"/>
      <c r="U5" s="26"/>
      <c r="AB5" s="79"/>
      <c r="AC5" s="87"/>
      <c r="AD5" s="87"/>
      <c r="AE5" s="87"/>
      <c r="AF5" s="87"/>
      <c r="AK5" s="87"/>
    </row>
    <row r="6" spans="1:37" s="62" customFormat="1" ht="12.75">
      <c r="A6" s="421">
        <v>1</v>
      </c>
      <c r="B6" s="419">
        <v>10.9</v>
      </c>
      <c r="C6" s="427">
        <v>85</v>
      </c>
      <c r="D6" s="428">
        <f t="shared" ref="D6:E10" si="0">C6</f>
        <v>85</v>
      </c>
      <c r="E6" s="428">
        <f t="shared" si="0"/>
        <v>85</v>
      </c>
      <c r="F6" s="419"/>
      <c r="G6" s="419">
        <v>10.199999999999999</v>
      </c>
      <c r="H6" s="428">
        <f>I6</f>
        <v>80</v>
      </c>
      <c r="I6" s="429">
        <v>80</v>
      </c>
      <c r="J6" s="428">
        <f>I6</f>
        <v>80</v>
      </c>
      <c r="K6" s="26">
        <f t="shared" ref="K6:K22" si="1">B6*C6</f>
        <v>926.5</v>
      </c>
      <c r="L6" s="26">
        <f t="shared" ref="L6:L22" si="2">MROUND(K6,200)</f>
        <v>1000</v>
      </c>
      <c r="M6" s="26">
        <f t="shared" ref="M6:M22" si="3">G6*H6</f>
        <v>816</v>
      </c>
      <c r="N6" s="26">
        <f t="shared" ref="N6:N22" si="4">MROUND(M6,200)</f>
        <v>800</v>
      </c>
      <c r="O6" s="421">
        <v>1</v>
      </c>
      <c r="P6" s="430"/>
      <c r="Q6" s="430"/>
      <c r="R6" s="430"/>
      <c r="S6" s="26"/>
      <c r="T6" s="26"/>
      <c r="U6" s="26"/>
      <c r="AB6" s="79"/>
      <c r="AC6" s="87"/>
      <c r="AD6" s="87"/>
      <c r="AE6" s="87"/>
      <c r="AF6" s="87"/>
      <c r="AK6" s="87"/>
    </row>
    <row r="7" spans="1:37" s="62" customFormat="1" ht="12.75">
      <c r="A7" s="421">
        <v>2</v>
      </c>
      <c r="B7" s="419">
        <v>13.3</v>
      </c>
      <c r="C7" s="427">
        <v>85</v>
      </c>
      <c r="D7" s="428">
        <f t="shared" si="0"/>
        <v>85</v>
      </c>
      <c r="E7" s="428">
        <f t="shared" si="0"/>
        <v>85</v>
      </c>
      <c r="F7" s="419"/>
      <c r="G7" s="419">
        <v>12.7</v>
      </c>
      <c r="H7" s="428">
        <f>I7</f>
        <v>80</v>
      </c>
      <c r="I7" s="429">
        <v>80</v>
      </c>
      <c r="J7" s="428">
        <f>I7</f>
        <v>80</v>
      </c>
      <c r="K7" s="26">
        <f t="shared" si="1"/>
        <v>1130.5</v>
      </c>
      <c r="L7" s="26">
        <f t="shared" si="2"/>
        <v>1200</v>
      </c>
      <c r="M7" s="26">
        <f t="shared" si="3"/>
        <v>1016</v>
      </c>
      <c r="N7" s="26">
        <f t="shared" si="4"/>
        <v>1000</v>
      </c>
      <c r="O7" s="421">
        <v>2</v>
      </c>
      <c r="P7" s="430">
        <v>1200</v>
      </c>
      <c r="Q7" s="430">
        <f t="shared" ref="Q7:Q21" si="5">P7*14/1000</f>
        <v>16.8</v>
      </c>
      <c r="R7" s="430"/>
      <c r="S7" s="26"/>
      <c r="T7" s="26"/>
      <c r="U7" s="26"/>
      <c r="AB7" s="79"/>
      <c r="AC7" s="87"/>
      <c r="AD7" s="87"/>
      <c r="AE7" s="87"/>
      <c r="AF7" s="87"/>
      <c r="AK7" s="87"/>
    </row>
    <row r="8" spans="1:37" s="62" customFormat="1" ht="12.75">
      <c r="A8" s="421">
        <v>3</v>
      </c>
      <c r="B8" s="419">
        <v>15.3</v>
      </c>
      <c r="C8" s="427">
        <v>80</v>
      </c>
      <c r="D8" s="428">
        <f t="shared" si="0"/>
        <v>80</v>
      </c>
      <c r="E8" s="428">
        <f t="shared" si="0"/>
        <v>80</v>
      </c>
      <c r="F8" s="419"/>
      <c r="G8" s="419">
        <v>15</v>
      </c>
      <c r="H8" s="428">
        <f>I8</f>
        <v>75</v>
      </c>
      <c r="I8" s="429">
        <v>75</v>
      </c>
      <c r="J8" s="428">
        <f>I8</f>
        <v>75</v>
      </c>
      <c r="K8" s="26">
        <f t="shared" si="1"/>
        <v>1224</v>
      </c>
      <c r="L8" s="26">
        <f t="shared" si="2"/>
        <v>1200</v>
      </c>
      <c r="M8" s="26">
        <f t="shared" si="3"/>
        <v>1125</v>
      </c>
      <c r="N8" s="26">
        <f t="shared" si="4"/>
        <v>1200</v>
      </c>
      <c r="O8" s="421">
        <v>3</v>
      </c>
      <c r="P8" s="26"/>
      <c r="Q8" s="430">
        <f t="shared" si="5"/>
        <v>0</v>
      </c>
      <c r="R8" s="26"/>
      <c r="S8" s="26"/>
      <c r="T8" s="26"/>
      <c r="U8" s="26"/>
      <c r="AB8" s="79"/>
      <c r="AC8" s="87"/>
      <c r="AD8" s="87"/>
      <c r="AE8" s="87"/>
      <c r="AF8" s="87"/>
      <c r="AK8" s="87"/>
    </row>
    <row r="9" spans="1:37" s="62" customFormat="1" ht="12.75">
      <c r="A9" s="421">
        <v>4</v>
      </c>
      <c r="B9" s="419">
        <v>16.5</v>
      </c>
      <c r="C9" s="427">
        <v>80</v>
      </c>
      <c r="D9" s="428">
        <f t="shared" si="0"/>
        <v>80</v>
      </c>
      <c r="E9" s="428">
        <f t="shared" si="0"/>
        <v>80</v>
      </c>
      <c r="F9" s="419"/>
      <c r="G9" s="419">
        <v>16</v>
      </c>
      <c r="H9" s="428">
        <f>I9</f>
        <v>75</v>
      </c>
      <c r="I9" s="429">
        <v>75</v>
      </c>
      <c r="J9" s="428">
        <f>I9</f>
        <v>75</v>
      </c>
      <c r="K9" s="26">
        <f t="shared" si="1"/>
        <v>1320</v>
      </c>
      <c r="L9" s="26">
        <f t="shared" si="2"/>
        <v>1400</v>
      </c>
      <c r="M9" s="26">
        <f t="shared" si="3"/>
        <v>1200</v>
      </c>
      <c r="N9" s="26">
        <f t="shared" si="4"/>
        <v>1200</v>
      </c>
      <c r="O9" s="421">
        <v>4</v>
      </c>
      <c r="P9" s="26"/>
      <c r="Q9" s="430">
        <f t="shared" si="5"/>
        <v>0</v>
      </c>
      <c r="R9" s="26"/>
      <c r="S9" s="26"/>
      <c r="T9" s="26"/>
      <c r="U9" s="26"/>
      <c r="AB9" s="79"/>
      <c r="AC9" s="87"/>
      <c r="AD9" s="87"/>
      <c r="AE9" s="87"/>
      <c r="AF9" s="87"/>
      <c r="AK9" s="87"/>
    </row>
    <row r="10" spans="1:37" s="62" customFormat="1" ht="12.75">
      <c r="A10" s="421">
        <v>5</v>
      </c>
      <c r="B10" s="419">
        <v>18.2</v>
      </c>
      <c r="C10" s="427">
        <v>80</v>
      </c>
      <c r="D10" s="428">
        <f t="shared" si="0"/>
        <v>80</v>
      </c>
      <c r="E10" s="428">
        <f t="shared" si="0"/>
        <v>80</v>
      </c>
      <c r="F10" s="419"/>
      <c r="G10" s="419">
        <v>17.7</v>
      </c>
      <c r="H10" s="428">
        <f>I10</f>
        <v>75</v>
      </c>
      <c r="I10" s="429">
        <v>75</v>
      </c>
      <c r="J10" s="428">
        <f>I10</f>
        <v>75</v>
      </c>
      <c r="K10" s="26">
        <f t="shared" si="1"/>
        <v>1456</v>
      </c>
      <c r="L10" s="26">
        <f t="shared" si="2"/>
        <v>1400</v>
      </c>
      <c r="M10" s="26">
        <f t="shared" si="3"/>
        <v>1327.5</v>
      </c>
      <c r="N10" s="26">
        <f t="shared" si="4"/>
        <v>1400</v>
      </c>
      <c r="O10" s="421">
        <v>5</v>
      </c>
      <c r="P10" s="26">
        <v>1400</v>
      </c>
      <c r="Q10" s="430">
        <f t="shared" si="5"/>
        <v>19.600000000000001</v>
      </c>
      <c r="R10" s="26"/>
      <c r="S10" s="430"/>
      <c r="T10" s="430"/>
      <c r="U10" s="430"/>
      <c r="AB10" s="79"/>
      <c r="AC10" s="87"/>
      <c r="AD10" s="87"/>
      <c r="AE10" s="87"/>
      <c r="AF10" s="87"/>
      <c r="AK10" s="87"/>
    </row>
    <row r="11" spans="1:37" s="62" customFormat="1" ht="12.75">
      <c r="A11" s="421">
        <v>6</v>
      </c>
      <c r="B11" s="419">
        <v>20.399999999999999</v>
      </c>
      <c r="C11" s="427">
        <v>60</v>
      </c>
      <c r="D11" s="429">
        <v>75</v>
      </c>
      <c r="E11" s="429">
        <v>85</v>
      </c>
      <c r="F11" s="419"/>
      <c r="G11" s="419">
        <v>20</v>
      </c>
      <c r="H11" s="429">
        <v>60</v>
      </c>
      <c r="I11" s="429">
        <v>70</v>
      </c>
      <c r="J11" s="429">
        <v>80</v>
      </c>
      <c r="K11" s="26">
        <f t="shared" si="1"/>
        <v>1224</v>
      </c>
      <c r="L11" s="26">
        <f t="shared" si="2"/>
        <v>1200</v>
      </c>
      <c r="M11" s="26">
        <f t="shared" si="3"/>
        <v>1200</v>
      </c>
      <c r="N11" s="26">
        <f t="shared" si="4"/>
        <v>1200</v>
      </c>
      <c r="O11" s="421">
        <v>6</v>
      </c>
      <c r="P11" s="26"/>
      <c r="Q11" s="430">
        <f t="shared" si="5"/>
        <v>0</v>
      </c>
      <c r="R11" s="26"/>
      <c r="S11" s="26"/>
      <c r="T11" s="26"/>
      <c r="U11" s="26"/>
      <c r="AB11" s="79"/>
      <c r="AC11" s="87"/>
      <c r="AD11" s="87"/>
      <c r="AE11" s="87"/>
      <c r="AF11" s="87"/>
      <c r="AK11" s="87"/>
    </row>
    <row r="12" spans="1:37" s="62" customFormat="1" ht="12.75">
      <c r="A12" s="421">
        <v>7</v>
      </c>
      <c r="B12" s="419">
        <v>22.7</v>
      </c>
      <c r="C12" s="427">
        <v>60</v>
      </c>
      <c r="D12" s="429">
        <v>70</v>
      </c>
      <c r="E12" s="429">
        <v>80</v>
      </c>
      <c r="F12" s="419"/>
      <c r="G12" s="419">
        <v>22.3</v>
      </c>
      <c r="H12" s="429">
        <v>60</v>
      </c>
      <c r="I12" s="429">
        <v>70</v>
      </c>
      <c r="J12" s="429">
        <v>75</v>
      </c>
      <c r="K12" s="26">
        <f t="shared" si="1"/>
        <v>1362</v>
      </c>
      <c r="L12" s="26">
        <f t="shared" si="2"/>
        <v>1400</v>
      </c>
      <c r="M12" s="26">
        <f t="shared" si="3"/>
        <v>1338</v>
      </c>
      <c r="N12" s="26">
        <f t="shared" si="4"/>
        <v>1400</v>
      </c>
      <c r="O12" s="421">
        <v>7</v>
      </c>
      <c r="P12" s="26">
        <v>1600</v>
      </c>
      <c r="Q12" s="430">
        <f t="shared" si="5"/>
        <v>22.4</v>
      </c>
      <c r="R12" s="26"/>
      <c r="S12" s="26"/>
      <c r="T12" s="26"/>
      <c r="U12" s="430"/>
      <c r="AB12" s="79"/>
      <c r="AC12" s="87"/>
      <c r="AD12" s="87"/>
      <c r="AE12" s="87"/>
      <c r="AF12" s="87"/>
      <c r="AK12" s="87"/>
    </row>
    <row r="13" spans="1:37" s="62" customFormat="1" ht="12.75">
      <c r="A13" s="421">
        <v>8</v>
      </c>
      <c r="B13" s="419">
        <v>25.2</v>
      </c>
      <c r="C13" s="427">
        <v>60</v>
      </c>
      <c r="D13" s="429">
        <v>70</v>
      </c>
      <c r="E13" s="429">
        <v>80</v>
      </c>
      <c r="F13" s="419"/>
      <c r="G13" s="419">
        <v>25</v>
      </c>
      <c r="H13" s="429">
        <v>55</v>
      </c>
      <c r="I13" s="429">
        <v>65</v>
      </c>
      <c r="J13" s="429">
        <v>75</v>
      </c>
      <c r="K13" s="26">
        <f t="shared" si="1"/>
        <v>1512</v>
      </c>
      <c r="L13" s="26">
        <f t="shared" si="2"/>
        <v>1600</v>
      </c>
      <c r="M13" s="26">
        <f t="shared" si="3"/>
        <v>1375</v>
      </c>
      <c r="N13" s="26">
        <f t="shared" si="4"/>
        <v>1400</v>
      </c>
      <c r="O13" s="421">
        <v>8</v>
      </c>
      <c r="P13" s="26"/>
      <c r="Q13" s="430">
        <f t="shared" si="5"/>
        <v>0</v>
      </c>
      <c r="R13" s="26"/>
      <c r="S13" s="26"/>
      <c r="T13" s="26"/>
      <c r="U13" s="26"/>
      <c r="AB13" s="79"/>
      <c r="AC13" s="87"/>
      <c r="AD13" s="87"/>
      <c r="AE13" s="87"/>
      <c r="AF13" s="87"/>
      <c r="AK13" s="87"/>
    </row>
    <row r="14" spans="1:37" s="62" customFormat="1" ht="12.75">
      <c r="A14" s="421">
        <v>9</v>
      </c>
      <c r="B14" s="419">
        <v>28</v>
      </c>
      <c r="C14" s="427">
        <v>60</v>
      </c>
      <c r="D14" s="429">
        <v>70</v>
      </c>
      <c r="E14" s="429">
        <v>80</v>
      </c>
      <c r="F14" s="419"/>
      <c r="G14" s="419">
        <v>27.6</v>
      </c>
      <c r="H14" s="429">
        <v>55</v>
      </c>
      <c r="I14" s="429">
        <v>65</v>
      </c>
      <c r="J14" s="429">
        <v>75</v>
      </c>
      <c r="K14" s="26">
        <f t="shared" si="1"/>
        <v>1680</v>
      </c>
      <c r="L14" s="26">
        <f t="shared" si="2"/>
        <v>1600</v>
      </c>
      <c r="M14" s="26">
        <f t="shared" si="3"/>
        <v>1518</v>
      </c>
      <c r="N14" s="26">
        <f t="shared" si="4"/>
        <v>1600</v>
      </c>
      <c r="O14" s="421">
        <v>9</v>
      </c>
      <c r="P14" s="26">
        <v>1800</v>
      </c>
      <c r="Q14" s="430">
        <f t="shared" si="5"/>
        <v>25.2</v>
      </c>
      <c r="R14" s="26"/>
      <c r="S14" s="26"/>
      <c r="T14" s="26"/>
      <c r="U14" s="26"/>
      <c r="AB14" s="79"/>
      <c r="AC14" s="87"/>
      <c r="AD14" s="87"/>
      <c r="AE14" s="87"/>
      <c r="AF14" s="87"/>
      <c r="AK14" s="87"/>
    </row>
    <row r="15" spans="1:37" s="62" customFormat="1" ht="12.75">
      <c r="A15" s="421">
        <v>10</v>
      </c>
      <c r="B15" s="419">
        <v>30.8</v>
      </c>
      <c r="C15" s="427">
        <v>55</v>
      </c>
      <c r="D15" s="429">
        <v>65</v>
      </c>
      <c r="E15" s="429">
        <v>75</v>
      </c>
      <c r="F15" s="419"/>
      <c r="G15" s="419">
        <v>31.2</v>
      </c>
      <c r="H15" s="429">
        <v>50</v>
      </c>
      <c r="I15" s="429">
        <v>60</v>
      </c>
      <c r="J15" s="429">
        <v>70</v>
      </c>
      <c r="K15" s="26">
        <f t="shared" si="1"/>
        <v>1694</v>
      </c>
      <c r="L15" s="26">
        <f t="shared" si="2"/>
        <v>1600</v>
      </c>
      <c r="M15" s="26">
        <f t="shared" si="3"/>
        <v>1560</v>
      </c>
      <c r="N15" s="26">
        <f t="shared" si="4"/>
        <v>1600</v>
      </c>
      <c r="O15" s="421">
        <v>10</v>
      </c>
      <c r="P15" s="26"/>
      <c r="Q15" s="430">
        <f t="shared" si="5"/>
        <v>0</v>
      </c>
      <c r="R15" s="26"/>
      <c r="S15" s="26"/>
      <c r="T15" s="26"/>
      <c r="U15" s="26"/>
      <c r="AB15" s="79"/>
      <c r="AC15" s="87"/>
      <c r="AD15" s="87"/>
      <c r="AE15" s="87"/>
      <c r="AF15" s="87"/>
      <c r="AK15" s="87"/>
    </row>
    <row r="16" spans="1:37" s="62" customFormat="1" ht="12.75">
      <c r="A16" s="421">
        <v>11</v>
      </c>
      <c r="B16" s="419">
        <v>34.1</v>
      </c>
      <c r="C16" s="427">
        <v>55</v>
      </c>
      <c r="D16" s="429">
        <v>65</v>
      </c>
      <c r="E16" s="429">
        <v>75</v>
      </c>
      <c r="F16" s="419"/>
      <c r="G16" s="419">
        <v>34.799999999999997</v>
      </c>
      <c r="H16" s="429">
        <v>50</v>
      </c>
      <c r="I16" s="429">
        <v>60</v>
      </c>
      <c r="J16" s="429">
        <v>65</v>
      </c>
      <c r="K16" s="26">
        <f t="shared" si="1"/>
        <v>1875.5</v>
      </c>
      <c r="L16" s="26">
        <f t="shared" si="2"/>
        <v>1800</v>
      </c>
      <c r="M16" s="26">
        <f t="shared" si="3"/>
        <v>1739.9999999999998</v>
      </c>
      <c r="N16" s="26">
        <f t="shared" si="4"/>
        <v>1800</v>
      </c>
      <c r="O16" s="421">
        <v>11</v>
      </c>
      <c r="P16" s="430"/>
      <c r="Q16" s="430">
        <f t="shared" si="5"/>
        <v>0</v>
      </c>
      <c r="R16" s="430"/>
      <c r="S16" s="26"/>
      <c r="T16" s="26"/>
      <c r="U16" s="26"/>
      <c r="AB16" s="79"/>
      <c r="AC16" s="87"/>
      <c r="AD16" s="87"/>
      <c r="AE16" s="87"/>
      <c r="AF16" s="87"/>
      <c r="AK16" s="87"/>
    </row>
    <row r="17" spans="1:37" s="62" customFormat="1" ht="12.75">
      <c r="A17" s="421">
        <v>12</v>
      </c>
      <c r="B17" s="419">
        <v>38</v>
      </c>
      <c r="C17" s="427">
        <v>55</v>
      </c>
      <c r="D17" s="429">
        <v>60</v>
      </c>
      <c r="E17" s="429">
        <v>70</v>
      </c>
      <c r="F17" s="419"/>
      <c r="G17" s="419">
        <v>39</v>
      </c>
      <c r="H17" s="429">
        <v>50</v>
      </c>
      <c r="I17" s="429">
        <v>55</v>
      </c>
      <c r="J17" s="429">
        <v>65</v>
      </c>
      <c r="K17" s="26">
        <f t="shared" si="1"/>
        <v>2090</v>
      </c>
      <c r="L17" s="26">
        <f t="shared" si="2"/>
        <v>2000</v>
      </c>
      <c r="M17" s="26">
        <f t="shared" si="3"/>
        <v>1950</v>
      </c>
      <c r="N17" s="26">
        <f t="shared" si="4"/>
        <v>2000</v>
      </c>
      <c r="O17" s="421">
        <v>12</v>
      </c>
      <c r="P17" s="26">
        <v>2200</v>
      </c>
      <c r="Q17" s="430">
        <f t="shared" si="5"/>
        <v>30.8</v>
      </c>
      <c r="R17" s="26"/>
      <c r="S17" s="26"/>
      <c r="T17" s="26"/>
      <c r="U17" s="26"/>
      <c r="AB17" s="79"/>
      <c r="AC17" s="87"/>
      <c r="AD17" s="87"/>
      <c r="AE17" s="87"/>
      <c r="AF17" s="87"/>
      <c r="AK17" s="87"/>
    </row>
    <row r="18" spans="1:37" s="62" customFormat="1" ht="12.75">
      <c r="A18" s="421">
        <v>13</v>
      </c>
      <c r="B18" s="419">
        <v>43.3</v>
      </c>
      <c r="C18" s="427">
        <v>50</v>
      </c>
      <c r="D18" s="429">
        <v>60</v>
      </c>
      <c r="E18" s="429">
        <v>70</v>
      </c>
      <c r="F18" s="419"/>
      <c r="G18" s="419">
        <v>43.4</v>
      </c>
      <c r="H18" s="429">
        <v>45</v>
      </c>
      <c r="I18" s="429">
        <v>50</v>
      </c>
      <c r="J18" s="429">
        <v>60</v>
      </c>
      <c r="K18" s="26">
        <f t="shared" si="1"/>
        <v>2165</v>
      </c>
      <c r="L18" s="26">
        <f t="shared" si="2"/>
        <v>2200</v>
      </c>
      <c r="M18" s="26">
        <f t="shared" si="3"/>
        <v>1953</v>
      </c>
      <c r="N18" s="26">
        <f t="shared" si="4"/>
        <v>2000</v>
      </c>
      <c r="O18" s="421">
        <v>13</v>
      </c>
      <c r="P18" s="26"/>
      <c r="Q18" s="430">
        <f t="shared" si="5"/>
        <v>0</v>
      </c>
      <c r="R18" s="26"/>
      <c r="S18" s="26"/>
      <c r="T18" s="26"/>
      <c r="U18" s="26"/>
      <c r="AB18" s="79"/>
      <c r="AC18" s="87"/>
      <c r="AD18" s="87"/>
      <c r="AE18" s="87"/>
      <c r="AF18" s="87"/>
      <c r="AK18" s="87"/>
    </row>
    <row r="19" spans="1:37" s="62" customFormat="1" ht="12.75">
      <c r="A19" s="421">
        <v>14</v>
      </c>
      <c r="B19" s="419">
        <v>48</v>
      </c>
      <c r="C19" s="427">
        <v>50</v>
      </c>
      <c r="D19" s="429">
        <v>60</v>
      </c>
      <c r="E19" s="429">
        <v>65</v>
      </c>
      <c r="F19" s="419"/>
      <c r="G19" s="419">
        <v>47.1</v>
      </c>
      <c r="H19" s="429">
        <v>45</v>
      </c>
      <c r="I19" s="429">
        <v>50</v>
      </c>
      <c r="J19" s="429">
        <v>55</v>
      </c>
      <c r="K19" s="26">
        <f t="shared" si="1"/>
        <v>2400</v>
      </c>
      <c r="L19" s="26">
        <f t="shared" si="2"/>
        <v>2400</v>
      </c>
      <c r="M19" s="26">
        <f t="shared" si="3"/>
        <v>2119.5</v>
      </c>
      <c r="N19" s="26">
        <f t="shared" si="4"/>
        <v>2200</v>
      </c>
      <c r="O19" s="421">
        <v>14</v>
      </c>
      <c r="P19" s="26">
        <v>2600</v>
      </c>
      <c r="Q19" s="430">
        <f t="shared" si="5"/>
        <v>36.4</v>
      </c>
      <c r="R19" s="26"/>
      <c r="S19" s="430"/>
      <c r="T19" s="430"/>
      <c r="U19" s="430"/>
      <c r="AB19" s="79"/>
      <c r="AC19" s="87"/>
      <c r="AD19" s="87"/>
      <c r="AE19" s="87"/>
      <c r="AF19" s="87"/>
      <c r="AK19" s="87"/>
    </row>
    <row r="20" spans="1:37" s="62" customFormat="1" ht="12.75">
      <c r="A20" s="421">
        <v>15</v>
      </c>
      <c r="B20" s="419">
        <v>51.5</v>
      </c>
      <c r="C20" s="427">
        <v>50</v>
      </c>
      <c r="D20" s="429">
        <v>55</v>
      </c>
      <c r="E20" s="429">
        <v>65</v>
      </c>
      <c r="F20" s="419"/>
      <c r="G20" s="419">
        <v>49.4</v>
      </c>
      <c r="H20" s="429">
        <v>40</v>
      </c>
      <c r="I20" s="429">
        <v>50</v>
      </c>
      <c r="J20" s="429">
        <v>55</v>
      </c>
      <c r="K20" s="26">
        <f t="shared" si="1"/>
        <v>2575</v>
      </c>
      <c r="L20" s="26">
        <f t="shared" si="2"/>
        <v>2600</v>
      </c>
      <c r="M20" s="26">
        <f t="shared" si="3"/>
        <v>1976</v>
      </c>
      <c r="N20" s="26">
        <f t="shared" si="4"/>
        <v>2000</v>
      </c>
      <c r="O20" s="421">
        <v>15</v>
      </c>
      <c r="P20" s="26"/>
      <c r="Q20" s="430">
        <f t="shared" si="5"/>
        <v>0</v>
      </c>
      <c r="R20" s="430"/>
      <c r="S20" s="26"/>
      <c r="T20" s="26"/>
      <c r="U20" s="26"/>
      <c r="AB20" s="79"/>
      <c r="AC20" s="87"/>
      <c r="AD20" s="87"/>
      <c r="AE20" s="87"/>
      <c r="AF20" s="87"/>
      <c r="AK20" s="87"/>
    </row>
    <row r="21" spans="1:37" s="62" customFormat="1" ht="12.75">
      <c r="A21" s="421">
        <v>16</v>
      </c>
      <c r="B21" s="419">
        <v>54.3</v>
      </c>
      <c r="C21" s="427">
        <v>50</v>
      </c>
      <c r="D21" s="429">
        <v>55</v>
      </c>
      <c r="E21" s="429">
        <v>65</v>
      </c>
      <c r="F21" s="419"/>
      <c r="G21" s="419">
        <v>51.3</v>
      </c>
      <c r="H21" s="429">
        <v>40</v>
      </c>
      <c r="I21" s="429">
        <v>45</v>
      </c>
      <c r="J21" s="429">
        <v>55</v>
      </c>
      <c r="K21" s="26">
        <f t="shared" si="1"/>
        <v>2715</v>
      </c>
      <c r="L21" s="26">
        <f t="shared" si="2"/>
        <v>2800</v>
      </c>
      <c r="M21" s="26">
        <f t="shared" si="3"/>
        <v>2052</v>
      </c>
      <c r="N21" s="26">
        <f t="shared" si="4"/>
        <v>2000</v>
      </c>
      <c r="O21" s="421">
        <v>16</v>
      </c>
      <c r="P21" s="26">
        <v>2800</v>
      </c>
      <c r="Q21" s="430">
        <f t="shared" si="5"/>
        <v>39.200000000000003</v>
      </c>
      <c r="R21" s="430"/>
      <c r="S21" s="26"/>
      <c r="T21" s="430"/>
      <c r="U21" s="430"/>
      <c r="AB21" s="79"/>
      <c r="AC21" s="87"/>
      <c r="AD21" s="87"/>
      <c r="AE21" s="87"/>
      <c r="AF21" s="87"/>
      <c r="AK21" s="87"/>
    </row>
    <row r="22" spans="1:37" s="62" customFormat="1" ht="12.75">
      <c r="A22" s="429">
        <v>17</v>
      </c>
      <c r="B22" s="419">
        <v>56.5</v>
      </c>
      <c r="C22" s="427">
        <v>45</v>
      </c>
      <c r="D22" s="429">
        <v>55</v>
      </c>
      <c r="E22" s="429">
        <v>60</v>
      </c>
      <c r="F22" s="419"/>
      <c r="G22" s="419">
        <v>52.8</v>
      </c>
      <c r="H22" s="429">
        <v>40</v>
      </c>
      <c r="I22" s="429">
        <v>45</v>
      </c>
      <c r="J22" s="429">
        <v>55</v>
      </c>
      <c r="K22" s="26">
        <f t="shared" si="1"/>
        <v>2542.5</v>
      </c>
      <c r="L22" s="26">
        <f t="shared" si="2"/>
        <v>2600</v>
      </c>
      <c r="M22" s="26">
        <f t="shared" si="3"/>
        <v>2112</v>
      </c>
      <c r="N22" s="26">
        <f t="shared" si="4"/>
        <v>2200</v>
      </c>
      <c r="O22" s="429">
        <v>17</v>
      </c>
      <c r="P22" s="430"/>
      <c r="Q22" s="430"/>
      <c r="R22" s="26"/>
      <c r="S22" s="26"/>
      <c r="T22" s="26"/>
      <c r="U22" s="26"/>
      <c r="AB22" s="79"/>
      <c r="AC22" s="87"/>
      <c r="AD22" s="87"/>
      <c r="AE22" s="87"/>
      <c r="AF22" s="87"/>
      <c r="AK22" s="87"/>
    </row>
    <row r="23" spans="1:37" s="62" customFormat="1" ht="12.75">
      <c r="A23" s="419"/>
      <c r="B23" s="419"/>
      <c r="C23" s="419"/>
      <c r="D23" s="419"/>
      <c r="E23" s="419"/>
      <c r="F23" s="419"/>
      <c r="H23" s="419"/>
      <c r="I23" s="419"/>
      <c r="J23" s="419"/>
      <c r="K23" s="26"/>
      <c r="L23" s="431"/>
      <c r="M23" s="26"/>
      <c r="N23" s="26"/>
      <c r="O23" s="26"/>
      <c r="P23" s="26"/>
      <c r="Q23" s="26"/>
      <c r="R23" s="26"/>
      <c r="S23" s="26"/>
      <c r="T23" s="26"/>
      <c r="U23" s="26"/>
      <c r="AB23" s="85" t="s">
        <v>567</v>
      </c>
      <c r="AC23" s="87" t="s">
        <v>568</v>
      </c>
      <c r="AD23" s="85">
        <v>2318</v>
      </c>
      <c r="AE23" s="85">
        <v>2727</v>
      </c>
      <c r="AF23" s="87">
        <v>3485</v>
      </c>
      <c r="AG23" s="62" t="s">
        <v>350</v>
      </c>
      <c r="AH23" s="62">
        <v>1.63</v>
      </c>
      <c r="AI23" s="62" t="s">
        <v>569</v>
      </c>
      <c r="AJ23" s="62" t="s">
        <v>570</v>
      </c>
      <c r="AK23" s="87">
        <v>1.8</v>
      </c>
    </row>
    <row r="24" spans="1:37" s="62" customFormat="1" ht="15.75">
      <c r="A24" s="464" t="s">
        <v>571</v>
      </c>
      <c r="B24" s="464"/>
      <c r="C24" s="464"/>
      <c r="D24" s="464"/>
      <c r="AB24" s="85"/>
      <c r="AC24" s="87"/>
      <c r="AD24" s="85"/>
      <c r="AE24" s="85"/>
      <c r="AF24" s="87"/>
      <c r="AK24" s="87"/>
    </row>
    <row r="25" spans="1:37" s="62" customFormat="1" ht="12.75">
      <c r="A25" s="289" t="s">
        <v>113</v>
      </c>
      <c r="B25" s="418" t="str">
        <f>child!B5</f>
        <v>Male</v>
      </c>
      <c r="C25" s="432" t="str">
        <f>child!C5</f>
        <v>Male</v>
      </c>
      <c r="D25" s="432" t="str">
        <f>child!D5</f>
        <v>Female</v>
      </c>
      <c r="AB25" s="85"/>
      <c r="AC25" s="87"/>
      <c r="AD25" s="85"/>
      <c r="AE25" s="85"/>
      <c r="AF25" s="87"/>
      <c r="AK25" s="87"/>
    </row>
    <row r="26" spans="1:37" s="62" customFormat="1" ht="12.75">
      <c r="A26" s="289" t="s">
        <v>548</v>
      </c>
      <c r="B26" s="418">
        <f>child!B8</f>
        <v>56</v>
      </c>
      <c r="C26" s="418"/>
      <c r="D26" s="418"/>
      <c r="AB26" s="85"/>
      <c r="AC26" s="87"/>
      <c r="AD26" s="85"/>
      <c r="AE26" s="85"/>
      <c r="AF26" s="87"/>
      <c r="AK26" s="87"/>
    </row>
    <row r="27" spans="1:37" s="62" customFormat="1" ht="12.75">
      <c r="A27" s="289" t="s">
        <v>572</v>
      </c>
      <c r="B27" s="433">
        <f>child!B3</f>
        <v>15</v>
      </c>
      <c r="C27" s="418"/>
      <c r="D27" s="418"/>
      <c r="AB27" s="85"/>
      <c r="AC27" s="87"/>
      <c r="AD27" s="85"/>
      <c r="AE27" s="85"/>
      <c r="AF27" s="87"/>
      <c r="AK27" s="87"/>
    </row>
    <row r="28" spans="1:37" s="62" customFormat="1" ht="12.75">
      <c r="A28" s="289" t="s">
        <v>573</v>
      </c>
      <c r="B28" s="433">
        <f>B27*12+child!C3</f>
        <v>182</v>
      </c>
      <c r="C28" s="418"/>
      <c r="D28" s="418"/>
      <c r="AB28" s="85"/>
      <c r="AC28" s="87"/>
      <c r="AD28" s="85"/>
      <c r="AE28" s="85"/>
      <c r="AF28" s="87"/>
      <c r="AK28" s="87"/>
    </row>
    <row r="29" spans="1:37" s="62" customFormat="1">
      <c r="A29" s="434" t="s">
        <v>574</v>
      </c>
      <c r="B29" s="435" t="s">
        <v>575</v>
      </c>
      <c r="C29" s="435" t="s">
        <v>576</v>
      </c>
      <c r="D29" s="418"/>
      <c r="AB29" s="85"/>
      <c r="AC29" s="87"/>
      <c r="AD29" s="85"/>
      <c r="AE29" s="85"/>
      <c r="AF29" s="87"/>
      <c r="AK29" s="87"/>
    </row>
    <row r="30" spans="1:37" s="62" customFormat="1">
      <c r="A30" s="435"/>
      <c r="B30" s="435">
        <f>child!B7</f>
        <v>5</v>
      </c>
      <c r="C30" s="435">
        <f>child!C7</f>
        <v>1</v>
      </c>
      <c r="D30" s="418"/>
      <c r="AB30" s="85"/>
      <c r="AC30" s="87"/>
      <c r="AD30" s="85"/>
      <c r="AE30" s="85"/>
      <c r="AF30" s="87"/>
      <c r="AK30" s="87"/>
    </row>
    <row r="31" spans="1:37" s="62" customFormat="1">
      <c r="A31" s="435" t="s">
        <v>577</v>
      </c>
      <c r="B31" s="435">
        <f>((B30*12)+C30)*0.0254</f>
        <v>1.5493999999999999</v>
      </c>
      <c r="C31" s="435"/>
      <c r="D31" s="418"/>
      <c r="AB31" s="85"/>
      <c r="AC31" s="87"/>
      <c r="AD31" s="85"/>
      <c r="AE31" s="85"/>
      <c r="AF31" s="87"/>
      <c r="AK31" s="87"/>
    </row>
    <row r="32" spans="1:37" s="62" customFormat="1" ht="12.75">
      <c r="A32" s="289" t="s">
        <v>578</v>
      </c>
      <c r="B32" s="433">
        <f>B26/B31^2</f>
        <v>23.327109271794466</v>
      </c>
      <c r="C32" s="418"/>
      <c r="D32" s="418"/>
      <c r="AB32" s="85"/>
      <c r="AC32" s="87"/>
      <c r="AD32" s="85"/>
      <c r="AE32" s="85"/>
      <c r="AF32" s="87"/>
      <c r="AK32" s="87"/>
    </row>
    <row r="33" spans="1:38" s="62" customFormat="1" ht="12.75">
      <c r="A33" s="289" t="s">
        <v>515</v>
      </c>
      <c r="B33" s="418" t="str">
        <f>child!B18</f>
        <v>Moderate</v>
      </c>
      <c r="C33" s="418"/>
      <c r="D33" s="418"/>
      <c r="AB33" s="85"/>
      <c r="AC33" s="87"/>
      <c r="AD33" s="85"/>
      <c r="AE33" s="85"/>
      <c r="AF33" s="87"/>
      <c r="AK33" s="87"/>
    </row>
    <row r="34" spans="1:38" s="62" customFormat="1" ht="12.75">
      <c r="A34" s="418"/>
      <c r="B34" s="418"/>
      <c r="C34" s="418"/>
      <c r="D34" s="418"/>
      <c r="AB34" s="85"/>
      <c r="AC34" s="87"/>
      <c r="AD34" s="85"/>
      <c r="AE34" s="85"/>
      <c r="AF34" s="87"/>
      <c r="AK34" s="87"/>
    </row>
    <row r="35" spans="1:38">
      <c r="A35" s="436" t="s">
        <v>579</v>
      </c>
      <c r="B35" s="437" t="s">
        <v>141</v>
      </c>
      <c r="C35" s="437" t="s">
        <v>143</v>
      </c>
      <c r="D35" s="437" t="s">
        <v>580</v>
      </c>
    </row>
    <row r="36" spans="1:38" s="62" customFormat="1" ht="12.75">
      <c r="A36" s="436"/>
      <c r="B36" s="439">
        <f>IF($B$25="Male",LOOKUP($B$27,$A$6:$A$22,C6:C22),LOOKUP($B$27,$A$6:$A$22,H6:H22))</f>
        <v>50</v>
      </c>
      <c r="C36" s="439">
        <f>IF($B$25="Male",LOOKUP($B$27,$A$6:$A$22,D6:D22),LOOKUP($B$27,$A$6:$A$22,I6:I22))</f>
        <v>55</v>
      </c>
      <c r="D36" s="439">
        <f>IF(B25="Male",LOOKUP($B$27,$A$6:$A$22,E6:E22),LOOKUP($B$27,$A$6:$A$22,J6:J22))</f>
        <v>65</v>
      </c>
      <c r="AB36" s="85"/>
      <c r="AC36" s="87"/>
      <c r="AD36" s="85"/>
      <c r="AE36" s="85"/>
      <c r="AF36" s="87"/>
      <c r="AK36" s="87"/>
    </row>
    <row r="37" spans="1:38" s="62" customFormat="1" ht="15.75">
      <c r="A37" s="440" t="s">
        <v>581</v>
      </c>
      <c r="B37" s="440">
        <f>IF(B33=B35,B36,IF(B33=C35,C36,D36))</f>
        <v>55</v>
      </c>
      <c r="C37" s="441"/>
      <c r="D37" s="441"/>
      <c r="E37" s="442"/>
      <c r="F37" s="442"/>
      <c r="G37" s="442"/>
      <c r="AB37" s="85"/>
      <c r="AC37" s="87"/>
      <c r="AD37" s="85"/>
      <c r="AE37" s="85"/>
      <c r="AF37" s="87"/>
      <c r="AK37" s="87"/>
    </row>
    <row r="38" spans="1:38" s="62" customFormat="1" ht="15.75">
      <c r="A38" s="440" t="s">
        <v>582</v>
      </c>
      <c r="B38" s="440">
        <f>$B$37*$B$26</f>
        <v>3080</v>
      </c>
      <c r="C38" s="26"/>
      <c r="D38" s="26"/>
      <c r="AB38" s="85"/>
      <c r="AC38" s="87"/>
      <c r="AD38" s="85"/>
      <c r="AE38" s="85"/>
      <c r="AF38" s="87"/>
      <c r="AK38" s="87"/>
    </row>
    <row r="39" spans="1:38" s="62" customFormat="1" ht="12.75">
      <c r="AL39" s="62">
        <f>(1.53+1.8)/2</f>
        <v>1.665</v>
      </c>
    </row>
    <row r="40" spans="1:38" s="62" customFormat="1" ht="18.75">
      <c r="A40" s="443" t="s">
        <v>583</v>
      </c>
    </row>
    <row r="41" spans="1:38" s="62" customFormat="1" ht="12.75"/>
    <row r="42" spans="1:38" ht="30">
      <c r="A42" s="159" t="s">
        <v>584</v>
      </c>
      <c r="B42" s="131" t="s">
        <v>585</v>
      </c>
      <c r="C42" s="378" t="s">
        <v>541</v>
      </c>
      <c r="D42" s="378" t="s">
        <v>542</v>
      </c>
      <c r="E42" s="378" t="s">
        <v>543</v>
      </c>
      <c r="F42" s="378" t="s">
        <v>544</v>
      </c>
      <c r="G42" s="378" t="s">
        <v>545</v>
      </c>
      <c r="H42" s="378" t="s">
        <v>546</v>
      </c>
      <c r="I42" s="378" t="s">
        <v>547</v>
      </c>
    </row>
    <row r="43" spans="1:38">
      <c r="A43" s="131"/>
      <c r="B43" s="131" t="s">
        <v>538</v>
      </c>
      <c r="C43" s="131">
        <f>LOOKUP(child!$B$4,'BMI child'!$A$10:$A$165,'BMI child'!B10:B165)</f>
        <v>14.8</v>
      </c>
      <c r="D43" s="131">
        <f>LOOKUP(child!$B$4,'BMI child'!$A$10:$A$165,'BMI child'!C10:C165)</f>
        <v>16.100000000000001</v>
      </c>
      <c r="E43" s="131">
        <f>LOOKUP(child!$B$4,'BMI child'!$A$10:$A$165,'BMI child'!D10:D165)</f>
        <v>17.8</v>
      </c>
      <c r="F43" s="131">
        <f>LOOKUP(child!$B$4,'BMI child'!$A$10:$A$165,'BMI child'!E10:E165)</f>
        <v>19.899999999999999</v>
      </c>
      <c r="G43" s="131">
        <f>LOOKUP(child!$B$4,'BMI child'!$A$10:$A$165,'BMI child'!F10:F165)</f>
        <v>22.8</v>
      </c>
      <c r="H43" s="131">
        <f>LOOKUP(child!$B$4,'BMI child'!$A$10:$A$165,'BMI child'!G10:G165)</f>
        <v>27.1</v>
      </c>
      <c r="I43" s="131">
        <f>LOOKUP(child!$B$4,'BMI child'!$A$10:$A$165,'BMI child'!H10:H165)</f>
        <v>34.200000000000003</v>
      </c>
    </row>
    <row r="44" spans="1:38">
      <c r="A44" s="131"/>
      <c r="B44" s="131" t="s">
        <v>539</v>
      </c>
      <c r="C44" s="131">
        <f>LOOKUP(child!$B$4,'BMI child'!$A$10:$A$165,'BMI child'!I10:I165)</f>
        <v>14.4</v>
      </c>
      <c r="D44" s="131">
        <f>LOOKUP(child!$B$4,'BMI child'!$A$10:$A$165,'BMI child'!J10:J165)</f>
        <v>15.9</v>
      </c>
      <c r="E44" s="131">
        <f>LOOKUP(child!$B$4,'BMI child'!$A$10:$A$165,'BMI child'!K10:K165)</f>
        <v>17.8</v>
      </c>
      <c r="F44" s="131">
        <f>LOOKUP(child!$B$4,'BMI child'!$A$10:$A$165,'BMI child'!L10:L165)</f>
        <v>20.3</v>
      </c>
      <c r="G44" s="131">
        <f>LOOKUP(child!$B$4,'BMI child'!$A$10:$A$165,'BMI child'!M10:M165)</f>
        <v>23.6</v>
      </c>
      <c r="H44" s="131">
        <f>LOOKUP(child!$B$4,'BMI child'!$A$10:$A$165,'BMI child'!N10:N165)</f>
        <v>28.4</v>
      </c>
      <c r="I44" s="131">
        <f>LOOKUP(child!$B$4,'BMI child'!$A$10:$A$165,'BMI child'!O10:O165)</f>
        <v>35.700000000000003</v>
      </c>
    </row>
    <row r="45" spans="1:38" ht="45">
      <c r="A45" s="159" t="s">
        <v>586</v>
      </c>
      <c r="B45" s="131" t="s">
        <v>587</v>
      </c>
      <c r="C45" s="131">
        <f>LOOKUP(child!$B$4,'BMI child'!$A$171:$A$231,'BMI child'!B171:B231)</f>
        <v>12.4</v>
      </c>
      <c r="D45" s="131">
        <f>LOOKUP(child!$B$4,'BMI child'!$A$171:$A$231,'BMI child'!C171:C231)</f>
        <v>14.1</v>
      </c>
      <c r="E45" s="131">
        <f>LOOKUP(child!$B$4,'BMI child'!$A$171:$A$231,'BMI child'!D171:D231)</f>
        <v>16</v>
      </c>
      <c r="F45" s="131">
        <f>LOOKUP(child!$B$4,'BMI child'!$A$171:$A$231,'BMI child'!E171:E231)</f>
        <v>18.3</v>
      </c>
      <c r="G45" s="131">
        <f>LOOKUP(child!$B$4,'BMI child'!$A$171:$A$231,'BMI child'!F171:F231)</f>
        <v>21</v>
      </c>
      <c r="H45" s="131">
        <f>LOOKUP(child!$B$4,'BMI child'!$A$171:$A$231,'BMI child'!G171:G231)</f>
        <v>24.2</v>
      </c>
      <c r="I45" s="131">
        <f>LOOKUP(child!$B$4,'BMI child'!$A$171:$A$231,'BMI child'!H171:H231)</f>
        <v>27.9</v>
      </c>
    </row>
    <row r="46" spans="1:38">
      <c r="A46" s="131"/>
      <c r="B46" s="131"/>
      <c r="C46" s="131">
        <f>LOOKUP(child!$B$4,'BMI child'!$A$171:$A$231,'BMI child'!I171:I231)</f>
        <v>12.1</v>
      </c>
      <c r="D46" s="131">
        <f>LOOKUP(child!$B$4,'BMI child'!$A$171:$A$231,'BMI child'!J171:J231)</f>
        <v>13.7</v>
      </c>
      <c r="E46" s="131">
        <f>LOOKUP(child!$B$4,'BMI child'!$A$171:$A$231,'BMI child'!K171:K231)</f>
        <v>15.8</v>
      </c>
      <c r="F46" s="131">
        <f>LOOKUP(child!$B$4,'BMI child'!$A$171:$A$231,'BMI child'!L171:L231)</f>
        <v>18.2</v>
      </c>
      <c r="G46" s="131">
        <f>LOOKUP(child!$B$4,'BMI child'!$A$171:$A$231,'BMI child'!M171:M231)</f>
        <v>21.2</v>
      </c>
      <c r="H46" s="131">
        <f>LOOKUP(child!$B$4,'BMI child'!$A$171:$A$231,'BMI child'!N171:N231)</f>
        <v>24.9</v>
      </c>
      <c r="I46" s="131">
        <f>LOOKUP(child!$B$4,'BMI child'!$A$171:$A$231,'BMI child'!O171:O231)</f>
        <v>29.5</v>
      </c>
    </row>
    <row r="47" spans="1:38">
      <c r="A47" s="206" t="s">
        <v>588</v>
      </c>
      <c r="B47" s="206" t="str">
        <f>IF(child!B4&gt;60,'child TER'!B49,B48)</f>
        <v>overweight</v>
      </c>
      <c r="C47" s="131"/>
      <c r="D47" s="131"/>
      <c r="E47" s="131"/>
      <c r="F47" s="131"/>
      <c r="G47" s="131"/>
      <c r="H47" s="131"/>
      <c r="I47" s="131"/>
    </row>
    <row r="48" spans="1:38" ht="30">
      <c r="A48" s="257" t="s">
        <v>589</v>
      </c>
      <c r="B48" s="251" t="str">
        <f>IF(child!$B$5="Male",IF(child!$B$9&gt;'child TER'!H45,"obese",IF(child!$B$9&gt;='child TER'!G45,"overweight",IF(child!$B$9&gt;='child TER'!D45,"normal weight","underweight"))),IF(child!$B$9&gt;'child TER'!H46,"obese",IF(child!$B$9&gt;='child TER'!G46,"overweight",IF(child!$B$9&gt;='child TER'!D46,"normal weight","underweight"))))</f>
        <v>overweight</v>
      </c>
      <c r="C48" s="131"/>
      <c r="D48" s="131"/>
      <c r="E48" s="131"/>
      <c r="F48" s="131"/>
      <c r="G48" s="131"/>
      <c r="H48" s="131"/>
    </row>
    <row r="49" spans="1:8" ht="30">
      <c r="A49" s="257" t="s">
        <v>590</v>
      </c>
      <c r="B49" s="251" t="str">
        <f>IF(child!B5="Male",IF(child!$B$9&gt;'child TER'!H43,"obese",IF(child!$B$9&gt;='child TER'!G43,"overweight",IF(child!B9&gt;='child TER'!D43,"normal weight","underweight"))),IF(child!$B$9&gt;'child TER'!H44,"obese",IF(child!$B$9&gt;='child TER'!G44,"overweight",IF(child!$B$9&gt;='child TER'!D44,"normal weight","underweight"))))</f>
        <v>overweight</v>
      </c>
      <c r="C49" s="131"/>
      <c r="D49" s="131"/>
      <c r="E49" s="131"/>
      <c r="F49" s="131"/>
      <c r="G49" s="131"/>
      <c r="H49" s="131"/>
    </row>
    <row r="50" spans="1:8">
      <c r="A50" s="206" t="s">
        <v>591</v>
      </c>
      <c r="B50" s="131"/>
      <c r="C50" s="131"/>
      <c r="D50" s="131"/>
      <c r="E50" s="131"/>
      <c r="F50" s="131"/>
      <c r="G50" s="131"/>
      <c r="H50" s="131"/>
    </row>
    <row r="51" spans="1:8">
      <c r="A51" s="131" t="s">
        <v>538</v>
      </c>
      <c r="B51" s="131">
        <f>LOOKUP(child!$B$4,'BMI child'!$A$236:$A$452,'BMI child'!B236:B452)</f>
        <v>146.30000000000001</v>
      </c>
      <c r="C51" s="131">
        <f>LOOKUP(child!$B$4,'BMI child'!$A$236:$A$452,'BMI child'!C236:C452)</f>
        <v>154.1</v>
      </c>
      <c r="D51" s="131">
        <f>LOOKUP(child!$B$4,'BMI child'!$A$236:$A$452,'BMI child'!D236:D452)</f>
        <v>161.9</v>
      </c>
      <c r="E51" s="131">
        <f>LOOKUP(child!$B$4,'BMI child'!$A$236:$A$452,'BMI child'!E236:E452)</f>
        <v>169.7</v>
      </c>
      <c r="F51" s="131">
        <f>LOOKUP(child!$B$4,'BMI child'!$A$236:$A$452,'BMI child'!F236:F452)</f>
        <v>177.5</v>
      </c>
      <c r="G51" s="131">
        <f>LOOKUP(child!$B$4,'BMI child'!$A$236:$A$452,'BMI child'!G236:G452)</f>
        <v>185.4</v>
      </c>
      <c r="H51" s="131">
        <f>LOOKUP(child!$B$4,'BMI child'!$A$236:$A$452,'BMI child'!H236:H452)</f>
        <v>193.2</v>
      </c>
    </row>
    <row r="52" spans="1:8">
      <c r="A52" s="131" t="s">
        <v>539</v>
      </c>
      <c r="B52" s="131">
        <f>LOOKUP(child!$B$4,'BMI child'!$A$236:$A$452,'BMI child'!I236:I452)</f>
        <v>141.30000000000001</v>
      </c>
      <c r="C52" s="131">
        <f>LOOKUP(child!$B$4,'BMI child'!$A$236:$A$452,'BMI child'!J236:J452)</f>
        <v>148.1</v>
      </c>
      <c r="D52" s="131">
        <f>LOOKUP(child!$B$4,'BMI child'!$A$236:$A$452,'BMI child'!K236:K452)</f>
        <v>155</v>
      </c>
      <c r="E52" s="131">
        <f>LOOKUP(child!$B$4,'BMI child'!$A$236:$A$452,'BMI child'!L236:L452)</f>
        <v>161.9</v>
      </c>
      <c r="F52" s="131">
        <f>LOOKUP(child!$B$4,'BMI child'!$A$236:$A$452,'BMI child'!M236:M452)</f>
        <v>168.7</v>
      </c>
      <c r="G52" s="131">
        <f>LOOKUP(child!$B$4,'BMI child'!$A$236:$A$452,'BMI child'!N236:N452)</f>
        <v>175.6</v>
      </c>
      <c r="H52" s="131">
        <f>LOOKUP(child!$B$4,'BMI child'!$A$236:$A$452,'BMI child'!O236:O452)</f>
        <v>182.5</v>
      </c>
    </row>
    <row r="53" spans="1:8">
      <c r="A53" s="206" t="s">
        <v>592</v>
      </c>
      <c r="B53" s="206" t="str">
        <f>IF(child!B5="Male",IF(B31*100&lt;C51,"stunted","normal"),IF(B31*100&lt;C52,"stunted","normal"))</f>
        <v>normal</v>
      </c>
      <c r="C53" s="131"/>
      <c r="D53" s="131"/>
      <c r="E53" s="131"/>
      <c r="F53" s="131"/>
      <c r="G53" s="131"/>
      <c r="H53" s="131"/>
    </row>
    <row r="55" spans="1:8">
      <c r="A55" s="444" t="s">
        <v>593</v>
      </c>
    </row>
    <row r="56" spans="1:8">
      <c r="A56" s="445" t="s">
        <v>109</v>
      </c>
      <c r="B56" s="446" t="s">
        <v>594</v>
      </c>
      <c r="C56" s="447" t="s">
        <v>595</v>
      </c>
    </row>
    <row r="57" spans="1:8">
      <c r="A57" s="448">
        <v>1</v>
      </c>
      <c r="B57" s="449">
        <v>1.47</v>
      </c>
      <c r="C57" s="449">
        <v>1.47</v>
      </c>
    </row>
    <row r="58" spans="1:8">
      <c r="A58" s="448">
        <v>2</v>
      </c>
      <c r="B58" s="449">
        <v>1.25</v>
      </c>
      <c r="C58" s="449">
        <v>1.25</v>
      </c>
    </row>
    <row r="59" spans="1:8">
      <c r="A59" s="448">
        <v>3</v>
      </c>
      <c r="B59" s="449">
        <v>1.1599999999999999</v>
      </c>
      <c r="C59" s="449">
        <v>1.1599999999999999</v>
      </c>
    </row>
    <row r="60" spans="1:8">
      <c r="A60" s="448">
        <v>4</v>
      </c>
      <c r="B60" s="449">
        <v>1.1100000000000001</v>
      </c>
      <c r="C60" s="449">
        <v>1.1100000000000001</v>
      </c>
    </row>
    <row r="61" spans="1:8">
      <c r="A61" s="448">
        <v>5</v>
      </c>
      <c r="B61" s="449">
        <v>1.0900000000000001</v>
      </c>
      <c r="C61" s="449">
        <v>1.0900000000000001</v>
      </c>
    </row>
    <row r="62" spans="1:8">
      <c r="A62" s="448">
        <v>6</v>
      </c>
      <c r="B62" s="449">
        <v>1.1499999999999999</v>
      </c>
      <c r="C62" s="449">
        <v>1.1499999999999999</v>
      </c>
    </row>
    <row r="63" spans="1:8">
      <c r="A63" s="448">
        <v>7</v>
      </c>
      <c r="B63" s="449">
        <v>1.17</v>
      </c>
      <c r="C63" s="449">
        <v>1.17</v>
      </c>
    </row>
    <row r="64" spans="1:8">
      <c r="A64" s="448">
        <v>8</v>
      </c>
      <c r="B64" s="449">
        <v>1.18</v>
      </c>
      <c r="C64" s="449">
        <v>1.18</v>
      </c>
    </row>
    <row r="65" spans="1:12">
      <c r="A65" s="448">
        <v>9</v>
      </c>
      <c r="B65" s="449">
        <v>1.18</v>
      </c>
      <c r="C65" s="449">
        <v>1.18</v>
      </c>
    </row>
    <row r="66" spans="1:12" ht="54.75" customHeight="1">
      <c r="A66" s="448">
        <v>10</v>
      </c>
      <c r="B66" s="449">
        <v>1.18</v>
      </c>
      <c r="C66" s="449">
        <v>1.18</v>
      </c>
    </row>
    <row r="67" spans="1:12">
      <c r="A67" s="448">
        <v>11</v>
      </c>
      <c r="B67" s="449">
        <v>1.1599999999999999</v>
      </c>
      <c r="C67" s="449">
        <v>1.1499999999999999</v>
      </c>
    </row>
    <row r="68" spans="1:12">
      <c r="A68" s="448">
        <v>12</v>
      </c>
      <c r="B68" s="449">
        <v>1.1499999999999999</v>
      </c>
      <c r="C68" s="449">
        <v>1.1399999999999999</v>
      </c>
    </row>
    <row r="69" spans="1:12">
      <c r="A69" s="448">
        <v>13</v>
      </c>
      <c r="B69" s="449">
        <v>1.1499999999999999</v>
      </c>
      <c r="C69" s="449">
        <v>1.1299999999999999</v>
      </c>
    </row>
    <row r="70" spans="1:12">
      <c r="A70" s="448">
        <v>14</v>
      </c>
      <c r="B70" s="449">
        <v>1.1399999999999999</v>
      </c>
      <c r="C70" s="449">
        <v>1.1200000000000001</v>
      </c>
    </row>
    <row r="71" spans="1:12">
      <c r="A71" s="448">
        <v>15</v>
      </c>
      <c r="B71" s="449">
        <v>1.1299999999999999</v>
      </c>
      <c r="C71" s="449">
        <v>1.0900000000000001</v>
      </c>
    </row>
    <row r="72" spans="1:12">
      <c r="A72" s="448">
        <v>16</v>
      </c>
      <c r="B72" s="449">
        <v>1.1200000000000001</v>
      </c>
      <c r="C72" s="449">
        <v>1.07</v>
      </c>
    </row>
    <row r="73" spans="1:12">
      <c r="A73" s="448">
        <v>17</v>
      </c>
      <c r="B73" s="449">
        <v>1.1000000000000001</v>
      </c>
      <c r="C73" s="449">
        <v>1.06</v>
      </c>
    </row>
    <row r="74" spans="1:12">
      <c r="A74" s="450"/>
      <c r="B74" s="451"/>
      <c r="C74" s="452"/>
    </row>
    <row r="75" spans="1:12">
      <c r="A75" s="453"/>
      <c r="B75" s="452"/>
      <c r="C75" s="452"/>
    </row>
    <row r="76" spans="1:12">
      <c r="A76" s="453"/>
      <c r="B76" s="452"/>
      <c r="C76" s="452"/>
    </row>
    <row r="77" spans="1:12">
      <c r="A77" s="454" t="s">
        <v>596</v>
      </c>
    </row>
    <row r="78" spans="1:12">
      <c r="A78" s="455" t="s">
        <v>597</v>
      </c>
      <c r="B78" s="456"/>
      <c r="C78" s="26"/>
      <c r="D78" s="26"/>
      <c r="E78" s="26"/>
      <c r="F78" s="26"/>
      <c r="G78" s="26"/>
      <c r="H78" s="26"/>
      <c r="I78" s="26"/>
      <c r="J78" s="26"/>
      <c r="K78" s="452"/>
      <c r="L78" s="452"/>
    </row>
    <row r="79" spans="1:12">
      <c r="A79" s="455" t="s">
        <v>539</v>
      </c>
      <c r="B79" s="456"/>
      <c r="C79" s="26"/>
      <c r="D79" s="26"/>
      <c r="E79" s="26"/>
      <c r="F79" s="26"/>
      <c r="G79" s="26"/>
      <c r="H79" s="26"/>
      <c r="I79" s="26"/>
      <c r="J79" s="26"/>
      <c r="K79" s="452"/>
      <c r="L79" s="452"/>
    </row>
    <row r="80" spans="1:12">
      <c r="A80" s="455" t="s">
        <v>598</v>
      </c>
      <c r="B80" s="109" t="s">
        <v>597</v>
      </c>
      <c r="C80" s="456"/>
      <c r="D80" s="26"/>
      <c r="E80" s="26"/>
      <c r="F80" s="26"/>
      <c r="G80" s="26"/>
      <c r="H80" s="26"/>
      <c r="I80" s="26"/>
      <c r="J80" s="26"/>
      <c r="K80" s="26"/>
      <c r="L80" s="452"/>
    </row>
    <row r="81" spans="1:12">
      <c r="B81" s="109" t="s">
        <v>539</v>
      </c>
      <c r="C81" s="456"/>
      <c r="D81" s="26"/>
      <c r="E81" s="26"/>
      <c r="F81" s="26"/>
      <c r="G81" s="26"/>
      <c r="H81" s="26"/>
      <c r="I81" s="26"/>
      <c r="J81" s="26"/>
      <c r="K81" s="26"/>
      <c r="L81" s="452"/>
    </row>
    <row r="82" spans="1:12">
      <c r="B82" s="452"/>
      <c r="C82" s="452"/>
      <c r="D82" s="452"/>
      <c r="E82" s="452"/>
      <c r="F82" s="452"/>
      <c r="G82" s="452"/>
      <c r="H82" s="452"/>
      <c r="I82" s="452"/>
      <c r="J82" s="452"/>
      <c r="K82" s="452"/>
      <c r="L82" s="452"/>
    </row>
    <row r="86" spans="1:12">
      <c r="A86" s="62" t="s">
        <v>599</v>
      </c>
      <c r="B86" s="62"/>
      <c r="C86" s="62"/>
      <c r="D86" s="62"/>
    </row>
    <row r="87" spans="1:12">
      <c r="A87" s="62" t="s">
        <v>600</v>
      </c>
      <c r="B87" s="62" t="s">
        <v>601</v>
      </c>
      <c r="C87" s="62" t="s">
        <v>602</v>
      </c>
      <c r="D87" s="62" t="s">
        <v>603</v>
      </c>
    </row>
    <row r="88" spans="1:12">
      <c r="A88" s="62" t="s">
        <v>604</v>
      </c>
      <c r="B88" s="62" t="s">
        <v>601</v>
      </c>
      <c r="C88" s="62" t="s">
        <v>605</v>
      </c>
      <c r="D88" s="62" t="s">
        <v>606</v>
      </c>
    </row>
  </sheetData>
  <mergeCells count="3">
    <mergeCell ref="A2:D2"/>
    <mergeCell ref="A3:G3"/>
    <mergeCell ref="A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topLeftCell="A5" workbookViewId="0">
      <selection activeCell="B20" sqref="B20"/>
    </sheetView>
  </sheetViews>
  <sheetFormatPr defaultRowHeight="15"/>
  <cols>
    <col min="1" max="1" width="25.42578125" style="131" customWidth="1"/>
    <col min="2" max="2" width="15.7109375" style="131" customWidth="1"/>
    <col min="3" max="3" width="21.7109375" style="131" customWidth="1"/>
    <col min="4" max="4" width="27.140625" style="131" customWidth="1"/>
    <col min="5" max="16384" width="9.140625" style="131"/>
  </cols>
  <sheetData>
    <row r="1" spans="1:6" hidden="1">
      <c r="A1" s="206" t="s">
        <v>607</v>
      </c>
      <c r="B1" s="131" t="s">
        <v>608</v>
      </c>
      <c r="C1" s="435" t="str">
        <f>E1</f>
        <v>Male</v>
      </c>
      <c r="E1" s="131" t="s">
        <v>4</v>
      </c>
      <c r="F1" s="131" t="s">
        <v>3</v>
      </c>
    </row>
    <row r="2" spans="1:6">
      <c r="A2" s="434" t="s">
        <v>109</v>
      </c>
      <c r="B2" s="435" t="s">
        <v>609</v>
      </c>
      <c r="C2" s="435" t="s">
        <v>610</v>
      </c>
      <c r="D2" s="435"/>
    </row>
    <row r="3" spans="1:6">
      <c r="A3" s="435"/>
      <c r="B3" s="435">
        <v>15</v>
      </c>
      <c r="C3" s="435">
        <v>2</v>
      </c>
      <c r="D3" s="435"/>
    </row>
    <row r="4" spans="1:6">
      <c r="A4" s="435" t="s">
        <v>611</v>
      </c>
      <c r="B4" s="435">
        <f>B3*12+C3</f>
        <v>182</v>
      </c>
      <c r="C4" s="435"/>
      <c r="D4" s="435"/>
    </row>
    <row r="5" spans="1:6">
      <c r="A5" s="434" t="s">
        <v>113</v>
      </c>
      <c r="B5" s="435" t="s">
        <v>4</v>
      </c>
      <c r="C5" s="435" t="s">
        <v>4</v>
      </c>
      <c r="D5" s="435" t="s">
        <v>3</v>
      </c>
    </row>
    <row r="6" spans="1:6">
      <c r="A6" s="434" t="s">
        <v>574</v>
      </c>
      <c r="B6" s="435" t="s">
        <v>575</v>
      </c>
      <c r="C6" s="435" t="s">
        <v>576</v>
      </c>
      <c r="D6" s="435"/>
    </row>
    <row r="7" spans="1:6">
      <c r="A7" s="435"/>
      <c r="B7" s="435">
        <v>5</v>
      </c>
      <c r="C7" s="435">
        <v>1</v>
      </c>
      <c r="D7" s="435"/>
    </row>
    <row r="8" spans="1:6">
      <c r="A8" s="435" t="s">
        <v>612</v>
      </c>
      <c r="B8" s="435">
        <v>56</v>
      </c>
    </row>
    <row r="9" spans="1:6">
      <c r="A9" s="457" t="s">
        <v>578</v>
      </c>
      <c r="B9" s="458">
        <f>'child TER'!B32</f>
        <v>23.327109271794466</v>
      </c>
    </row>
    <row r="10" spans="1:6">
      <c r="A10" s="206" t="s">
        <v>583</v>
      </c>
    </row>
    <row r="11" spans="1:6">
      <c r="A11" s="459" t="s">
        <v>613</v>
      </c>
      <c r="B11" s="459" t="str">
        <f>'child TER'!B47</f>
        <v>overweight</v>
      </c>
    </row>
    <row r="12" spans="1:6">
      <c r="A12" s="459" t="s">
        <v>614</v>
      </c>
      <c r="B12" s="459" t="str">
        <f>'child TER'!B53</f>
        <v>normal</v>
      </c>
    </row>
    <row r="14" spans="1:6">
      <c r="A14" s="289" t="s">
        <v>615</v>
      </c>
      <c r="B14" s="418" t="s">
        <v>616</v>
      </c>
      <c r="C14" s="418"/>
      <c r="D14" s="418"/>
    </row>
    <row r="15" spans="1:6">
      <c r="A15" s="289"/>
      <c r="C15" s="418"/>
      <c r="D15" s="418"/>
    </row>
    <row r="16" spans="1:6">
      <c r="A16" s="418" t="s">
        <v>617</v>
      </c>
      <c r="B16" s="418" t="s">
        <v>141</v>
      </c>
      <c r="C16" s="418" t="s">
        <v>143</v>
      </c>
      <c r="D16" s="418" t="s">
        <v>580</v>
      </c>
    </row>
    <row r="17" spans="1:4" ht="107.25" customHeight="1">
      <c r="A17" s="96" t="s">
        <v>618</v>
      </c>
      <c r="B17" s="96" t="s">
        <v>619</v>
      </c>
      <c r="C17" s="96" t="s">
        <v>620</v>
      </c>
      <c r="D17" s="96" t="s">
        <v>621</v>
      </c>
    </row>
    <row r="18" spans="1:4" ht="15.75">
      <c r="A18" s="131" t="s">
        <v>515</v>
      </c>
      <c r="B18" s="460" t="s">
        <v>143</v>
      </c>
    </row>
    <row r="19" spans="1:4">
      <c r="A19" s="206" t="s">
        <v>622</v>
      </c>
      <c r="B19" s="131">
        <f>'child TER'!B38</f>
        <v>3080</v>
      </c>
    </row>
    <row r="20" spans="1:4">
      <c r="A20" s="457" t="s">
        <v>623</v>
      </c>
      <c r="B20" s="459">
        <f>MROUND('child TER'!B38,200)</f>
        <v>3000</v>
      </c>
    </row>
    <row r="21" spans="1:4">
      <c r="A21" s="206"/>
    </row>
    <row r="22" spans="1:4">
      <c r="A22" s="2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05"/>
  <sheetViews>
    <sheetView tabSelected="1" topLeftCell="B42" workbookViewId="0">
      <selection activeCell="D63" sqref="D63"/>
    </sheetView>
  </sheetViews>
  <sheetFormatPr defaultRowHeight="15"/>
  <cols>
    <col min="1" max="1" width="9.7109375" customWidth="1"/>
    <col min="2" max="2" width="42.28515625" customWidth="1"/>
    <col min="3" max="3" width="37.42578125" customWidth="1"/>
    <col min="4" max="4" width="25.42578125" customWidth="1"/>
    <col min="5" max="5" width="20.5703125" customWidth="1"/>
    <col min="6" max="6" width="19.85546875" customWidth="1"/>
    <col min="7" max="7" width="22.7109375" bestFit="1" customWidth="1"/>
  </cols>
  <sheetData>
    <row r="1" spans="2:11">
      <c r="B1" s="290"/>
      <c r="C1" s="113"/>
      <c r="D1" s="3"/>
      <c r="G1" s="4"/>
    </row>
    <row r="2" spans="2:11">
      <c r="B2" s="6" t="s">
        <v>0</v>
      </c>
      <c r="C2" s="2"/>
      <c r="D2" s="34"/>
      <c r="E2" s="12"/>
      <c r="G2" s="4"/>
    </row>
    <row r="3" spans="2:11">
      <c r="B3" s="8" t="s">
        <v>2</v>
      </c>
      <c r="C3" s="461" t="s">
        <v>624</v>
      </c>
      <c r="D3" s="34"/>
      <c r="E3" s="12"/>
      <c r="G3" s="4"/>
    </row>
    <row r="4" spans="2:11">
      <c r="C4" s="113"/>
      <c r="D4" s="34"/>
      <c r="E4" s="12"/>
      <c r="G4" s="4"/>
    </row>
    <row r="5" spans="2:11">
      <c r="B5" s="1" t="s">
        <v>476</v>
      </c>
      <c r="C5" s="2"/>
      <c r="D5" s="34"/>
      <c r="E5" s="12"/>
      <c r="G5" s="4"/>
    </row>
    <row r="6" spans="2:11">
      <c r="B6" s="289" t="s">
        <v>473</v>
      </c>
      <c r="C6" s="331" t="s">
        <v>4</v>
      </c>
      <c r="D6" s="34" t="s">
        <v>4</v>
      </c>
      <c r="E6" s="12" t="s">
        <v>3</v>
      </c>
      <c r="G6" s="4"/>
    </row>
    <row r="7" spans="2:11">
      <c r="B7" s="9" t="s">
        <v>474</v>
      </c>
      <c r="C7" s="332">
        <v>15</v>
      </c>
      <c r="D7" s="34"/>
      <c r="E7" s="12"/>
      <c r="G7" s="4"/>
    </row>
    <row r="8" spans="2:11">
      <c r="B8" s="9" t="s">
        <v>5</v>
      </c>
      <c r="C8" s="51"/>
      <c r="D8" s="3"/>
      <c r="G8" s="4"/>
    </row>
    <row r="9" spans="2:11">
      <c r="B9" s="10" t="s">
        <v>6</v>
      </c>
      <c r="C9" s="332">
        <v>5</v>
      </c>
      <c r="D9" s="3"/>
      <c r="G9" s="4"/>
    </row>
    <row r="10" spans="2:11">
      <c r="B10" s="10" t="s">
        <v>7</v>
      </c>
      <c r="C10" s="332">
        <v>1</v>
      </c>
      <c r="D10" s="3"/>
      <c r="G10" s="4"/>
    </row>
    <row r="11" spans="2:11">
      <c r="B11" s="9" t="s">
        <v>8</v>
      </c>
      <c r="C11" s="332">
        <v>56</v>
      </c>
      <c r="D11" s="3"/>
      <c r="G11" s="4"/>
    </row>
    <row r="12" spans="2:11" s="12" customFormat="1" hidden="1">
      <c r="B12" s="20" t="s">
        <v>9</v>
      </c>
      <c r="C12" s="13"/>
      <c r="D12" s="14"/>
      <c r="E12" s="13"/>
      <c r="F12" s="13"/>
      <c r="G12" s="15"/>
    </row>
    <row r="13" spans="2:11" s="288" customFormat="1" hidden="1">
      <c r="B13" s="334"/>
      <c r="C13" s="335"/>
      <c r="D13" s="286"/>
      <c r="E13" s="286"/>
      <c r="F13" s="286"/>
      <c r="G13" s="287"/>
    </row>
    <row r="14" spans="2:11" s="288" customFormat="1" hidden="1">
      <c r="B14" s="334"/>
      <c r="C14" s="335"/>
      <c r="D14" s="286"/>
      <c r="E14" s="286"/>
      <c r="F14" s="286"/>
      <c r="G14" s="287"/>
    </row>
    <row r="15" spans="2:11" s="288" customFormat="1" hidden="1">
      <c r="B15" s="334"/>
      <c r="C15" s="335"/>
      <c r="D15" s="286"/>
      <c r="E15" s="286"/>
      <c r="F15" s="286"/>
      <c r="G15" s="287"/>
    </row>
    <row r="16" spans="2:11" s="288" customFormat="1" hidden="1">
      <c r="B16" s="334"/>
      <c r="C16" s="335"/>
      <c r="H16" s="286"/>
      <c r="I16" s="286"/>
      <c r="J16" s="286"/>
      <c r="K16" s="286"/>
    </row>
    <row r="17" spans="2:38" s="288" customFormat="1" hidden="1">
      <c r="B17" s="334"/>
      <c r="C17" s="335"/>
      <c r="D17" s="286"/>
      <c r="E17" s="286"/>
      <c r="F17" s="286"/>
      <c r="G17" s="287"/>
    </row>
    <row r="18" spans="2:38" s="288" customFormat="1" hidden="1">
      <c r="B18" s="334"/>
      <c r="C18" s="335"/>
      <c r="D18" s="13"/>
      <c r="E18" s="13"/>
      <c r="F18" s="286"/>
      <c r="G18" s="287"/>
    </row>
    <row r="19" spans="2:38" s="12" customFormat="1">
      <c r="B19" s="20" t="s">
        <v>512</v>
      </c>
      <c r="C19" s="21">
        <f>Adults!B15</f>
        <v>23.327109271794466</v>
      </c>
      <c r="D19" s="22" t="s">
        <v>513</v>
      </c>
      <c r="E19" s="23" t="str">
        <f>Adults!B21</f>
        <v>44-55</v>
      </c>
    </row>
    <row r="20" spans="2:38" s="12" customFormat="1">
      <c r="B20" s="6" t="s">
        <v>1</v>
      </c>
      <c r="C20" s="25"/>
      <c r="D20" s="22"/>
      <c r="E20" s="23"/>
      <c r="G20" s="24"/>
    </row>
    <row r="21" spans="2:38">
      <c r="B21" s="9" t="s">
        <v>20</v>
      </c>
      <c r="C21" s="2"/>
      <c r="D21" s="3"/>
      <c r="G21" s="4"/>
    </row>
    <row r="22" spans="2:38" s="26" customFormat="1" ht="12.75">
      <c r="B22" s="27" t="s">
        <v>21</v>
      </c>
      <c r="C22" s="329"/>
      <c r="D22" s="329" t="s">
        <v>169</v>
      </c>
      <c r="E22" s="329" t="s">
        <v>514</v>
      </c>
      <c r="F22" s="329" t="s">
        <v>515</v>
      </c>
      <c r="G22" s="329"/>
      <c r="H22" s="28"/>
      <c r="I22" s="28"/>
      <c r="J22" s="28"/>
      <c r="K22" s="29"/>
      <c r="L22" s="29"/>
      <c r="M22" s="29"/>
      <c r="N22" s="29"/>
      <c r="O22" s="29"/>
      <c r="P22" s="29"/>
      <c r="Q22" s="29"/>
      <c r="AC22" s="30"/>
      <c r="AD22" s="31"/>
      <c r="AE22" s="30"/>
      <c r="AF22" s="30"/>
      <c r="AG22" s="32"/>
      <c r="AJ22" s="31"/>
      <c r="AK22" s="33"/>
      <c r="AL22" s="33"/>
    </row>
    <row r="23" spans="2:38" s="34" customFormat="1">
      <c r="B23" s="37" t="s">
        <v>22</v>
      </c>
      <c r="C23" s="15"/>
      <c r="D23" s="330">
        <v>2</v>
      </c>
      <c r="E23" s="15">
        <f>D23+D24</f>
        <v>3</v>
      </c>
      <c r="F23" s="15" t="str">
        <f>IF(E23=2, "Sedentary",IF(E23=3,"Mild",IF(E23=4,"Moderate",IF(E23&lt;=6,"Heavy","Extreme"))))</f>
        <v>Mild</v>
      </c>
      <c r="G23" s="15"/>
    </row>
    <row r="24" spans="2:38" s="12" customFormat="1">
      <c r="B24" s="9" t="s">
        <v>28</v>
      </c>
      <c r="C24" s="13"/>
      <c r="D24" s="96">
        <v>1</v>
      </c>
      <c r="E24" s="13"/>
      <c r="F24" s="13"/>
      <c r="G24" s="15"/>
    </row>
    <row r="25" spans="2:38" s="12" customFormat="1">
      <c r="B25" s="291" t="s">
        <v>186</v>
      </c>
      <c r="C25" s="327" t="str">
        <f>F23</f>
        <v>Mild</v>
      </c>
      <c r="D25" s="13"/>
      <c r="E25" s="13"/>
      <c r="F25" s="13"/>
      <c r="G25" s="15"/>
    </row>
    <row r="26" spans="2:38" s="12" customFormat="1">
      <c r="B26" s="291" t="s">
        <v>130</v>
      </c>
      <c r="C26" s="327">
        <f>Adults!B58</f>
        <v>1.55</v>
      </c>
      <c r="D26" s="13"/>
      <c r="E26" s="13"/>
      <c r="F26" s="13"/>
      <c r="G26" s="15"/>
    </row>
    <row r="27" spans="2:38" s="12" customFormat="1" ht="15.75">
      <c r="B27" s="296" t="s">
        <v>34</v>
      </c>
      <c r="C27" s="297">
        <f>IF(C3="Child",child!B20,IF(C33="yes",D33,Adults!B61))</f>
        <v>3000</v>
      </c>
      <c r="D27" s="34"/>
      <c r="G27" s="24"/>
    </row>
    <row r="28" spans="2:38" s="12" customFormat="1" ht="47.25">
      <c r="B28" s="298" t="s">
        <v>35</v>
      </c>
      <c r="C28" s="297">
        <f>MROUND(C27,200)</f>
        <v>3000</v>
      </c>
      <c r="D28" s="34"/>
      <c r="G28" s="24"/>
    </row>
    <row r="29" spans="2:38" s="12" customFormat="1" hidden="1">
      <c r="B29" s="14"/>
      <c r="C29" s="295"/>
      <c r="D29" s="34"/>
      <c r="G29" s="24"/>
    </row>
    <row r="30" spans="2:38" s="12" customFormat="1" hidden="1">
      <c r="B30" s="14"/>
      <c r="C30" s="295"/>
      <c r="D30" s="34"/>
      <c r="G30" s="24"/>
    </row>
    <row r="31" spans="2:38" s="12" customFormat="1" hidden="1">
      <c r="B31" s="14"/>
      <c r="C31" s="295"/>
      <c r="D31" s="34"/>
      <c r="G31" s="24"/>
    </row>
    <row r="32" spans="2:38" s="12" customFormat="1" hidden="1">
      <c r="B32" s="14"/>
      <c r="C32" s="36"/>
      <c r="D32" s="294"/>
      <c r="G32" s="24"/>
    </row>
    <row r="33" spans="1:12" s="12" customFormat="1">
      <c r="B33" s="8" t="s">
        <v>509</v>
      </c>
      <c r="C33" s="333" t="s">
        <v>311</v>
      </c>
      <c r="D33" s="36">
        <f>Adults!B61-500</f>
        <v>1760</v>
      </c>
      <c r="E33" s="325" t="s">
        <v>508</v>
      </c>
      <c r="F33" s="326">
        <f>ROUND(C11-((Adults!B11^2)*22.9),0)</f>
        <v>1</v>
      </c>
      <c r="G33" s="24"/>
    </row>
    <row r="34" spans="1:12" s="12" customFormat="1" hidden="1">
      <c r="B34" s="37" t="s">
        <v>36</v>
      </c>
      <c r="C34" s="36"/>
      <c r="D34" s="34"/>
      <c r="G34" s="24"/>
    </row>
    <row r="35" spans="1:12" s="12" customFormat="1" hidden="1">
      <c r="B35" s="37"/>
      <c r="C35" s="36"/>
      <c r="D35" s="34"/>
      <c r="G35" s="24"/>
    </row>
    <row r="36" spans="1:12" s="12" customFormat="1" hidden="1">
      <c r="B36" s="325" t="s">
        <v>506</v>
      </c>
      <c r="C36" s="326" t="s">
        <v>507</v>
      </c>
      <c r="D36" s="34"/>
      <c r="G36" s="24"/>
    </row>
    <row r="37" spans="1:12" s="12" customFormat="1" hidden="1">
      <c r="D37" s="34"/>
      <c r="G37" s="24"/>
    </row>
    <row r="38" spans="1:12" s="12" customFormat="1" hidden="1">
      <c r="B38" s="14"/>
      <c r="C38" s="36"/>
      <c r="D38" s="34"/>
      <c r="G38" s="24"/>
    </row>
    <row r="39" spans="1:12" s="12" customFormat="1">
      <c r="B39" s="14"/>
      <c r="C39" s="361"/>
      <c r="G39" s="24"/>
    </row>
    <row r="40" spans="1:12" s="12" customFormat="1">
      <c r="B40" s="14"/>
      <c r="C40" s="36"/>
      <c r="D40" s="34"/>
      <c r="G40" s="24"/>
    </row>
    <row r="41" spans="1:12" s="12" customFormat="1">
      <c r="B41" s="14"/>
      <c r="C41" s="36"/>
      <c r="D41" s="34"/>
      <c r="G41" s="24"/>
    </row>
    <row r="42" spans="1:12" s="12" customFormat="1">
      <c r="B42" s="14"/>
      <c r="C42" s="36"/>
      <c r="D42" s="34"/>
      <c r="G42" s="24"/>
    </row>
    <row r="43" spans="1:12" s="12" customFormat="1">
      <c r="B43" s="14"/>
      <c r="C43" s="36"/>
      <c r="D43" s="34"/>
      <c r="G43" s="24"/>
    </row>
    <row r="44" spans="1:12" s="12" customFormat="1">
      <c r="B44" s="14"/>
      <c r="C44" s="36"/>
      <c r="D44" s="34"/>
      <c r="G44" s="24"/>
    </row>
    <row r="45" spans="1:12" s="12" customFormat="1">
      <c r="B45" s="14" t="s">
        <v>37</v>
      </c>
      <c r="C45" s="36"/>
      <c r="D45" s="34"/>
      <c r="G45" s="24"/>
    </row>
    <row r="46" spans="1:12" s="12" customFormat="1" ht="15.75">
      <c r="B46" s="38" t="s">
        <v>477</v>
      </c>
      <c r="C46" s="39" t="s">
        <v>38</v>
      </c>
      <c r="D46" s="61" t="s">
        <v>478</v>
      </c>
      <c r="G46" s="24"/>
    </row>
    <row r="47" spans="1:12">
      <c r="A47" s="12"/>
      <c r="B47" s="14" t="s">
        <v>479</v>
      </c>
      <c r="C47" s="36"/>
      <c r="D47" s="34" t="s">
        <v>73</v>
      </c>
      <c r="E47" s="12"/>
      <c r="F47" s="12"/>
      <c r="G47" s="24"/>
      <c r="H47" s="12"/>
      <c r="I47" s="12"/>
      <c r="J47" s="12"/>
      <c r="K47" s="12"/>
      <c r="L47" s="12"/>
    </row>
    <row r="48" spans="1:12">
      <c r="A48" s="12"/>
      <c r="B48" s="14"/>
      <c r="C48" s="36"/>
      <c r="D48" s="55"/>
      <c r="E48" s="12"/>
      <c r="F48" s="12"/>
      <c r="G48" s="24"/>
      <c r="H48" s="12"/>
      <c r="I48" s="12"/>
      <c r="J48" s="12"/>
      <c r="K48" s="12"/>
      <c r="L48" s="12"/>
    </row>
    <row r="49" spans="1:12">
      <c r="A49" s="36">
        <v>1</v>
      </c>
      <c r="B49" s="37" t="s">
        <v>74</v>
      </c>
      <c r="C49" s="36">
        <v>3</v>
      </c>
      <c r="D49" s="12"/>
      <c r="E49" s="12"/>
      <c r="F49" s="12"/>
      <c r="G49" s="24"/>
      <c r="H49" s="12"/>
      <c r="I49" s="12"/>
      <c r="J49" s="12"/>
      <c r="K49" s="12"/>
      <c r="L49" s="12"/>
    </row>
    <row r="50" spans="1:12" ht="30">
      <c r="A50" s="12"/>
      <c r="B50" s="3" t="s">
        <v>75</v>
      </c>
      <c r="C50" s="3" t="s">
        <v>76</v>
      </c>
      <c r="D50" s="2">
        <v>1</v>
      </c>
      <c r="E50" s="12"/>
      <c r="F50" s="12"/>
      <c r="G50" s="24"/>
      <c r="H50" s="12"/>
      <c r="I50" s="12"/>
      <c r="J50" s="12"/>
      <c r="K50" s="12"/>
      <c r="L50" s="12"/>
    </row>
    <row r="51" spans="1:12">
      <c r="A51" s="12"/>
      <c r="C51" s="3" t="s">
        <v>77</v>
      </c>
      <c r="D51" s="2">
        <v>2</v>
      </c>
      <c r="E51" s="12"/>
      <c r="F51" s="12"/>
      <c r="G51" s="24"/>
      <c r="H51" s="12"/>
      <c r="I51" s="12"/>
      <c r="J51" s="12"/>
      <c r="K51" s="12"/>
      <c r="L51" s="12"/>
    </row>
    <row r="52" spans="1:12">
      <c r="A52" s="12"/>
      <c r="C52" t="s">
        <v>78</v>
      </c>
      <c r="D52" s="2">
        <v>3</v>
      </c>
      <c r="E52" s="12"/>
      <c r="F52" s="12"/>
      <c r="G52" s="24"/>
      <c r="H52" s="12"/>
      <c r="I52" s="12"/>
      <c r="J52" s="12"/>
      <c r="K52" s="12"/>
      <c r="L52" s="12"/>
    </row>
    <row r="53" spans="1:12">
      <c r="A53" s="53"/>
      <c r="B53" s="56" t="s">
        <v>79</v>
      </c>
      <c r="C53" s="465" t="s">
        <v>80</v>
      </c>
      <c r="D53" s="465"/>
      <c r="E53" s="465"/>
      <c r="F53" s="36"/>
      <c r="G53" s="300"/>
      <c r="H53" s="12"/>
      <c r="I53" s="12"/>
      <c r="J53" s="12"/>
      <c r="K53" s="12"/>
      <c r="L53" s="12"/>
    </row>
    <row r="54" spans="1:12">
      <c r="A54" s="53"/>
      <c r="B54" s="35" t="s">
        <v>81</v>
      </c>
      <c r="C54" s="52" t="s">
        <v>82</v>
      </c>
      <c r="D54" s="57" t="s">
        <v>83</v>
      </c>
      <c r="E54" s="52" t="s">
        <v>84</v>
      </c>
      <c r="F54" s="12"/>
      <c r="G54" s="12"/>
      <c r="H54" s="12"/>
      <c r="I54" s="12"/>
      <c r="J54" s="12"/>
      <c r="K54" s="12"/>
      <c r="L54" s="12"/>
    </row>
    <row r="55" spans="1:12">
      <c r="A55" s="53">
        <v>1</v>
      </c>
      <c r="B55" s="58" t="s">
        <v>85</v>
      </c>
      <c r="C55" s="347">
        <f>LOOKUP('I&amp;O'!$C$28,'Diet Chart'!$B$5:$M$5,'Diet Chart'!$B$8:$M$8)</f>
        <v>15</v>
      </c>
      <c r="D55" s="347">
        <f>LOOKUP($C$28,'Diet Chart'!$B$5:$M$5,'Diet Chart'!$B31:$M31)</f>
        <v>10</v>
      </c>
      <c r="E55" s="347">
        <f>LOOKUP($C$28,'Diet Chart'!$B$5:$M$5,'Diet Chart'!$B54:$M54)</f>
        <v>11</v>
      </c>
      <c r="F55" s="51"/>
      <c r="G55" s="24"/>
      <c r="H55" s="12"/>
      <c r="I55" s="12"/>
      <c r="J55" s="12"/>
      <c r="K55" s="12"/>
      <c r="L55" s="12"/>
    </row>
    <row r="56" spans="1:12">
      <c r="A56" s="53"/>
      <c r="B56" s="35"/>
      <c r="C56" s="347"/>
      <c r="D56" s="347"/>
      <c r="E56" s="348"/>
      <c r="F56" s="36"/>
      <c r="G56" s="24"/>
      <c r="H56" s="12"/>
      <c r="I56" s="12"/>
      <c r="J56" s="12"/>
      <c r="K56" s="12"/>
      <c r="L56" s="12"/>
    </row>
    <row r="57" spans="1:12">
      <c r="A57" s="52">
        <v>2</v>
      </c>
      <c r="B57" s="35" t="s">
        <v>87</v>
      </c>
      <c r="C57" s="347"/>
      <c r="D57" s="347"/>
      <c r="E57" s="348"/>
      <c r="F57" s="36"/>
      <c r="G57" s="24"/>
      <c r="H57" s="12"/>
      <c r="I57" s="12"/>
      <c r="J57" s="12"/>
      <c r="K57" s="12"/>
      <c r="L57" s="12"/>
    </row>
    <row r="58" spans="1:12">
      <c r="A58" s="53" t="s">
        <v>88</v>
      </c>
      <c r="B58" s="59" t="s">
        <v>89</v>
      </c>
      <c r="C58" s="347">
        <f>IF($C$49=1,LOOKUP($C$28,'Diet Chart'!$B$5:$M$5,'Diet Chart'!$B16:$M16),IF($C$49=2,LOOKUP($C$28,'Diet Chart'!$B$5:$M$5,'Diet Chart'!$B17:$M17),LOOKUP($C$28,'Diet Chart'!$B$5:$M$5,'Diet Chart'!$B22:$M22)))</f>
        <v>5</v>
      </c>
      <c r="D58" s="347">
        <f>IF($C$49=1,LOOKUP($C$28,'Diet Chart'!$B$5:$M$5,'Diet Chart'!$B39:$M39),IF($C$49=2,LOOKUP($C$28,'Diet Chart'!$B$5:$M$5,'Diet Chart'!$B40:$M40),LOOKUP($C$28,'Diet Chart'!$B$5:$M$5,'Diet Chart'!$B45:$M45)))</f>
        <v>3</v>
      </c>
      <c r="E58" s="347">
        <f>IF($C$49=1,LOOKUP($C$28,'Diet Chart'!$B$5:$M$5,'Diet Chart'!$B62:$M62),IF($C$49=2,LOOKUP($C$28,'Diet Chart'!$B$5:$M$5,'Diet Chart'!$B63:$M63),LOOKUP($C$28,'Diet Chart'!$B$5:$M$5,'Diet Chart'!$B68:$M68)))</f>
        <v>2.5</v>
      </c>
      <c r="F58" s="51"/>
      <c r="G58" s="24"/>
      <c r="H58" s="12"/>
      <c r="I58" s="12"/>
      <c r="J58" s="12"/>
      <c r="K58" s="12"/>
      <c r="L58" s="12"/>
    </row>
    <row r="59" spans="1:12">
      <c r="A59" s="53" t="s">
        <v>90</v>
      </c>
      <c r="B59" s="60" t="s">
        <v>91</v>
      </c>
      <c r="C59" s="347">
        <f>IF($C$49=1,LOOKUP($C$28,'Diet Chart'!$B$5:$M$5,'Diet Chart'!$B15:$M15),IF($C$49=2,0,LOOKUP($C$28,'Diet Chart'!$B$5:$M$5,'Diet Chart'!$B21:$M21)))</f>
        <v>3</v>
      </c>
      <c r="D59" s="347">
        <f>IF($C$49=1,LOOKUP($C$28,'Diet Chart'!$B$5:$M$5,'Diet Chart'!$B38:$M38),IF($C$49=2,0,LOOKUP($C$28,'Diet Chart'!$B$5:$M$5,'Diet Chart'!$B44:$M44)))</f>
        <v>3</v>
      </c>
      <c r="E59" s="347">
        <f>IF($C$49=1,LOOKUP($C$28,'Diet Chart'!$B$5:$M$5,'Diet Chart'!$B61:$M61),IF($C$49=2,0,LOOKUP($C$28,'Diet Chart'!$B$5:$M$5,'Diet Chart'!$B67:$M67)))</f>
        <v>2</v>
      </c>
      <c r="F59" s="36"/>
      <c r="G59" s="24"/>
      <c r="H59" s="12"/>
      <c r="I59" s="12"/>
      <c r="J59" s="12"/>
      <c r="K59" s="12"/>
      <c r="L59" s="12"/>
    </row>
    <row r="60" spans="1:12">
      <c r="A60" s="53" t="s">
        <v>92</v>
      </c>
      <c r="B60" s="60" t="s">
        <v>93</v>
      </c>
      <c r="C60" s="347">
        <f>IF(C49=3,LOOKUP($C$28,'Diet Chart'!$B$5:$M$5,'Diet Chart'!$B20:$M20),0)</f>
        <v>4</v>
      </c>
      <c r="D60" s="347">
        <f>IF(C49=3,LOOKUP($C$28,'Diet Chart'!$B$5:$M$5,'Diet Chart'!$B43:$M43),0)</f>
        <v>5.5</v>
      </c>
      <c r="E60" s="347">
        <f>IF(C49=3,LOOKUP($C$28,'Diet Chart'!$B$5:$M$5,'Diet Chart'!$B66:$M66),0)</f>
        <v>5</v>
      </c>
      <c r="F60" s="36"/>
      <c r="G60" s="24"/>
      <c r="H60" s="12"/>
      <c r="I60" s="12"/>
      <c r="J60" s="12"/>
      <c r="K60" s="12"/>
      <c r="L60" s="12"/>
    </row>
    <row r="61" spans="1:12">
      <c r="A61" s="53" t="s">
        <v>94</v>
      </c>
      <c r="B61" s="60" t="s">
        <v>516</v>
      </c>
      <c r="C61" s="347">
        <v>0</v>
      </c>
      <c r="D61" s="347">
        <f>IF(C49=3,LOOKUP($C$28,'Diet Chart'!$B$5:$M$5,'Diet Chart'!$B46:$M46),0)</f>
        <v>7</v>
      </c>
      <c r="E61" s="347">
        <f>IF(C49=3,LOOKUP($C$28,'Diet Chart'!$B$5:$M$5,'Diet Chart'!$B69:$M69),0)</f>
        <v>10</v>
      </c>
      <c r="F61" s="36"/>
      <c r="G61" s="24"/>
      <c r="H61" s="12"/>
      <c r="I61" s="12"/>
      <c r="J61" s="12"/>
      <c r="K61" s="12"/>
      <c r="L61" s="12"/>
    </row>
    <row r="62" spans="1:12">
      <c r="A62" s="53" t="s">
        <v>95</v>
      </c>
      <c r="B62" s="60" t="s">
        <v>96</v>
      </c>
      <c r="C62" s="347">
        <v>0</v>
      </c>
      <c r="D62" s="347">
        <f>IF(C49&lt;3,LOOKUP($C$28,'Diet Chart'!$B$5:$M$5,'Diet Chart'!$B41:$M41),0)</f>
        <v>0</v>
      </c>
      <c r="E62" s="347">
        <f>IF(C49&lt;3,LOOKUP($C$28,'Diet Chart'!$B$5:$M$5,'Diet Chart'!$B64:$M64),0)</f>
        <v>0</v>
      </c>
      <c r="F62" s="144"/>
      <c r="G62" s="24"/>
      <c r="H62" s="12"/>
      <c r="I62" s="12"/>
      <c r="J62" s="12"/>
      <c r="K62" s="12"/>
      <c r="L62" s="12"/>
    </row>
    <row r="63" spans="1:12">
      <c r="A63" s="52">
        <v>3</v>
      </c>
      <c r="B63" s="35" t="s">
        <v>97</v>
      </c>
      <c r="C63" s="347">
        <f>IF($C$49&lt;3,LOOKUP($C$28,'Diet Chart'!$B$5:$M$5,'Diet Chart'!$B11:$M11),LOOKUP($C$28,'Diet Chart'!$B$5:$M$5,'Diet Chart'!$B12:$M12))</f>
        <v>0</v>
      </c>
      <c r="D63" s="347">
        <v>0</v>
      </c>
      <c r="E63" s="347">
        <f>IF($C$49&lt;3,LOOKUP($C$28,'Diet Chart'!$B$5:$M$5,'Diet Chart'!$B57:$M57),LOOKUP($C$28,'Diet Chart'!$B$5:$M$5,'Diet Chart'!$B58:$M58))</f>
        <v>1.5</v>
      </c>
      <c r="F63" s="144"/>
      <c r="G63" s="24"/>
      <c r="H63" s="12"/>
      <c r="I63" s="12"/>
      <c r="J63" s="12"/>
      <c r="K63" s="12"/>
      <c r="L63" s="12"/>
    </row>
    <row r="64" spans="1:12">
      <c r="A64" s="53">
        <v>4</v>
      </c>
      <c r="B64" s="35" t="s">
        <v>99</v>
      </c>
      <c r="C64" s="347">
        <f>LOOKUP($C$28,'Diet Chart'!$B$5:$M$5,'Diet Chart'!$B13:$M13)</f>
        <v>2</v>
      </c>
      <c r="D64" s="347">
        <f>LOOKUP($C$28,'Diet Chart'!$B$5:$M$5,'Diet Chart'!$B36:$M36)</f>
        <v>3</v>
      </c>
      <c r="E64" s="347">
        <f>LOOKUP($C$28,'Diet Chart'!$B$5:$M$5,'Diet Chart'!$B59:$M59)</f>
        <v>3</v>
      </c>
      <c r="F64" s="144"/>
      <c r="G64" s="24"/>
      <c r="H64" s="12"/>
      <c r="I64" s="12"/>
      <c r="J64" s="12"/>
      <c r="K64" s="12"/>
      <c r="L64" s="12"/>
    </row>
    <row r="65" spans="1:12">
      <c r="A65" s="53">
        <v>5</v>
      </c>
      <c r="B65" s="35" t="s">
        <v>101</v>
      </c>
      <c r="C65" s="347">
        <f>LOOKUP($C$28,'Diet Chart'!$B$5:$M$5,'Diet Chart'!$B9:$M9)</f>
        <v>5</v>
      </c>
      <c r="D65" s="347">
        <f>LOOKUP($C$28,'Diet Chart'!$B$5:$M$5,'Diet Chart'!$B32:$M32)</f>
        <v>8</v>
      </c>
      <c r="E65" s="347">
        <f>LOOKUP($C$28,'Diet Chart'!$B$5:$M$5,'Diet Chart'!$B55:$M55)</f>
        <v>6</v>
      </c>
      <c r="F65" s="144"/>
      <c r="G65" s="24"/>
      <c r="H65" s="12"/>
      <c r="I65" s="12"/>
      <c r="J65" s="12"/>
      <c r="K65" s="12"/>
      <c r="L65" s="12"/>
    </row>
    <row r="66" spans="1:12">
      <c r="A66" s="53">
        <v>6</v>
      </c>
      <c r="B66" s="35" t="s">
        <v>102</v>
      </c>
      <c r="C66" s="347">
        <f>LOOKUP($C$28,'Diet Chart'!$B$5:$M$5,'Diet Chart'!$B10:$M10)</f>
        <v>1.5</v>
      </c>
      <c r="D66" s="347">
        <f>LOOKUP($C$28,'Diet Chart'!$B$5:$M$5,'Diet Chart'!$B33:$M33)</f>
        <v>5</v>
      </c>
      <c r="E66" s="347">
        <f>LOOKUP($C$28,'Diet Chart'!$B$5:$M$5,'Diet Chart'!$B56:$M56)</f>
        <v>6</v>
      </c>
      <c r="F66" s="144"/>
      <c r="G66" s="24"/>
      <c r="H66" s="12"/>
      <c r="I66" s="12"/>
      <c r="J66" s="12"/>
      <c r="K66" s="12"/>
      <c r="L66" s="12"/>
    </row>
    <row r="67" spans="1:12">
      <c r="A67" s="53">
        <v>7</v>
      </c>
      <c r="B67" s="35" t="s">
        <v>103</v>
      </c>
      <c r="C67" s="347">
        <f>IF($C$49&lt;3,LOOKUP($C$28,'Diet Chart'!$B$5:$M$5,'Diet Chart'!$B24:$M24),LOOKUP($C$28,'Diet Chart'!$B$5:$M$5,'Diet Chart'!$B25:$M25))</f>
        <v>12</v>
      </c>
      <c r="D67" s="347">
        <f>IF($C$49&lt;3,LOOKUP($C$28,'Diet Chart'!$B$5:$M$5,'Diet Chart'!$B47:$M47),LOOKUP($C$28,'Diet Chart'!$B$5:$M$5,'Diet Chart'!$B48:$M48))</f>
        <v>12</v>
      </c>
      <c r="E67" s="347">
        <f>IF($C$49&lt;3,LOOKUP($C$28,'Diet Chart'!$B$5:$M$5,'Diet Chart'!$B70:$M70),LOOKUP($C$28,'Diet Chart'!$B$5:$M$5,'Diet Chart'!$B71:$M71))</f>
        <v>7</v>
      </c>
      <c r="F67" s="144"/>
      <c r="G67" s="24"/>
      <c r="H67" s="12"/>
      <c r="I67" s="12"/>
      <c r="J67" s="12"/>
      <c r="K67" s="12"/>
      <c r="L67" s="12"/>
    </row>
    <row r="68" spans="1:12" s="12" customFormat="1">
      <c r="B68" s="110" t="s">
        <v>199</v>
      </c>
      <c r="C68" s="36"/>
      <c r="D68" s="34"/>
      <c r="G68" s="24"/>
    </row>
    <row r="69" spans="1:12" s="12" customFormat="1">
      <c r="B69" s="111" t="s">
        <v>200</v>
      </c>
      <c r="C69" s="51"/>
      <c r="D69" s="34"/>
      <c r="E69" s="112"/>
      <c r="G69" s="24"/>
    </row>
    <row r="70" spans="1:12">
      <c r="B70" s="1"/>
      <c r="D70" s="3"/>
      <c r="F70" s="12"/>
      <c r="G70" s="24"/>
      <c r="H70" s="12"/>
      <c r="I70" s="12"/>
      <c r="J70" s="12"/>
    </row>
    <row r="71" spans="1:12">
      <c r="A71">
        <v>1</v>
      </c>
      <c r="B71" s="36" t="s">
        <v>201</v>
      </c>
      <c r="C71" s="113">
        <f>C49</f>
        <v>3</v>
      </c>
      <c r="D71" s="2"/>
      <c r="F71" s="12"/>
      <c r="G71" s="24"/>
      <c r="H71" s="12"/>
      <c r="I71" s="12"/>
      <c r="J71" s="12"/>
    </row>
    <row r="72" spans="1:12" ht="30">
      <c r="B72" s="3" t="s">
        <v>75</v>
      </c>
      <c r="C72" s="3" t="s">
        <v>76</v>
      </c>
      <c r="D72" s="2">
        <v>1</v>
      </c>
      <c r="F72" s="12"/>
      <c r="G72" s="24"/>
      <c r="H72" s="12"/>
      <c r="I72" s="12"/>
      <c r="J72" s="12"/>
    </row>
    <row r="73" spans="1:12">
      <c r="C73" s="3" t="s">
        <v>77</v>
      </c>
      <c r="D73" s="2">
        <v>2</v>
      </c>
      <c r="F73" s="12"/>
      <c r="G73" s="24"/>
      <c r="H73" s="12"/>
      <c r="I73" s="12"/>
      <c r="J73" s="12"/>
    </row>
    <row r="74" spans="1:12">
      <c r="C74" t="s">
        <v>78</v>
      </c>
      <c r="D74" s="2">
        <v>3</v>
      </c>
      <c r="F74" s="12"/>
      <c r="G74" s="24"/>
      <c r="H74" s="12"/>
      <c r="I74" s="12"/>
      <c r="J74" s="12"/>
    </row>
    <row r="75" spans="1:12">
      <c r="A75">
        <v>2</v>
      </c>
      <c r="B75" s="122" t="s">
        <v>202</v>
      </c>
      <c r="D75" s="3"/>
      <c r="F75" s="12"/>
      <c r="G75" s="24"/>
      <c r="H75" s="12"/>
      <c r="I75" s="12"/>
      <c r="J75" s="12"/>
    </row>
    <row r="76" spans="1:12" ht="30">
      <c r="D76" s="114" t="s">
        <v>203</v>
      </c>
      <c r="F76" s="12"/>
      <c r="G76" s="24"/>
      <c r="H76" s="12"/>
      <c r="I76" s="12"/>
      <c r="J76" s="12"/>
    </row>
    <row r="77" spans="1:12">
      <c r="C77" s="115" t="s">
        <v>204</v>
      </c>
      <c r="D77" s="116" t="s">
        <v>205</v>
      </c>
      <c r="E77" s="115"/>
      <c r="G77" s="4"/>
    </row>
    <row r="78" spans="1:12">
      <c r="C78" s="115" t="s">
        <v>206</v>
      </c>
      <c r="D78" s="7"/>
      <c r="E78" s="115"/>
      <c r="G78" s="4"/>
    </row>
    <row r="79" spans="1:12">
      <c r="C79" s="115"/>
      <c r="D79" s="3"/>
      <c r="G79" s="4"/>
    </row>
    <row r="80" spans="1:12">
      <c r="A80">
        <v>3</v>
      </c>
      <c r="B80" s="117" t="s">
        <v>484</v>
      </c>
      <c r="D80" s="3"/>
      <c r="G80" s="4"/>
    </row>
    <row r="81" spans="1:7" ht="60">
      <c r="B81" s="3" t="s">
        <v>208</v>
      </c>
      <c r="C81" s="1"/>
      <c r="D81" s="114" t="s">
        <v>203</v>
      </c>
      <c r="G81" s="4"/>
    </row>
    <row r="82" spans="1:7">
      <c r="C82" s="118" t="s">
        <v>480</v>
      </c>
      <c r="D82" s="7"/>
      <c r="E82" s="115"/>
      <c r="G82" s="4"/>
    </row>
    <row r="83" spans="1:7">
      <c r="C83" s="118" t="s">
        <v>481</v>
      </c>
      <c r="D83" s="7"/>
      <c r="E83" s="115"/>
      <c r="G83" s="4"/>
    </row>
    <row r="84" spans="1:7">
      <c r="C84" s="119" t="s">
        <v>482</v>
      </c>
      <c r="D84" s="7"/>
      <c r="E84" s="115"/>
      <c r="G84" s="4"/>
    </row>
    <row r="85" spans="1:7">
      <c r="C85" s="118" t="s">
        <v>212</v>
      </c>
      <c r="D85" s="7"/>
      <c r="E85" s="115"/>
      <c r="G85" s="4"/>
    </row>
    <row r="86" spans="1:7">
      <c r="C86" s="118" t="s">
        <v>213</v>
      </c>
      <c r="D86" s="7"/>
      <c r="E86" s="115"/>
      <c r="G86" s="4"/>
    </row>
    <row r="87" spans="1:7">
      <c r="B87" s="1"/>
      <c r="C87" s="118" t="s">
        <v>214</v>
      </c>
      <c r="D87" s="7" t="s">
        <v>205</v>
      </c>
      <c r="E87" s="115"/>
      <c r="G87" s="4"/>
    </row>
    <row r="88" spans="1:7" ht="90">
      <c r="B88" s="1"/>
      <c r="C88" s="301" t="s">
        <v>483</v>
      </c>
      <c r="D88" s="7"/>
      <c r="E88" s="302" t="s">
        <v>510</v>
      </c>
      <c r="G88" s="4"/>
    </row>
    <row r="89" spans="1:7" ht="48.75" customHeight="1">
      <c r="A89">
        <v>4</v>
      </c>
      <c r="B89" s="120" t="s">
        <v>215</v>
      </c>
      <c r="D89" s="114" t="s">
        <v>203</v>
      </c>
      <c r="G89" s="3"/>
    </row>
    <row r="90" spans="1:7">
      <c r="C90" s="115" t="s">
        <v>216</v>
      </c>
      <c r="D90" s="7"/>
      <c r="G90" s="121"/>
    </row>
    <row r="91" spans="1:7">
      <c r="C91" s="115" t="s">
        <v>217</v>
      </c>
      <c r="D91" s="7" t="s">
        <v>205</v>
      </c>
      <c r="G91" s="121"/>
    </row>
    <row r="92" spans="1:7">
      <c r="C92" s="115" t="s">
        <v>218</v>
      </c>
      <c r="D92" s="7"/>
      <c r="G92" s="121"/>
    </row>
    <row r="93" spans="1:7">
      <c r="C93" s="1"/>
      <c r="D93" s="122"/>
      <c r="G93" s="4"/>
    </row>
    <row r="94" spans="1:7">
      <c r="C94" s="1"/>
      <c r="D94" s="122"/>
      <c r="G94" s="4"/>
    </row>
    <row r="95" spans="1:7" ht="30">
      <c r="A95">
        <v>5</v>
      </c>
      <c r="B95" s="117" t="s">
        <v>219</v>
      </c>
      <c r="D95" s="114" t="s">
        <v>203</v>
      </c>
      <c r="G95" s="4"/>
    </row>
    <row r="96" spans="1:7" ht="30">
      <c r="B96" s="3" t="s">
        <v>220</v>
      </c>
      <c r="C96" s="199" t="s">
        <v>221</v>
      </c>
      <c r="D96" s="123"/>
      <c r="G96" s="4"/>
    </row>
    <row r="97" spans="1:13">
      <c r="C97" s="3" t="s">
        <v>223</v>
      </c>
      <c r="D97" s="7" t="s">
        <v>205</v>
      </c>
      <c r="E97" s="115"/>
      <c r="G97" s="4"/>
    </row>
    <row r="98" spans="1:13">
      <c r="C98" s="3" t="s">
        <v>222</v>
      </c>
      <c r="D98" s="7"/>
      <c r="E98" s="115"/>
      <c r="G98" s="4"/>
    </row>
    <row r="99" spans="1:13">
      <c r="C99" s="3" t="s">
        <v>320</v>
      </c>
      <c r="D99" s="7"/>
      <c r="E99" s="115"/>
      <c r="G99" s="4"/>
    </row>
    <row r="100" spans="1:13">
      <c r="C100" s="3" t="s">
        <v>321</v>
      </c>
      <c r="D100" s="7"/>
      <c r="E100" s="115"/>
      <c r="G100" s="4"/>
    </row>
    <row r="101" spans="1:13">
      <c r="D101" s="7"/>
      <c r="E101" s="115"/>
      <c r="G101" s="4"/>
    </row>
    <row r="102" spans="1:13" s="12" customFormat="1">
      <c r="D102" s="55" t="s">
        <v>224</v>
      </c>
      <c r="E102" s="271" t="s">
        <v>457</v>
      </c>
      <c r="F102" s="144"/>
      <c r="G102" s="24"/>
    </row>
    <row r="103" spans="1:13" ht="45">
      <c r="A103">
        <v>6</v>
      </c>
      <c r="B103" s="124" t="s">
        <v>225</v>
      </c>
      <c r="D103" s="7">
        <v>21</v>
      </c>
      <c r="E103" s="272">
        <f>D103</f>
        <v>21</v>
      </c>
      <c r="F103" s="303"/>
      <c r="G103" s="4"/>
    </row>
    <row r="104" spans="1:13" ht="45">
      <c r="B104" s="3"/>
      <c r="E104" s="304" t="s">
        <v>485</v>
      </c>
      <c r="G104" s="4"/>
    </row>
    <row r="105" spans="1:13">
      <c r="B105" s="1"/>
      <c r="D105" s="3"/>
      <c r="G105" s="4"/>
    </row>
    <row r="106" spans="1:13">
      <c r="A106">
        <v>7</v>
      </c>
      <c r="B106" s="1" t="s">
        <v>226</v>
      </c>
      <c r="D106" s="3"/>
      <c r="G106" s="4"/>
    </row>
    <row r="107" spans="1:13">
      <c r="D107" s="3"/>
      <c r="G107" s="4"/>
      <c r="H107" s="1" t="s">
        <v>39</v>
      </c>
      <c r="I107" t="s">
        <v>458</v>
      </c>
      <c r="J107" t="s">
        <v>459</v>
      </c>
      <c r="K107" t="s">
        <v>460</v>
      </c>
      <c r="L107" t="s">
        <v>461</v>
      </c>
      <c r="M107" t="s">
        <v>462</v>
      </c>
    </row>
    <row r="108" spans="1:13">
      <c r="D108" s="3"/>
      <c r="G108" s="4"/>
      <c r="I108" s="273">
        <f>E103-E112</f>
        <v>17</v>
      </c>
      <c r="J108" s="274">
        <f>I108-E111</f>
        <v>11</v>
      </c>
      <c r="K108" s="274">
        <f>J108-E113</f>
        <v>7</v>
      </c>
      <c r="L108">
        <f>K108-E114</f>
        <v>0</v>
      </c>
      <c r="M108">
        <f>L108-E115</f>
        <v>0</v>
      </c>
    </row>
    <row r="109" spans="1:13" ht="30">
      <c r="D109" s="304" t="s">
        <v>487</v>
      </c>
      <c r="E109" s="271" t="s">
        <v>457</v>
      </c>
      <c r="G109" s="4"/>
      <c r="H109" t="s">
        <v>463</v>
      </c>
      <c r="I109" s="232">
        <f>(E112-D112)/E103</f>
        <v>0</v>
      </c>
    </row>
    <row r="110" spans="1:13" ht="30">
      <c r="D110" s="114" t="s">
        <v>227</v>
      </c>
      <c r="E110" s="1" t="s">
        <v>39</v>
      </c>
      <c r="F110" s="1" t="s">
        <v>59</v>
      </c>
      <c r="G110" s="275" t="s">
        <v>60</v>
      </c>
      <c r="H110" t="s">
        <v>464</v>
      </c>
      <c r="I110" s="276">
        <f>1-I109</f>
        <v>1</v>
      </c>
    </row>
    <row r="111" spans="1:13">
      <c r="B111" s="125" t="s">
        <v>467</v>
      </c>
      <c r="D111" s="7">
        <v>6</v>
      </c>
      <c r="E111" s="277">
        <f>IF(D112&gt;=E112,D111,(IF(D111=0,0,IF(D111&gt;$I$108,$I$108,D111*I110))))</f>
        <v>6</v>
      </c>
      <c r="F111" s="277">
        <f>IF(D112&gt;=F112,D111,(IF(D111=0,0,IF(D111&gt;$I$112,$I$112,D111*I114))))</f>
        <v>5.5714285714285712</v>
      </c>
      <c r="G111" s="277">
        <f>IF(D112&gt;=G112,D111,(IF(D111=0,0,IF(D111&gt;$I$116,$I$116,D111*I118))))</f>
        <v>5.7142857142857135</v>
      </c>
      <c r="H111" s="1" t="s">
        <v>59</v>
      </c>
      <c r="I111" t="s">
        <v>458</v>
      </c>
      <c r="J111" t="s">
        <v>459</v>
      </c>
      <c r="K111" t="s">
        <v>460</v>
      </c>
      <c r="L111" t="s">
        <v>461</v>
      </c>
      <c r="M111" t="s">
        <v>462</v>
      </c>
    </row>
    <row r="112" spans="1:13">
      <c r="B112" s="126" t="s">
        <v>394</v>
      </c>
      <c r="C112" s="127"/>
      <c r="D112" s="128">
        <v>4</v>
      </c>
      <c r="E112" s="278">
        <f>IF(D112&gt;'Basic diet cal'!E95,D112,'Basic diet cal'!E95)</f>
        <v>4</v>
      </c>
      <c r="F112" s="278">
        <f>IF(D112&gt;'Basic diet cal'!F95,D112,'Basic diet cal'!F95)</f>
        <v>5.5</v>
      </c>
      <c r="G112" s="278">
        <f>IF(D112&gt;'Basic diet cal'!G95,D112,'Basic diet cal'!G95)</f>
        <v>5</v>
      </c>
      <c r="I112" s="279">
        <f>E103-F112</f>
        <v>15.5</v>
      </c>
      <c r="J112" s="280">
        <f>I112-F111</f>
        <v>9.9285714285714288</v>
      </c>
      <c r="K112" s="280">
        <f>J112-F113</f>
        <v>6.2142857142857144</v>
      </c>
      <c r="L112" s="280">
        <f>K112-F114</f>
        <v>0</v>
      </c>
      <c r="M112" s="280">
        <f>L112-F115</f>
        <v>0</v>
      </c>
    </row>
    <row r="113" spans="1:13">
      <c r="B113" s="118" t="s">
        <v>468</v>
      </c>
      <c r="D113" s="7">
        <v>4</v>
      </c>
      <c r="E113" s="277">
        <f>IF(D112&gt;=E112,D113,IF(D113=0,0,IF(D113&gt;$J$108,$J$108,D113*I110)))</f>
        <v>4</v>
      </c>
      <c r="F113" s="277">
        <f>IF(D112&gt;=F112,D113,IF(D113=0,0,IF(D113&gt;$J$112,$J$112,D113*I114)))</f>
        <v>3.7142857142857144</v>
      </c>
      <c r="G113" s="277">
        <f>IF(D112&gt;=G112,D113,IF(D113=0,0,IF(D113&gt;$J$116,$J$116,D113*I118)))</f>
        <v>3.8095238095238093</v>
      </c>
      <c r="H113" t="s">
        <v>463</v>
      </c>
      <c r="I113" s="232">
        <f>(F112-D112)/E103</f>
        <v>7.1428571428571425E-2</v>
      </c>
    </row>
    <row r="114" spans="1:13">
      <c r="B114" s="118" t="s">
        <v>486</v>
      </c>
      <c r="D114" s="7">
        <v>7</v>
      </c>
      <c r="E114" s="277">
        <f>IF(D112&gt;=E112,D114,IF(D114=0,0,IF(D114&gt;$K$108,$K$108,D114*I110)))</f>
        <v>7</v>
      </c>
      <c r="F114" s="277">
        <f>IF(D112&gt;=F112,D114,IF(D114=0,0,IF(D114&gt;$K$112,$K$112,D114*I114)))</f>
        <v>6.2142857142857144</v>
      </c>
      <c r="G114" s="277">
        <f>IF(D112&gt;=G112,D114,IF(D114=0,0,IF(D114&gt;$K$116,$K$116,D114*I118)))</f>
        <v>6.4761904761904772</v>
      </c>
      <c r="H114" t="s">
        <v>464</v>
      </c>
      <c r="I114" s="232">
        <f>1-I113</f>
        <v>0.9285714285714286</v>
      </c>
    </row>
    <row r="115" spans="1:13">
      <c r="B115" s="119" t="s">
        <v>471</v>
      </c>
      <c r="D115" s="7">
        <v>0</v>
      </c>
      <c r="E115" s="277">
        <f>IF(D112&gt;=E112,D115,IF(D115=0,0,IF(D115&gt;$L$108,$L$108,D115*I110)))</f>
        <v>0</v>
      </c>
      <c r="F115" s="277">
        <f>IF(D112&gt;=F112,D115,IF(D115=0,0,IF(D115&gt;$L$112,$L$112,D115*I114)))</f>
        <v>0</v>
      </c>
      <c r="G115" s="277">
        <f>IF(D112&gt;=G112,D115,IF(D115=0,0,IF(D115&gt;$L$116,$L$116,D115*I118)))</f>
        <v>0</v>
      </c>
      <c r="H115" s="1" t="s">
        <v>60</v>
      </c>
      <c r="I115" t="s">
        <v>458</v>
      </c>
      <c r="J115" t="s">
        <v>459</v>
      </c>
      <c r="K115" t="s">
        <v>460</v>
      </c>
      <c r="L115" t="s">
        <v>461</v>
      </c>
      <c r="M115" t="s">
        <v>462</v>
      </c>
    </row>
    <row r="116" spans="1:13">
      <c r="B116" s="119" t="s">
        <v>470</v>
      </c>
      <c r="D116" s="7">
        <v>0</v>
      </c>
      <c r="E116" s="277">
        <f>IF(D112&gt;=E112,D116,IF(D116=0,0,IF(D116&gt;$M$108,$M$108,D116*I118)))</f>
        <v>0</v>
      </c>
      <c r="F116" s="277">
        <f>IF(D112&gt;=F112,D116,IF(D116=0,0,IF(D116&gt;$M$112,$M$112,D116*I118)))</f>
        <v>0</v>
      </c>
      <c r="G116" s="277">
        <f>IF(D112&gt;=G112,D116,IF(D116=0,0,IF(D116&gt;$M$116,$M$116,D116*I118)))</f>
        <v>0</v>
      </c>
      <c r="I116" s="279">
        <f>E103-G112</f>
        <v>16</v>
      </c>
      <c r="J116" s="280">
        <f>I116-G111</f>
        <v>10.285714285714286</v>
      </c>
      <c r="K116" s="280">
        <f>J116-G113</f>
        <v>6.4761904761904772</v>
      </c>
      <c r="L116" s="280">
        <f>K116-G114</f>
        <v>0</v>
      </c>
      <c r="M116" s="280">
        <f>L116-G115</f>
        <v>0</v>
      </c>
    </row>
    <row r="117" spans="1:13">
      <c r="B117" s="129"/>
      <c r="C117" s="2"/>
      <c r="D117" s="274">
        <f>SUM(D111:D116)</f>
        <v>21</v>
      </c>
      <c r="E117" s="274">
        <f>SUM(E111:E116)</f>
        <v>21</v>
      </c>
      <c r="F117">
        <f t="shared" ref="F117:G117" si="0">SUM(F111:F116)</f>
        <v>21</v>
      </c>
      <c r="G117">
        <f t="shared" si="0"/>
        <v>21</v>
      </c>
      <c r="H117" t="s">
        <v>463</v>
      </c>
      <c r="I117" s="232">
        <f>(G112-D112)/E103</f>
        <v>4.7619047619047616E-2</v>
      </c>
    </row>
    <row r="118" spans="1:13">
      <c r="B118" s="129"/>
      <c r="C118" s="2"/>
      <c r="D118" s="3"/>
      <c r="E118" s="274"/>
      <c r="F118" s="274"/>
      <c r="G118" s="274"/>
      <c r="H118" t="s">
        <v>464</v>
      </c>
      <c r="I118" s="232">
        <f>1-I117</f>
        <v>0.95238095238095233</v>
      </c>
    </row>
    <row r="119" spans="1:13">
      <c r="A119">
        <v>9</v>
      </c>
      <c r="B119" s="130" t="s">
        <v>488</v>
      </c>
      <c r="C119" s="131"/>
      <c r="D119" s="3"/>
      <c r="G119" s="4"/>
    </row>
    <row r="120" spans="1:13" ht="30">
      <c r="B120" s="305" t="s">
        <v>231</v>
      </c>
      <c r="C120" s="2"/>
      <c r="D120" s="114" t="s">
        <v>232</v>
      </c>
      <c r="G120" s="4"/>
    </row>
    <row r="121" spans="1:13">
      <c r="B121" s="126" t="s">
        <v>233</v>
      </c>
      <c r="C121" s="5"/>
      <c r="D121" s="360">
        <f t="shared" ref="D121:D126" si="1">IF(C121="yes", 100%,0)</f>
        <v>0</v>
      </c>
      <c r="G121" s="4"/>
    </row>
    <row r="122" spans="1:13">
      <c r="B122" s="118" t="s">
        <v>234</v>
      </c>
      <c r="C122" s="2"/>
      <c r="D122" s="360">
        <v>1</v>
      </c>
      <c r="G122" s="4"/>
    </row>
    <row r="123" spans="1:13">
      <c r="B123" s="118" t="s">
        <v>235</v>
      </c>
      <c r="C123" s="2"/>
      <c r="D123" s="360">
        <f t="shared" si="1"/>
        <v>0</v>
      </c>
      <c r="G123" s="4"/>
    </row>
    <row r="124" spans="1:13">
      <c r="B124" s="118" t="s">
        <v>236</v>
      </c>
      <c r="C124" s="2"/>
      <c r="D124" s="360">
        <f t="shared" si="1"/>
        <v>0</v>
      </c>
      <c r="E124" s="3"/>
      <c r="F124" s="3"/>
      <c r="G124" s="4"/>
    </row>
    <row r="125" spans="1:13">
      <c r="B125" s="118" t="s">
        <v>238</v>
      </c>
      <c r="C125" s="2"/>
      <c r="D125" s="360">
        <f t="shared" si="1"/>
        <v>0</v>
      </c>
      <c r="E125" s="3"/>
      <c r="F125" s="3"/>
      <c r="G125" s="4"/>
    </row>
    <row r="126" spans="1:13">
      <c r="B126" s="118" t="s">
        <v>237</v>
      </c>
      <c r="C126" s="2"/>
      <c r="D126" s="360">
        <f t="shared" si="1"/>
        <v>0</v>
      </c>
      <c r="E126" s="3"/>
      <c r="F126" s="3"/>
      <c r="G126" s="4"/>
    </row>
    <row r="127" spans="1:13">
      <c r="B127" s="118"/>
      <c r="C127" s="132"/>
      <c r="D127" s="3"/>
      <c r="E127" s="3"/>
      <c r="F127" s="3"/>
      <c r="G127" s="4"/>
    </row>
    <row r="128" spans="1:13" ht="30">
      <c r="A128">
        <v>10</v>
      </c>
      <c r="B128" s="133" t="s">
        <v>494</v>
      </c>
      <c r="C128" s="113" t="s">
        <v>511</v>
      </c>
      <c r="D128" s="3"/>
      <c r="E128" s="3"/>
      <c r="F128" s="134"/>
      <c r="G128" s="4"/>
    </row>
    <row r="129" spans="2:7" ht="30">
      <c r="B129" s="136"/>
      <c r="C129" s="2"/>
      <c r="D129" s="114" t="s">
        <v>203</v>
      </c>
      <c r="E129" s="3"/>
      <c r="F129" s="3"/>
      <c r="G129" s="4"/>
    </row>
    <row r="130" spans="2:7">
      <c r="B130" s="34" t="s">
        <v>489</v>
      </c>
      <c r="D130" s="351" t="s">
        <v>205</v>
      </c>
      <c r="E130" s="3"/>
      <c r="F130" s="3"/>
      <c r="G130" s="4"/>
    </row>
    <row r="131" spans="2:7">
      <c r="B131" s="34" t="s">
        <v>490</v>
      </c>
      <c r="C131" s="2"/>
      <c r="D131" s="309"/>
      <c r="E131" s="3"/>
      <c r="F131" s="3"/>
      <c r="G131" s="4"/>
    </row>
    <row r="132" spans="2:7">
      <c r="B132" s="34" t="s">
        <v>491</v>
      </c>
      <c r="C132" s="2"/>
      <c r="D132" s="351"/>
      <c r="E132" s="3"/>
      <c r="F132" s="3"/>
      <c r="G132" s="4"/>
    </row>
    <row r="133" spans="2:7">
      <c r="B133" s="328" t="s">
        <v>493</v>
      </c>
      <c r="C133" s="2"/>
      <c r="D133" s="310"/>
      <c r="E133" s="3"/>
      <c r="F133" s="3"/>
      <c r="G133" s="4"/>
    </row>
    <row r="134" spans="2:7">
      <c r="B134" s="328" t="s">
        <v>492</v>
      </c>
      <c r="C134" s="2"/>
      <c r="D134" s="310"/>
      <c r="E134" s="3"/>
      <c r="F134" s="3"/>
      <c r="G134" s="4"/>
    </row>
    <row r="135" spans="2:7" s="138" customFormat="1">
      <c r="B135" s="139"/>
      <c r="C135" s="140"/>
      <c r="D135" s="139"/>
      <c r="E135" s="139"/>
      <c r="F135" s="139"/>
      <c r="G135" s="141"/>
    </row>
    <row r="136" spans="2:7" ht="15.75">
      <c r="B136" s="142" t="s">
        <v>242</v>
      </c>
      <c r="C136" s="2"/>
      <c r="D136" s="3"/>
      <c r="G136" s="4"/>
    </row>
    <row r="137" spans="2:7" s="12" customFormat="1" ht="15.75">
      <c r="B137" s="365" t="s">
        <v>521</v>
      </c>
      <c r="C137" s="366" t="s">
        <v>522</v>
      </c>
      <c r="D137" s="34"/>
      <c r="G137" s="24"/>
    </row>
    <row r="138" spans="2:7" ht="24.75">
      <c r="B138" s="36" t="s">
        <v>243</v>
      </c>
      <c r="C138" s="51" t="s">
        <v>86</v>
      </c>
      <c r="D138" s="34"/>
      <c r="E138" s="12"/>
      <c r="F138" s="12"/>
      <c r="G138" s="4"/>
    </row>
    <row r="139" spans="2:7">
      <c r="B139" s="12" t="s">
        <v>244</v>
      </c>
      <c r="C139" s="12"/>
      <c r="D139" s="341">
        <f>C55*'Basic diet cal'!$E$34*('Basic diet cal'!$E$22+'Basic diet cal'!$F$22)</f>
        <v>0</v>
      </c>
      <c r="E139" s="341">
        <f>D55*'Basic diet cal'!$E$34*('Basic diet cal'!$E$22+'Basic diet cal'!$F$22)</f>
        <v>0</v>
      </c>
      <c r="F139" s="341">
        <f>E55*'Basic diet cal'!$E$34*('Basic diet cal'!$E$22+'Basic diet cal'!$F$22)</f>
        <v>0</v>
      </c>
      <c r="G139" s="4"/>
    </row>
    <row r="140" spans="2:7">
      <c r="B140" s="12" t="s">
        <v>245</v>
      </c>
      <c r="C140" s="51"/>
      <c r="D140" s="341">
        <f>C55*'Basic diet cal'!$E$35*('Basic diet cal'!$E$22+'Basic diet cal'!$F$22)</f>
        <v>9.9989999999999988</v>
      </c>
      <c r="E140" s="341">
        <f>D55*'Basic diet cal'!$E$35*('Basic diet cal'!$E$22+'Basic diet cal'!$F$22)</f>
        <v>6.6659999999999995</v>
      </c>
      <c r="F140" s="341">
        <f>E55*'Basic diet cal'!$E$35*('Basic diet cal'!$E$22+'Basic diet cal'!$F$22)</f>
        <v>7.3325999999999993</v>
      </c>
      <c r="G140" s="4"/>
    </row>
    <row r="141" spans="2:7">
      <c r="B141" s="12" t="s">
        <v>246</v>
      </c>
      <c r="C141" s="51"/>
      <c r="D141" s="341">
        <f>C55*'Basic diet cal'!$D$22</f>
        <v>4.9994999999999994</v>
      </c>
      <c r="E141" s="341">
        <f>D55*'Basic diet cal'!$D$22</f>
        <v>3.3329999999999997</v>
      </c>
      <c r="F141" s="341">
        <f>E55*'Basic diet cal'!$D$22</f>
        <v>3.6662999999999997</v>
      </c>
      <c r="G141" s="4"/>
    </row>
    <row r="142" spans="2:7">
      <c r="B142" s="36" t="s">
        <v>247</v>
      </c>
      <c r="C142" s="51"/>
      <c r="D142" s="342"/>
      <c r="E142" s="343"/>
      <c r="F142" s="343"/>
      <c r="G142" s="4"/>
    </row>
    <row r="143" spans="2:7" ht="26.25">
      <c r="B143" s="12" t="s">
        <v>248</v>
      </c>
      <c r="C143" s="51" t="s">
        <v>249</v>
      </c>
      <c r="D143" s="342">
        <f>C58</f>
        <v>5</v>
      </c>
      <c r="E143" s="342">
        <f>D58</f>
        <v>3</v>
      </c>
      <c r="F143" s="342">
        <f>E58</f>
        <v>2.5</v>
      </c>
      <c r="G143" s="4"/>
    </row>
    <row r="144" spans="2:7">
      <c r="B144" s="282" t="s">
        <v>472</v>
      </c>
      <c r="C144" s="283"/>
      <c r="D144" s="344"/>
      <c r="E144" s="344"/>
      <c r="F144" s="344"/>
      <c r="G144" s="4"/>
    </row>
    <row r="145" spans="2:7">
      <c r="B145" s="284" t="s">
        <v>467</v>
      </c>
      <c r="C145" s="283"/>
      <c r="D145" s="344">
        <f t="shared" ref="D145:F150" si="2">E111</f>
        <v>6</v>
      </c>
      <c r="E145" s="344">
        <f t="shared" si="2"/>
        <v>5.5714285714285712</v>
      </c>
      <c r="F145" s="344">
        <f t="shared" si="2"/>
        <v>5.7142857142857135</v>
      </c>
      <c r="G145" s="4"/>
    </row>
    <row r="146" spans="2:7">
      <c r="B146" s="284" t="s">
        <v>394</v>
      </c>
      <c r="C146" s="283"/>
      <c r="D146" s="344">
        <f t="shared" si="2"/>
        <v>4</v>
      </c>
      <c r="E146" s="344">
        <f t="shared" si="2"/>
        <v>5.5</v>
      </c>
      <c r="F146" s="344">
        <f t="shared" si="2"/>
        <v>5</v>
      </c>
      <c r="G146" s="4"/>
    </row>
    <row r="147" spans="2:7">
      <c r="B147" s="284" t="s">
        <v>468</v>
      </c>
      <c r="C147" s="283"/>
      <c r="D147" s="344">
        <f t="shared" si="2"/>
        <v>4</v>
      </c>
      <c r="E147" s="344">
        <f t="shared" si="2"/>
        <v>3.7142857142857144</v>
      </c>
      <c r="F147" s="344">
        <f t="shared" si="2"/>
        <v>3.8095238095238093</v>
      </c>
      <c r="G147" s="4"/>
    </row>
    <row r="148" spans="2:7">
      <c r="B148" s="284" t="s">
        <v>469</v>
      </c>
      <c r="C148" s="283"/>
      <c r="D148" s="344">
        <f t="shared" si="2"/>
        <v>7</v>
      </c>
      <c r="E148" s="344">
        <f t="shared" si="2"/>
        <v>6.2142857142857144</v>
      </c>
      <c r="F148" s="344">
        <f t="shared" si="2"/>
        <v>6.4761904761904772</v>
      </c>
      <c r="G148" s="4"/>
    </row>
    <row r="149" spans="2:7">
      <c r="B149" s="284" t="s">
        <v>471</v>
      </c>
      <c r="C149" s="283"/>
      <c r="D149" s="344">
        <f t="shared" si="2"/>
        <v>0</v>
      </c>
      <c r="E149" s="344">
        <f t="shared" si="2"/>
        <v>0</v>
      </c>
      <c r="F149" s="344">
        <f t="shared" si="2"/>
        <v>0</v>
      </c>
      <c r="G149" s="4"/>
    </row>
    <row r="150" spans="2:7">
      <c r="B150" s="284" t="s">
        <v>470</v>
      </c>
      <c r="C150" s="283"/>
      <c r="D150" s="344">
        <f t="shared" si="2"/>
        <v>0</v>
      </c>
      <c r="E150" s="344">
        <f t="shared" si="2"/>
        <v>0</v>
      </c>
      <c r="F150" s="344">
        <f t="shared" si="2"/>
        <v>0</v>
      </c>
      <c r="G150" s="4"/>
    </row>
    <row r="151" spans="2:7">
      <c r="B151" s="284" t="s">
        <v>278</v>
      </c>
      <c r="C151" s="283"/>
      <c r="D151" s="345">
        <f>IF($C$71&lt;3,C62,C61)</f>
        <v>0</v>
      </c>
      <c r="E151" s="345">
        <f>IF($C$71&lt;3,D62,D61)</f>
        <v>7</v>
      </c>
      <c r="F151" s="345">
        <f>IF($C$71&lt;3,E62,E61)</f>
        <v>10</v>
      </c>
      <c r="G151" s="4"/>
    </row>
    <row r="152" spans="2:7">
      <c r="B152" s="285" t="s">
        <v>275</v>
      </c>
      <c r="C152" s="283"/>
      <c r="D152" s="345">
        <f>C59</f>
        <v>3</v>
      </c>
      <c r="E152" s="345">
        <f>D59</f>
        <v>3</v>
      </c>
      <c r="F152" s="345">
        <f>E59</f>
        <v>2</v>
      </c>
      <c r="G152" s="4"/>
    </row>
    <row r="153" spans="2:7">
      <c r="B153" s="12"/>
      <c r="C153" s="143"/>
      <c r="D153" s="342"/>
      <c r="E153" s="342"/>
      <c r="F153" s="342"/>
      <c r="G153" s="4"/>
    </row>
    <row r="154" spans="2:7">
      <c r="B154" s="36" t="s">
        <v>251</v>
      </c>
      <c r="C154" s="144" t="s">
        <v>98</v>
      </c>
      <c r="D154" s="346">
        <f t="shared" ref="D154:F158" si="3">C63</f>
        <v>0</v>
      </c>
      <c r="E154" s="346">
        <f t="shared" si="3"/>
        <v>0</v>
      </c>
      <c r="F154" s="346">
        <f t="shared" si="3"/>
        <v>1.5</v>
      </c>
      <c r="G154" s="4"/>
    </row>
    <row r="155" spans="2:7">
      <c r="B155" s="36" t="s">
        <v>252</v>
      </c>
      <c r="C155" s="51" t="s">
        <v>100</v>
      </c>
      <c r="D155" s="342">
        <f t="shared" si="3"/>
        <v>2</v>
      </c>
      <c r="E155" s="342">
        <f t="shared" si="3"/>
        <v>3</v>
      </c>
      <c r="F155" s="342">
        <f t="shared" si="3"/>
        <v>3</v>
      </c>
      <c r="G155" s="4"/>
    </row>
    <row r="156" spans="2:7">
      <c r="B156" s="36" t="s">
        <v>101</v>
      </c>
      <c r="C156" s="51" t="s">
        <v>250</v>
      </c>
      <c r="D156" s="342">
        <f t="shared" si="3"/>
        <v>5</v>
      </c>
      <c r="E156" s="342">
        <f t="shared" si="3"/>
        <v>8</v>
      </c>
      <c r="F156" s="342">
        <f t="shared" si="3"/>
        <v>6</v>
      </c>
      <c r="G156" s="4"/>
    </row>
    <row r="157" spans="2:7">
      <c r="B157" s="36" t="s">
        <v>102</v>
      </c>
      <c r="C157" s="51" t="s">
        <v>253</v>
      </c>
      <c r="D157" s="342">
        <f t="shared" si="3"/>
        <v>1.5</v>
      </c>
      <c r="E157" s="342">
        <f t="shared" si="3"/>
        <v>5</v>
      </c>
      <c r="F157" s="342">
        <f t="shared" si="3"/>
        <v>6</v>
      </c>
      <c r="G157" s="4"/>
    </row>
    <row r="158" spans="2:7">
      <c r="B158" s="36" t="s">
        <v>254</v>
      </c>
      <c r="C158" s="51" t="s">
        <v>104</v>
      </c>
      <c r="D158" s="342">
        <f t="shared" si="3"/>
        <v>12</v>
      </c>
      <c r="E158" s="342">
        <f t="shared" si="3"/>
        <v>12</v>
      </c>
      <c r="F158" s="342">
        <f t="shared" si="3"/>
        <v>7</v>
      </c>
      <c r="G158" s="4"/>
    </row>
    <row r="159" spans="2:7">
      <c r="B159" s="36"/>
      <c r="C159" s="51"/>
      <c r="D159" s="143"/>
      <c r="E159" s="145"/>
      <c r="F159" s="145"/>
      <c r="G159" s="4"/>
    </row>
    <row r="160" spans="2:7">
      <c r="B160" s="12"/>
      <c r="C160" s="51"/>
      <c r="D160" s="34"/>
      <c r="E160" s="12"/>
      <c r="F160" s="12"/>
      <c r="G160" s="4"/>
    </row>
    <row r="161" spans="2:12" s="12" customFormat="1">
      <c r="C161" s="51"/>
      <c r="D161" s="34"/>
      <c r="G161" s="24"/>
    </row>
    <row r="162" spans="2:12" ht="15.75">
      <c r="B162" s="146" t="s">
        <v>255</v>
      </c>
      <c r="G162" s="4"/>
      <c r="J162" s="147"/>
      <c r="K162" s="147"/>
      <c r="L162" s="147"/>
    </row>
    <row r="163" spans="2:12" ht="15.75">
      <c r="B163" s="148" t="s">
        <v>256</v>
      </c>
      <c r="G163" s="4"/>
      <c r="J163" s="147"/>
      <c r="K163" s="147"/>
      <c r="L163" s="147"/>
    </row>
    <row r="164" spans="2:12" s="12" customFormat="1" ht="15.75">
      <c r="B164" s="149" t="s">
        <v>498</v>
      </c>
      <c r="E164" s="149" t="s">
        <v>499</v>
      </c>
      <c r="G164" s="24"/>
      <c r="J164" s="147"/>
      <c r="K164" s="147"/>
      <c r="L164" s="147"/>
    </row>
    <row r="165" spans="2:12" s="12" customFormat="1">
      <c r="B165" s="111" t="s">
        <v>517</v>
      </c>
      <c r="C165" s="36"/>
      <c r="D165" s="354" t="s">
        <v>518</v>
      </c>
      <c r="E165" s="12">
        <v>0</v>
      </c>
      <c r="G165" s="24"/>
      <c r="J165" s="147"/>
      <c r="K165" s="147"/>
      <c r="L165" s="147"/>
    </row>
    <row r="166" spans="2:12" s="12" customFormat="1">
      <c r="B166" s="8" t="s">
        <v>258</v>
      </c>
      <c r="C166" s="8" t="s">
        <v>259</v>
      </c>
      <c r="D166" s="8"/>
      <c r="E166" s="8" t="s">
        <v>259</v>
      </c>
      <c r="G166" s="24"/>
      <c r="J166" s="147"/>
      <c r="K166" s="147"/>
      <c r="L166" s="147"/>
    </row>
    <row r="167" spans="2:12" s="12" customFormat="1" ht="15.75">
      <c r="B167" s="150" t="s">
        <v>260</v>
      </c>
      <c r="C167" s="8" t="s">
        <v>261</v>
      </c>
      <c r="D167" s="8" t="s">
        <v>205</v>
      </c>
      <c r="E167" s="8" t="s">
        <v>261</v>
      </c>
      <c r="G167" s="24"/>
      <c r="J167" s="147"/>
      <c r="K167" s="147"/>
      <c r="L167" s="147"/>
    </row>
    <row r="168" spans="2:12" s="12" customFormat="1">
      <c r="B168" s="36" t="s">
        <v>262</v>
      </c>
      <c r="C168" s="36" t="s">
        <v>263</v>
      </c>
      <c r="E168" s="36" t="s">
        <v>263</v>
      </c>
      <c r="G168" s="24"/>
      <c r="J168" s="147"/>
      <c r="K168" s="147"/>
      <c r="L168" s="147"/>
    </row>
    <row r="169" spans="2:12" s="12" customFormat="1" ht="15.75">
      <c r="B169" s="148" t="s">
        <v>99</v>
      </c>
      <c r="G169" s="24"/>
      <c r="J169" s="147"/>
      <c r="K169" s="147"/>
      <c r="L169" s="147"/>
    </row>
    <row r="170" spans="2:12" s="12" customFormat="1" ht="15.75">
      <c r="B170" s="150" t="s">
        <v>258</v>
      </c>
      <c r="C170" s="8" t="s">
        <v>264</v>
      </c>
      <c r="D170" s="8" t="s">
        <v>205</v>
      </c>
      <c r="E170" s="8" t="s">
        <v>500</v>
      </c>
      <c r="G170" s="24"/>
      <c r="J170" s="147"/>
      <c r="K170" s="147"/>
      <c r="L170" s="147"/>
    </row>
    <row r="171" spans="2:12" s="12" customFormat="1" ht="15.75">
      <c r="B171" s="150" t="s">
        <v>260</v>
      </c>
      <c r="C171" s="8" t="s">
        <v>265</v>
      </c>
      <c r="D171" s="8"/>
      <c r="E171" s="8" t="s">
        <v>505</v>
      </c>
      <c r="G171" s="24"/>
      <c r="J171" s="147"/>
      <c r="K171" s="147"/>
      <c r="L171" s="147"/>
    </row>
    <row r="172" spans="2:12" s="12" customFormat="1" ht="15.75">
      <c r="B172" s="148" t="s">
        <v>266</v>
      </c>
      <c r="G172" s="24"/>
      <c r="J172" s="147"/>
      <c r="K172" s="147"/>
      <c r="L172" s="147"/>
    </row>
    <row r="173" spans="2:12" s="12" customFormat="1" ht="15.75">
      <c r="B173" s="150" t="s">
        <v>258</v>
      </c>
      <c r="C173" s="8" t="s">
        <v>267</v>
      </c>
      <c r="D173" s="8"/>
      <c r="E173" s="8"/>
      <c r="G173" s="24"/>
      <c r="J173" s="147"/>
      <c r="K173" s="147"/>
      <c r="L173" s="147"/>
    </row>
    <row r="174" spans="2:12" s="12" customFormat="1" ht="15.75">
      <c r="B174" s="150" t="s">
        <v>260</v>
      </c>
      <c r="C174" s="8" t="s">
        <v>265</v>
      </c>
      <c r="D174" s="8" t="s">
        <v>205</v>
      </c>
      <c r="E174" s="8"/>
      <c r="G174" s="24"/>
      <c r="J174" s="147"/>
      <c r="K174" s="147"/>
      <c r="L174" s="147"/>
    </row>
    <row r="175" spans="2:12" s="12" customFormat="1" ht="15.75">
      <c r="B175" s="149" t="s">
        <v>102</v>
      </c>
      <c r="C175" s="12" t="s">
        <v>264</v>
      </c>
      <c r="G175" s="24"/>
      <c r="J175" s="147"/>
      <c r="K175" s="147"/>
      <c r="L175" s="147"/>
    </row>
    <row r="176" spans="2:12" s="12" customFormat="1" ht="15.75">
      <c r="B176" s="149" t="s">
        <v>251</v>
      </c>
      <c r="C176" s="12" t="s">
        <v>268</v>
      </c>
      <c r="G176" s="24"/>
      <c r="J176" s="147"/>
      <c r="K176" s="147"/>
      <c r="L176" s="147"/>
    </row>
    <row r="177" spans="2:12" s="12" customFormat="1" ht="15.75">
      <c r="B177" s="149"/>
      <c r="G177" s="24"/>
      <c r="J177" s="147"/>
      <c r="K177" s="147"/>
      <c r="L177" s="147"/>
    </row>
    <row r="178" spans="2:12" s="12" customFormat="1" ht="15.75">
      <c r="B178" s="149" t="s">
        <v>269</v>
      </c>
      <c r="C178" s="12" t="s">
        <v>270</v>
      </c>
      <c r="G178" s="24"/>
      <c r="J178" s="147"/>
      <c r="K178" s="147"/>
      <c r="L178" s="147"/>
    </row>
    <row r="179" spans="2:12" s="12" customFormat="1" ht="15.75">
      <c r="B179" s="149"/>
      <c r="G179" s="24"/>
      <c r="J179" s="147"/>
      <c r="K179" s="147"/>
      <c r="L179" s="147"/>
    </row>
    <row r="180" spans="2:12" s="12" customFormat="1" ht="15.75">
      <c r="B180" s="151" t="s">
        <v>271</v>
      </c>
      <c r="C180" s="152"/>
      <c r="D180" s="152" t="s">
        <v>501</v>
      </c>
      <c r="E180" s="152"/>
      <c r="F180" s="152"/>
      <c r="G180" s="322" t="s">
        <v>501</v>
      </c>
      <c r="H180" s="322"/>
      <c r="I180" s="322"/>
      <c r="J180" s="147"/>
      <c r="K180" s="147"/>
      <c r="L180" s="147"/>
    </row>
    <row r="181" spans="2:12">
      <c r="B181" s="153" t="s">
        <v>272</v>
      </c>
      <c r="C181" s="154"/>
      <c r="D181" s="155"/>
      <c r="E181" s="152"/>
      <c r="F181" s="152"/>
      <c r="G181" s="323" t="s">
        <v>504</v>
      </c>
      <c r="H181" s="322"/>
      <c r="I181" s="322"/>
      <c r="J181" s="153" t="s">
        <v>272</v>
      </c>
      <c r="K181" s="147"/>
      <c r="L181" s="147"/>
    </row>
    <row r="182" spans="2:12">
      <c r="B182" s="156" t="s">
        <v>257</v>
      </c>
      <c r="C182" s="154"/>
      <c r="D182" s="349">
        <f>D141</f>
        <v>4.9994999999999994</v>
      </c>
      <c r="E182" s="349">
        <f>E141</f>
        <v>3.3329999999999997</v>
      </c>
      <c r="F182" s="349">
        <f>F141</f>
        <v>3.6662999999999997</v>
      </c>
      <c r="G182" s="324" t="s">
        <v>502</v>
      </c>
      <c r="H182" s="322"/>
      <c r="I182" s="322"/>
      <c r="J182" s="156" t="s">
        <v>257</v>
      </c>
    </row>
    <row r="183" spans="2:12">
      <c r="B183" s="156" t="s">
        <v>273</v>
      </c>
      <c r="C183" s="154"/>
      <c r="D183" s="349">
        <f>IF($D$170="yes",D155/2,D155/3)</f>
        <v>1</v>
      </c>
      <c r="E183" s="349">
        <f t="shared" ref="E183:F183" si="4">IF($D$170="yes",E155/2,E155/3)</f>
        <v>1.5</v>
      </c>
      <c r="F183" s="349">
        <f t="shared" si="4"/>
        <v>1.5</v>
      </c>
      <c r="G183" s="352">
        <f>D183</f>
        <v>1</v>
      </c>
      <c r="H183" s="352">
        <f t="shared" ref="H183:I184" si="5">E183</f>
        <v>1.5</v>
      </c>
      <c r="I183" s="352">
        <f t="shared" si="5"/>
        <v>1.5</v>
      </c>
      <c r="J183" s="156" t="s">
        <v>273</v>
      </c>
    </row>
    <row r="184" spans="2:12">
      <c r="B184" s="156" t="s">
        <v>102</v>
      </c>
      <c r="C184" s="154"/>
      <c r="D184" s="349">
        <f>D157/2</f>
        <v>0.75</v>
      </c>
      <c r="E184" s="349">
        <f t="shared" ref="E184:F184" si="6">E157/2</f>
        <v>2.5</v>
      </c>
      <c r="F184" s="349">
        <f t="shared" si="6"/>
        <v>3</v>
      </c>
      <c r="G184" s="352">
        <f>D184</f>
        <v>0.75</v>
      </c>
      <c r="H184" s="352">
        <f t="shared" si="5"/>
        <v>2.5</v>
      </c>
      <c r="I184" s="352">
        <f t="shared" si="5"/>
        <v>3</v>
      </c>
      <c r="J184" s="156" t="s">
        <v>102</v>
      </c>
    </row>
    <row r="185" spans="2:12">
      <c r="B185" s="156" t="s">
        <v>274</v>
      </c>
      <c r="C185" s="154"/>
      <c r="D185" s="349">
        <f>IF($D$174="yes",D156/3,0)</f>
        <v>1.6666666666666667</v>
      </c>
      <c r="E185" s="349">
        <f>IF($D$174="yes",E156/3,0)</f>
        <v>2.6666666666666665</v>
      </c>
      <c r="F185" s="349">
        <f>IF($D$174="yes",F156/3,0)</f>
        <v>2</v>
      </c>
      <c r="G185" s="352" t="s">
        <v>503</v>
      </c>
      <c r="H185" s="353"/>
      <c r="I185" s="353"/>
      <c r="J185" s="156" t="s">
        <v>274</v>
      </c>
    </row>
    <row r="186" spans="2:12" ht="30">
      <c r="B186" s="156" t="s">
        <v>275</v>
      </c>
      <c r="C186" s="154"/>
      <c r="D186" s="155" t="str">
        <f>D152&amp; "  "&amp;"per week"</f>
        <v>3  per week</v>
      </c>
      <c r="E186" s="155" t="str">
        <f>E152&amp; "  "&amp;"per week"</f>
        <v>3  per week</v>
      </c>
      <c r="F186" s="155" t="str">
        <f>F152&amp; "  "&amp;"per week" &amp; " or egg whites only"</f>
        <v>2  per week or egg whites only</v>
      </c>
      <c r="G186" s="352" t="s">
        <v>503</v>
      </c>
      <c r="H186" s="353"/>
      <c r="I186" s="353"/>
      <c r="J186" s="156" t="s">
        <v>275</v>
      </c>
    </row>
    <row r="187" spans="2:12">
      <c r="B187" s="153" t="s">
        <v>276</v>
      </c>
      <c r="C187" s="154"/>
      <c r="D187" s="155"/>
      <c r="E187" s="155"/>
      <c r="F187" s="155"/>
      <c r="G187" s="352"/>
      <c r="H187" s="353"/>
      <c r="I187" s="353"/>
      <c r="J187" s="153" t="s">
        <v>276</v>
      </c>
    </row>
    <row r="188" spans="2:12">
      <c r="B188" s="156" t="s">
        <v>244</v>
      </c>
      <c r="C188" s="154"/>
      <c r="D188" s="349">
        <f>IF($D$166="yes",D139/2,D139)</f>
        <v>0</v>
      </c>
      <c r="E188" s="349">
        <f>IF($D$166="yes",E139/2,E139)</f>
        <v>0</v>
      </c>
      <c r="F188" s="349">
        <f>IF($D$166="yes",F139/2,F139)</f>
        <v>0</v>
      </c>
      <c r="G188" s="352">
        <f>D188</f>
        <v>0</v>
      </c>
      <c r="H188" s="352">
        <f t="shared" ref="H188:I190" si="7">E188</f>
        <v>0</v>
      </c>
      <c r="I188" s="352">
        <f t="shared" si="7"/>
        <v>0</v>
      </c>
      <c r="J188" s="156" t="s">
        <v>244</v>
      </c>
    </row>
    <row r="189" spans="2:12">
      <c r="B189" s="156" t="s">
        <v>245</v>
      </c>
      <c r="C189" s="154"/>
      <c r="D189" s="349">
        <f>IF($D$166="yes",D140/2,0)</f>
        <v>0</v>
      </c>
      <c r="E189" s="349">
        <f>IF($D$166="yes",E140/2,0)</f>
        <v>0</v>
      </c>
      <c r="F189" s="349">
        <f>IF($D$166="yes",F140/2,0)</f>
        <v>0</v>
      </c>
      <c r="G189" s="352">
        <f>D189</f>
        <v>0</v>
      </c>
      <c r="H189" s="352">
        <f t="shared" si="7"/>
        <v>0</v>
      </c>
      <c r="I189" s="352">
        <f t="shared" si="7"/>
        <v>0</v>
      </c>
      <c r="J189" s="156" t="s">
        <v>245</v>
      </c>
    </row>
    <row r="190" spans="2:12">
      <c r="B190" s="156" t="s">
        <v>277</v>
      </c>
      <c r="C190" s="154"/>
      <c r="D190" s="349">
        <f>D143/2</f>
        <v>2.5</v>
      </c>
      <c r="E190" s="349">
        <f>E143/2</f>
        <v>1.5</v>
      </c>
      <c r="F190" s="349">
        <f>F143/2</f>
        <v>1.25</v>
      </c>
      <c r="G190" s="352">
        <f>D190</f>
        <v>2.5</v>
      </c>
      <c r="H190" s="352">
        <f t="shared" si="7"/>
        <v>1.5</v>
      </c>
      <c r="I190" s="352">
        <f t="shared" si="7"/>
        <v>1.25</v>
      </c>
      <c r="J190" s="156" t="s">
        <v>277</v>
      </c>
    </row>
    <row r="191" spans="2:12">
      <c r="B191" s="156" t="s">
        <v>274</v>
      </c>
      <c r="C191" s="154"/>
      <c r="D191" s="349">
        <f>IF($D$173="yes",D156/2,D156/3)</f>
        <v>1.6666666666666667</v>
      </c>
      <c r="E191" s="349">
        <f t="shared" ref="E191:F191" si="8">IF($D$173="yes",E156/2,E156/3)</f>
        <v>2.6666666666666665</v>
      </c>
      <c r="F191" s="349">
        <f t="shared" si="8"/>
        <v>2</v>
      </c>
      <c r="G191" s="352">
        <f>D156/2</f>
        <v>2.5</v>
      </c>
      <c r="H191" s="352">
        <f t="shared" ref="H191:I191" si="9">E156/2</f>
        <v>4</v>
      </c>
      <c r="I191" s="352">
        <f t="shared" si="9"/>
        <v>3</v>
      </c>
      <c r="J191" s="156" t="s">
        <v>274</v>
      </c>
      <c r="L191" t="s">
        <v>519</v>
      </c>
    </row>
    <row r="192" spans="2:12">
      <c r="B192" s="156" t="s">
        <v>252</v>
      </c>
      <c r="C192" s="154"/>
      <c r="D192" s="349">
        <f>IF($D$170="yes",0,D155/3)</f>
        <v>0</v>
      </c>
      <c r="E192" s="349">
        <f t="shared" ref="E192:F192" si="10">IF($D$170="yes",0,E155/3)</f>
        <v>0</v>
      </c>
      <c r="F192" s="349">
        <f t="shared" si="10"/>
        <v>0</v>
      </c>
      <c r="G192" s="352">
        <f>D192</f>
        <v>0</v>
      </c>
      <c r="H192" s="352">
        <f t="shared" ref="H192:I192" si="11">E192</f>
        <v>0</v>
      </c>
      <c r="I192" s="352">
        <f t="shared" si="11"/>
        <v>0</v>
      </c>
      <c r="J192" s="156" t="s">
        <v>252</v>
      </c>
      <c r="L192" t="s">
        <v>520</v>
      </c>
    </row>
    <row r="193" spans="2:10">
      <c r="B193" s="153" t="s">
        <v>268</v>
      </c>
      <c r="C193" s="154"/>
      <c r="D193" s="155"/>
      <c r="E193" s="155"/>
      <c r="F193" s="155"/>
      <c r="G193" s="352"/>
      <c r="H193" s="352"/>
      <c r="I193" s="352"/>
      <c r="J193" s="153" t="s">
        <v>268</v>
      </c>
    </row>
    <row r="194" spans="2:10">
      <c r="B194" s="156" t="s">
        <v>251</v>
      </c>
      <c r="C194" s="154"/>
      <c r="D194" s="349">
        <f>D154</f>
        <v>0</v>
      </c>
      <c r="E194" s="349">
        <f t="shared" ref="E194:F194" si="12">E154</f>
        <v>0</v>
      </c>
      <c r="F194" s="349">
        <f t="shared" si="12"/>
        <v>1.5</v>
      </c>
      <c r="G194" s="352">
        <f>D194</f>
        <v>0</v>
      </c>
      <c r="H194" s="352">
        <f t="shared" ref="H194:I194" si="13">E194</f>
        <v>0</v>
      </c>
      <c r="I194" s="352">
        <f t="shared" si="13"/>
        <v>1.5</v>
      </c>
      <c r="J194" s="156" t="s">
        <v>251</v>
      </c>
    </row>
    <row r="195" spans="2:10">
      <c r="B195" s="156" t="s">
        <v>102</v>
      </c>
      <c r="C195" s="154"/>
      <c r="D195" s="349">
        <f>D184</f>
        <v>0.75</v>
      </c>
      <c r="E195" s="349">
        <f t="shared" ref="E195:F195" si="14">E184</f>
        <v>2.5</v>
      </c>
      <c r="F195" s="349">
        <f t="shared" si="14"/>
        <v>3</v>
      </c>
      <c r="G195" s="352">
        <f>G184</f>
        <v>0.75</v>
      </c>
      <c r="H195" s="352">
        <f t="shared" ref="H195:I195" si="15">H184</f>
        <v>2.5</v>
      </c>
      <c r="I195" s="352">
        <f t="shared" si="15"/>
        <v>3</v>
      </c>
      <c r="J195" s="156" t="s">
        <v>102</v>
      </c>
    </row>
    <row r="196" spans="2:10">
      <c r="B196" s="156" t="s">
        <v>279</v>
      </c>
      <c r="C196" s="154"/>
      <c r="D196" s="349">
        <f>IF($D$170="yes",D155/2,0)</f>
        <v>1</v>
      </c>
      <c r="E196" s="349">
        <f t="shared" ref="E196:F196" si="16">IF($D$170="yes",E155/2,0)</f>
        <v>1.5</v>
      </c>
      <c r="F196" s="349">
        <f t="shared" si="16"/>
        <v>1.5</v>
      </c>
      <c r="G196" s="352">
        <f>D196</f>
        <v>1</v>
      </c>
      <c r="H196" s="352">
        <f t="shared" ref="H196:I196" si="17">E196</f>
        <v>1.5</v>
      </c>
      <c r="I196" s="352">
        <f t="shared" si="17"/>
        <v>1.5</v>
      </c>
      <c r="J196" s="156" t="s">
        <v>279</v>
      </c>
    </row>
    <row r="197" spans="2:10">
      <c r="B197" s="153" t="s">
        <v>280</v>
      </c>
      <c r="C197" s="154"/>
      <c r="D197" s="349"/>
      <c r="E197" s="349"/>
      <c r="F197" s="349"/>
      <c r="G197" s="352"/>
      <c r="H197" s="352"/>
      <c r="I197" s="352"/>
      <c r="J197" s="153" t="s">
        <v>280</v>
      </c>
    </row>
    <row r="198" spans="2:10">
      <c r="B198" s="156" t="s">
        <v>244</v>
      </c>
      <c r="C198" s="154"/>
      <c r="D198" s="349">
        <f>IF($D$166="yes",D139/2,0)</f>
        <v>0</v>
      </c>
      <c r="E198" s="349">
        <f>IF($D$166="yes",E139/2,0)</f>
        <v>0</v>
      </c>
      <c r="F198" s="349">
        <f>IF($D$166="yes",F139/2,0)</f>
        <v>0</v>
      </c>
      <c r="G198" s="352">
        <f>D198</f>
        <v>0</v>
      </c>
      <c r="H198" s="352">
        <f t="shared" ref="H198:I200" si="18">E198</f>
        <v>0</v>
      </c>
      <c r="I198" s="352">
        <f t="shared" si="18"/>
        <v>0</v>
      </c>
      <c r="J198" s="156" t="s">
        <v>244</v>
      </c>
    </row>
    <row r="199" spans="2:10">
      <c r="B199" s="156" t="s">
        <v>245</v>
      </c>
      <c r="C199" s="154"/>
      <c r="D199" s="349">
        <f>IF($D$166="yes",D140/2,D140)</f>
        <v>9.9989999999999988</v>
      </c>
      <c r="E199" s="349">
        <f>IF($D$166="yes",E140/2,E140)</f>
        <v>6.6659999999999995</v>
      </c>
      <c r="F199" s="349">
        <f>IF($D$166="yes",F140/2,F140)</f>
        <v>7.3325999999999993</v>
      </c>
      <c r="G199" s="352">
        <f>D199</f>
        <v>9.9989999999999988</v>
      </c>
      <c r="H199" s="352">
        <f t="shared" si="18"/>
        <v>6.6659999999999995</v>
      </c>
      <c r="I199" s="352">
        <f t="shared" si="18"/>
        <v>7.3325999999999993</v>
      </c>
      <c r="J199" s="156" t="s">
        <v>245</v>
      </c>
    </row>
    <row r="200" spans="2:10">
      <c r="B200" s="156" t="s">
        <v>277</v>
      </c>
      <c r="C200" s="154"/>
      <c r="D200" s="349">
        <f t="shared" ref="D200:F200" si="19">D190</f>
        <v>2.5</v>
      </c>
      <c r="E200" s="349">
        <f t="shared" si="19"/>
        <v>1.5</v>
      </c>
      <c r="F200" s="349">
        <f t="shared" si="19"/>
        <v>1.25</v>
      </c>
      <c r="G200" s="352">
        <f>D200</f>
        <v>2.5</v>
      </c>
      <c r="H200" s="352">
        <f t="shared" si="18"/>
        <v>1.5</v>
      </c>
      <c r="I200" s="352">
        <f t="shared" si="18"/>
        <v>1.25</v>
      </c>
      <c r="J200" s="156" t="s">
        <v>277</v>
      </c>
    </row>
    <row r="201" spans="2:10">
      <c r="B201" s="156" t="s">
        <v>274</v>
      </c>
      <c r="C201" s="154"/>
      <c r="D201" s="349">
        <f>IF($D$173="yes",D156/2,D156/3)</f>
        <v>1.6666666666666667</v>
      </c>
      <c r="E201" s="349">
        <f t="shared" ref="E201:F201" si="20">IF($D$173="yes",E156/2,E156/3)</f>
        <v>2.6666666666666665</v>
      </c>
      <c r="F201" s="349">
        <f t="shared" si="20"/>
        <v>2</v>
      </c>
      <c r="G201" s="352">
        <f>G191</f>
        <v>2.5</v>
      </c>
      <c r="H201" s="352">
        <f t="shared" ref="H201:I201" si="21">H191</f>
        <v>4</v>
      </c>
      <c r="I201" s="352">
        <f t="shared" si="21"/>
        <v>3</v>
      </c>
      <c r="J201" s="156" t="s">
        <v>274</v>
      </c>
    </row>
    <row r="202" spans="2:10">
      <c r="B202" s="156" t="s">
        <v>273</v>
      </c>
      <c r="C202" s="154"/>
      <c r="D202" s="349">
        <f>IF($D$170="yes",0,D155/3)</f>
        <v>0</v>
      </c>
      <c r="E202" s="349">
        <f t="shared" ref="E202:F202" si="22">IF($D$170="yes",0,E155/3)</f>
        <v>0</v>
      </c>
      <c r="F202" s="349">
        <f t="shared" si="22"/>
        <v>0</v>
      </c>
      <c r="G202" s="352">
        <f>D202</f>
        <v>0</v>
      </c>
      <c r="H202" s="352">
        <f t="shared" ref="H202:I202" si="23">E202</f>
        <v>0</v>
      </c>
      <c r="I202" s="352">
        <f t="shared" si="23"/>
        <v>0</v>
      </c>
      <c r="J202" s="156" t="s">
        <v>273</v>
      </c>
    </row>
    <row r="203" spans="2:10">
      <c r="B203" s="153"/>
      <c r="C203" s="152"/>
      <c r="D203" s="350"/>
      <c r="E203" s="350"/>
      <c r="F203" s="350"/>
      <c r="G203" s="352"/>
      <c r="H203" s="353"/>
      <c r="I203" s="353"/>
      <c r="J203" s="153"/>
    </row>
    <row r="204" spans="2:10" s="12" customFormat="1">
      <c r="B204" s="153"/>
      <c r="C204" s="152"/>
      <c r="D204" s="157"/>
      <c r="E204" s="157"/>
      <c r="F204" s="157"/>
      <c r="G204" s="352"/>
      <c r="H204" s="353"/>
      <c r="I204" s="353"/>
      <c r="J204" s="153"/>
    </row>
    <row r="205" spans="2:10" s="12" customFormat="1">
      <c r="B205" s="54"/>
      <c r="D205" s="158"/>
      <c r="E205" s="158"/>
      <c r="F205" s="158"/>
      <c r="G205" s="24"/>
    </row>
  </sheetData>
  <mergeCells count="1">
    <mergeCell ref="C53:E53"/>
  </mergeCells>
  <pageMargins left="0.7" right="0.7" top="0.75" bottom="0.75" header="0.3" footer="0.3"/>
  <ignoredErrors>
    <ignoredError sqref="G191:I191 G195:I195 G201:I20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U88"/>
  <sheetViews>
    <sheetView topLeftCell="R42" workbookViewId="0">
      <selection activeCell="AG48" sqref="AG48"/>
    </sheetView>
  </sheetViews>
  <sheetFormatPr defaultRowHeight="15"/>
  <cols>
    <col min="1" max="1" width="24.140625" customWidth="1"/>
  </cols>
  <sheetData>
    <row r="1" spans="1:45">
      <c r="N1" s="12"/>
      <c r="O1" s="12"/>
    </row>
    <row r="2" spans="1:45">
      <c r="N2" s="12"/>
      <c r="O2" s="12"/>
    </row>
    <row r="3" spans="1:45">
      <c r="N3" s="336"/>
      <c r="O3" s="336"/>
    </row>
    <row r="4" spans="1:45">
      <c r="N4" s="12"/>
      <c r="O4" s="12"/>
    </row>
    <row r="5" spans="1:45">
      <c r="A5" s="40" t="s">
        <v>39</v>
      </c>
      <c r="B5" s="40">
        <v>1000</v>
      </c>
      <c r="C5" s="40">
        <v>1200</v>
      </c>
      <c r="D5" s="40">
        <v>1400</v>
      </c>
      <c r="E5" s="40">
        <v>1600</v>
      </c>
      <c r="F5" s="40">
        <v>1800</v>
      </c>
      <c r="G5" s="40">
        <v>2000</v>
      </c>
      <c r="H5" s="40">
        <v>2200</v>
      </c>
      <c r="I5" s="40">
        <v>2400</v>
      </c>
      <c r="J5" s="40">
        <v>2600</v>
      </c>
      <c r="K5" s="40">
        <v>2800</v>
      </c>
      <c r="L5" s="40">
        <v>3000</v>
      </c>
      <c r="M5" s="40">
        <v>3200</v>
      </c>
      <c r="N5" s="36"/>
      <c r="O5" s="36"/>
      <c r="P5" s="36"/>
      <c r="Q5" s="36"/>
      <c r="R5" s="12"/>
      <c r="S5" s="12"/>
      <c r="T5" s="12"/>
      <c r="U5" s="12"/>
      <c r="V5" s="40">
        <v>1000</v>
      </c>
      <c r="W5" s="40">
        <v>1200</v>
      </c>
      <c r="X5" s="40">
        <v>1400</v>
      </c>
      <c r="Y5" s="40">
        <v>1600</v>
      </c>
      <c r="Z5" s="40">
        <v>1800</v>
      </c>
      <c r="AA5" s="40">
        <v>2000</v>
      </c>
      <c r="AB5" s="40">
        <v>2200</v>
      </c>
      <c r="AC5" s="40">
        <v>2400</v>
      </c>
      <c r="AD5" s="40">
        <v>2600</v>
      </c>
      <c r="AE5" s="40">
        <v>2800</v>
      </c>
      <c r="AF5" s="40">
        <v>3000</v>
      </c>
      <c r="AG5" s="40">
        <v>3200</v>
      </c>
    </row>
    <row r="6" spans="1:4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12"/>
      <c r="O6" s="36"/>
      <c r="P6" s="36"/>
      <c r="Q6" s="36"/>
      <c r="R6" s="12"/>
      <c r="S6" s="12"/>
      <c r="T6" s="12"/>
      <c r="U6" s="12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45">
      <c r="A7" s="41" t="s">
        <v>40</v>
      </c>
      <c r="N7" s="12"/>
      <c r="O7" s="12"/>
      <c r="P7" s="12"/>
      <c r="Q7" s="12"/>
      <c r="R7" s="12"/>
      <c r="S7" s="12"/>
      <c r="T7" s="12"/>
      <c r="U7" s="12"/>
    </row>
    <row r="8" spans="1:45">
      <c r="A8" s="42" t="s">
        <v>41</v>
      </c>
      <c r="B8" s="43">
        <f>V8</f>
        <v>4</v>
      </c>
      <c r="C8" s="43">
        <f t="shared" ref="C8:M23" si="0">W8</f>
        <v>5</v>
      </c>
      <c r="D8" s="43">
        <f t="shared" si="0"/>
        <v>6</v>
      </c>
      <c r="E8" s="43">
        <f t="shared" si="0"/>
        <v>7</v>
      </c>
      <c r="F8" s="43">
        <f t="shared" si="0"/>
        <v>8</v>
      </c>
      <c r="G8" s="43">
        <f t="shared" si="0"/>
        <v>9</v>
      </c>
      <c r="H8" s="43">
        <f t="shared" si="0"/>
        <v>10</v>
      </c>
      <c r="I8" s="43">
        <f t="shared" si="0"/>
        <v>10</v>
      </c>
      <c r="J8" s="43">
        <f t="shared" si="0"/>
        <v>12</v>
      </c>
      <c r="K8" s="43">
        <f t="shared" si="0"/>
        <v>14</v>
      </c>
      <c r="L8" s="43">
        <f t="shared" si="0"/>
        <v>15</v>
      </c>
      <c r="M8" s="43">
        <f t="shared" si="0"/>
        <v>16</v>
      </c>
      <c r="N8" s="46"/>
      <c r="O8" s="46"/>
      <c r="P8" s="46"/>
      <c r="Q8" s="46"/>
      <c r="R8" s="12"/>
      <c r="S8" s="12"/>
      <c r="T8" s="12"/>
      <c r="U8" s="42" t="s">
        <v>41</v>
      </c>
      <c r="V8" s="355">
        <v>4</v>
      </c>
      <c r="W8" s="355">
        <v>5</v>
      </c>
      <c r="X8" s="355">
        <v>6</v>
      </c>
      <c r="Y8" s="355">
        <v>7</v>
      </c>
      <c r="Z8" s="355">
        <v>8</v>
      </c>
      <c r="AA8" s="355">
        <v>9</v>
      </c>
      <c r="AB8" s="355">
        <v>10</v>
      </c>
      <c r="AC8" s="355">
        <v>10</v>
      </c>
      <c r="AD8" s="355">
        <v>12</v>
      </c>
      <c r="AE8" s="355">
        <v>14</v>
      </c>
      <c r="AF8" s="355">
        <v>15</v>
      </c>
      <c r="AG8" s="355">
        <v>16</v>
      </c>
      <c r="AH8" s="3"/>
    </row>
    <row r="9" spans="1:45" ht="31.5">
      <c r="A9" s="42" t="s">
        <v>42</v>
      </c>
      <c r="B9" s="43">
        <f t="shared" ref="B9:B26" si="1">V9</f>
        <v>1.5</v>
      </c>
      <c r="C9" s="43">
        <f t="shared" si="0"/>
        <v>2.5</v>
      </c>
      <c r="D9" s="43">
        <f t="shared" si="0"/>
        <v>2.5</v>
      </c>
      <c r="E9" s="43">
        <f t="shared" si="0"/>
        <v>4</v>
      </c>
      <c r="F9" s="43">
        <f t="shared" si="0"/>
        <v>4.5</v>
      </c>
      <c r="G9" s="43">
        <f t="shared" si="0"/>
        <v>4.5</v>
      </c>
      <c r="H9" s="43">
        <f t="shared" si="0"/>
        <v>5</v>
      </c>
      <c r="I9" s="43">
        <f t="shared" si="0"/>
        <v>5</v>
      </c>
      <c r="J9" s="43">
        <f t="shared" si="0"/>
        <v>5</v>
      </c>
      <c r="K9" s="43">
        <f t="shared" si="0"/>
        <v>5</v>
      </c>
      <c r="L9" s="43">
        <f t="shared" si="0"/>
        <v>5</v>
      </c>
      <c r="M9" s="43">
        <f t="shared" si="0"/>
        <v>5</v>
      </c>
      <c r="N9" s="46"/>
      <c r="O9" s="46"/>
      <c r="P9" s="46"/>
      <c r="Q9" s="46"/>
      <c r="R9" s="12"/>
      <c r="S9" s="12"/>
      <c r="T9" s="12"/>
      <c r="U9" s="42" t="s">
        <v>42</v>
      </c>
      <c r="V9" s="355">
        <v>1.5</v>
      </c>
      <c r="W9" s="355">
        <v>2.5</v>
      </c>
      <c r="X9" s="355">
        <v>2.5</v>
      </c>
      <c r="Y9" s="355">
        <v>4</v>
      </c>
      <c r="Z9" s="355">
        <v>4.5</v>
      </c>
      <c r="AA9" s="355">
        <v>4.5</v>
      </c>
      <c r="AB9" s="355">
        <v>5</v>
      </c>
      <c r="AC9" s="355">
        <v>5</v>
      </c>
      <c r="AD9" s="355">
        <v>5</v>
      </c>
      <c r="AE9" s="355">
        <v>5</v>
      </c>
      <c r="AF9" s="355">
        <v>5</v>
      </c>
      <c r="AG9" s="355">
        <v>5</v>
      </c>
      <c r="AH9" s="3"/>
    </row>
    <row r="10" spans="1:45">
      <c r="A10" s="42" t="s">
        <v>43</v>
      </c>
      <c r="B10" s="43">
        <f t="shared" si="1"/>
        <v>1</v>
      </c>
      <c r="C10" s="43">
        <f t="shared" si="0"/>
        <v>1</v>
      </c>
      <c r="D10" s="43">
        <f t="shared" si="0"/>
        <v>1.5</v>
      </c>
      <c r="E10" s="43">
        <f t="shared" si="0"/>
        <v>1.5</v>
      </c>
      <c r="F10" s="43">
        <f t="shared" si="0"/>
        <v>1.5</v>
      </c>
      <c r="G10" s="43">
        <f t="shared" si="0"/>
        <v>1.5</v>
      </c>
      <c r="H10" s="43">
        <f t="shared" si="0"/>
        <v>2</v>
      </c>
      <c r="I10" s="43">
        <f t="shared" si="0"/>
        <v>2</v>
      </c>
      <c r="J10" s="43">
        <f t="shared" si="0"/>
        <v>2</v>
      </c>
      <c r="K10" s="43">
        <f t="shared" si="0"/>
        <v>2</v>
      </c>
      <c r="L10" s="43">
        <f t="shared" si="0"/>
        <v>1.5</v>
      </c>
      <c r="M10" s="43">
        <f t="shared" si="0"/>
        <v>1.5</v>
      </c>
      <c r="N10" s="46"/>
      <c r="O10" s="46"/>
      <c r="P10" s="46"/>
      <c r="Q10" s="46"/>
      <c r="R10" s="12"/>
      <c r="S10" s="12"/>
      <c r="T10" s="12"/>
      <c r="U10" s="42" t="s">
        <v>43</v>
      </c>
      <c r="V10" s="356">
        <v>1</v>
      </c>
      <c r="W10" s="356">
        <v>1</v>
      </c>
      <c r="X10" s="356">
        <v>1.5</v>
      </c>
      <c r="Y10" s="356">
        <v>1.5</v>
      </c>
      <c r="Z10" s="356">
        <v>1.5</v>
      </c>
      <c r="AA10" s="355">
        <v>1.5</v>
      </c>
      <c r="AB10" s="355">
        <v>2</v>
      </c>
      <c r="AC10" s="355">
        <v>2</v>
      </c>
      <c r="AD10" s="355">
        <v>2</v>
      </c>
      <c r="AE10" s="355">
        <v>2</v>
      </c>
      <c r="AF10" s="355">
        <v>1.5</v>
      </c>
      <c r="AG10" s="355">
        <v>1.5</v>
      </c>
      <c r="AH10" s="3"/>
    </row>
    <row r="11" spans="1:45" ht="21">
      <c r="A11" s="42" t="s">
        <v>44</v>
      </c>
      <c r="B11" s="43">
        <f t="shared" si="1"/>
        <v>0</v>
      </c>
      <c r="C11" s="43">
        <f t="shared" si="0"/>
        <v>0</v>
      </c>
      <c r="D11" s="43">
        <f t="shared" si="0"/>
        <v>0</v>
      </c>
      <c r="E11" s="43">
        <f t="shared" si="0"/>
        <v>0</v>
      </c>
      <c r="F11" s="43">
        <f t="shared" si="0"/>
        <v>0</v>
      </c>
      <c r="G11" s="43">
        <f t="shared" si="0"/>
        <v>0</v>
      </c>
      <c r="H11" s="43">
        <f t="shared" si="0"/>
        <v>0</v>
      </c>
      <c r="I11" s="43">
        <f t="shared" si="0"/>
        <v>0</v>
      </c>
      <c r="J11" s="43">
        <f t="shared" si="0"/>
        <v>0</v>
      </c>
      <c r="K11" s="43">
        <f t="shared" si="0"/>
        <v>0</v>
      </c>
      <c r="L11" s="43">
        <f t="shared" si="0"/>
        <v>0</v>
      </c>
      <c r="M11" s="43">
        <f t="shared" si="0"/>
        <v>0</v>
      </c>
      <c r="N11" s="46"/>
      <c r="O11" s="46"/>
      <c r="P11" s="46"/>
      <c r="Q11" s="46"/>
      <c r="R11" s="46"/>
      <c r="S11" s="46"/>
      <c r="T11" s="46"/>
      <c r="U11" s="42" t="s">
        <v>44</v>
      </c>
      <c r="V11" s="355">
        <v>0</v>
      </c>
      <c r="W11" s="355">
        <v>0</v>
      </c>
      <c r="X11" s="355">
        <v>0</v>
      </c>
      <c r="Y11" s="355">
        <v>0</v>
      </c>
      <c r="Z11" s="355">
        <v>0</v>
      </c>
      <c r="AA11" s="355">
        <v>0</v>
      </c>
      <c r="AB11" s="355">
        <v>0</v>
      </c>
      <c r="AC11" s="355">
        <v>0</v>
      </c>
      <c r="AD11" s="355">
        <v>0</v>
      </c>
      <c r="AE11" s="355">
        <v>0</v>
      </c>
      <c r="AF11" s="355">
        <v>0</v>
      </c>
      <c r="AG11" s="355">
        <v>0</v>
      </c>
      <c r="AH11" s="3"/>
    </row>
    <row r="12" spans="1:45" ht="21">
      <c r="A12" s="42" t="s">
        <v>45</v>
      </c>
      <c r="B12" s="43">
        <f t="shared" si="1"/>
        <v>0</v>
      </c>
      <c r="C12" s="43">
        <f t="shared" si="0"/>
        <v>0</v>
      </c>
      <c r="D12" s="43">
        <f t="shared" si="0"/>
        <v>0</v>
      </c>
      <c r="E12" s="43">
        <f t="shared" si="0"/>
        <v>0</v>
      </c>
      <c r="F12" s="43">
        <f t="shared" si="0"/>
        <v>0</v>
      </c>
      <c r="G12" s="43">
        <f t="shared" si="0"/>
        <v>0</v>
      </c>
      <c r="H12" s="43">
        <f t="shared" si="0"/>
        <v>0</v>
      </c>
      <c r="I12" s="43">
        <f t="shared" si="0"/>
        <v>0</v>
      </c>
      <c r="J12" s="43">
        <f t="shared" si="0"/>
        <v>0</v>
      </c>
      <c r="K12" s="43">
        <f t="shared" si="0"/>
        <v>0</v>
      </c>
      <c r="L12" s="43">
        <f t="shared" si="0"/>
        <v>0</v>
      </c>
      <c r="M12" s="43">
        <f t="shared" si="0"/>
        <v>0</v>
      </c>
      <c r="N12" s="46"/>
      <c r="O12" s="46"/>
      <c r="P12" s="46"/>
      <c r="Q12" s="46"/>
      <c r="R12" s="46"/>
      <c r="S12" s="46"/>
      <c r="T12" s="46"/>
      <c r="U12" s="42" t="s">
        <v>45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  <c r="AE12" s="355">
        <v>0</v>
      </c>
      <c r="AF12" s="355">
        <v>0</v>
      </c>
      <c r="AG12" s="355">
        <v>0</v>
      </c>
      <c r="AH12" s="3"/>
    </row>
    <row r="13" spans="1:45" ht="21">
      <c r="A13" s="42" t="s">
        <v>46</v>
      </c>
      <c r="B13" s="43">
        <f t="shared" si="1"/>
        <v>2</v>
      </c>
      <c r="C13" s="43">
        <f t="shared" si="0"/>
        <v>2</v>
      </c>
      <c r="D13" s="43">
        <f t="shared" si="0"/>
        <v>2</v>
      </c>
      <c r="E13" s="43">
        <f t="shared" si="0"/>
        <v>2</v>
      </c>
      <c r="F13" s="43">
        <f t="shared" si="0"/>
        <v>2</v>
      </c>
      <c r="G13" s="43">
        <f t="shared" si="0"/>
        <v>2</v>
      </c>
      <c r="H13" s="43">
        <f t="shared" si="0"/>
        <v>2</v>
      </c>
      <c r="I13" s="43">
        <f t="shared" si="0"/>
        <v>2</v>
      </c>
      <c r="J13" s="43">
        <f t="shared" si="0"/>
        <v>2</v>
      </c>
      <c r="K13" s="43">
        <f t="shared" si="0"/>
        <v>2</v>
      </c>
      <c r="L13" s="43">
        <f t="shared" si="0"/>
        <v>2</v>
      </c>
      <c r="M13" s="43">
        <f t="shared" si="0"/>
        <v>2</v>
      </c>
      <c r="N13" s="46"/>
      <c r="O13" s="46"/>
      <c r="P13" s="46"/>
      <c r="Q13" s="46"/>
      <c r="R13" s="46"/>
      <c r="S13" s="46"/>
      <c r="T13" s="46"/>
      <c r="U13" s="42" t="s">
        <v>46</v>
      </c>
      <c r="V13" s="355">
        <v>2</v>
      </c>
      <c r="W13" s="355">
        <v>2</v>
      </c>
      <c r="X13" s="355">
        <v>2</v>
      </c>
      <c r="Y13" s="355">
        <v>2</v>
      </c>
      <c r="Z13" s="355">
        <v>2</v>
      </c>
      <c r="AA13" s="355">
        <v>2</v>
      </c>
      <c r="AB13" s="355">
        <v>2</v>
      </c>
      <c r="AC13" s="355">
        <v>2</v>
      </c>
      <c r="AD13" s="355">
        <v>2</v>
      </c>
      <c r="AE13" s="355">
        <v>2</v>
      </c>
      <c r="AF13" s="355">
        <v>2</v>
      </c>
      <c r="AG13" s="355">
        <v>2</v>
      </c>
      <c r="AH13" s="3"/>
    </row>
    <row r="14" spans="1:45" ht="42">
      <c r="A14" s="44" t="s">
        <v>47</v>
      </c>
      <c r="B14" s="43">
        <f t="shared" si="1"/>
        <v>0</v>
      </c>
      <c r="C14" s="43">
        <f t="shared" si="0"/>
        <v>0</v>
      </c>
      <c r="D14" s="43">
        <f t="shared" si="0"/>
        <v>0</v>
      </c>
      <c r="E14" s="43">
        <f t="shared" si="0"/>
        <v>0</v>
      </c>
      <c r="F14" s="43">
        <f t="shared" si="0"/>
        <v>0</v>
      </c>
      <c r="G14" s="43">
        <f t="shared" si="0"/>
        <v>0</v>
      </c>
      <c r="H14" s="43">
        <f t="shared" si="0"/>
        <v>0</v>
      </c>
      <c r="I14" s="43">
        <f t="shared" si="0"/>
        <v>0</v>
      </c>
      <c r="J14" s="43">
        <f t="shared" si="0"/>
        <v>0</v>
      </c>
      <c r="K14" s="43">
        <f t="shared" si="0"/>
        <v>0</v>
      </c>
      <c r="L14" s="43">
        <f t="shared" si="0"/>
        <v>0</v>
      </c>
      <c r="M14" s="43">
        <f t="shared" si="0"/>
        <v>0</v>
      </c>
      <c r="N14" s="46"/>
      <c r="O14" s="46"/>
      <c r="P14" s="46"/>
      <c r="Q14" s="46"/>
      <c r="R14" s="12"/>
      <c r="S14" s="12"/>
      <c r="T14" s="12"/>
      <c r="U14" s="44" t="s">
        <v>47</v>
      </c>
      <c r="V14" s="357"/>
      <c r="W14" s="357"/>
      <c r="X14" s="357"/>
      <c r="Y14" s="357"/>
      <c r="Z14" s="357"/>
      <c r="AA14" s="358"/>
      <c r="AB14" s="357"/>
      <c r="AC14" s="357"/>
      <c r="AD14" s="357"/>
      <c r="AE14" s="357"/>
      <c r="AF14" s="357"/>
      <c r="AG14" s="357"/>
      <c r="AH14" s="3"/>
    </row>
    <row r="15" spans="1:45">
      <c r="A15" s="47" t="s">
        <v>48</v>
      </c>
      <c r="B15" s="43">
        <f t="shared" si="1"/>
        <v>2</v>
      </c>
      <c r="C15" s="43">
        <f t="shared" si="0"/>
        <v>2</v>
      </c>
      <c r="D15" s="43">
        <f t="shared" si="0"/>
        <v>3</v>
      </c>
      <c r="E15" s="43">
        <f t="shared" si="0"/>
        <v>3</v>
      </c>
      <c r="F15" s="43">
        <f t="shared" si="0"/>
        <v>3</v>
      </c>
      <c r="G15" s="43">
        <f t="shared" si="0"/>
        <v>3</v>
      </c>
      <c r="H15" s="43">
        <f t="shared" si="0"/>
        <v>3</v>
      </c>
      <c r="I15" s="43">
        <f t="shared" si="0"/>
        <v>3</v>
      </c>
      <c r="J15" s="43">
        <f t="shared" si="0"/>
        <v>3</v>
      </c>
      <c r="K15" s="43">
        <f t="shared" si="0"/>
        <v>3</v>
      </c>
      <c r="L15" s="43">
        <f t="shared" si="0"/>
        <v>3</v>
      </c>
      <c r="M15" s="43">
        <f t="shared" si="0"/>
        <v>3</v>
      </c>
      <c r="N15" s="46"/>
      <c r="O15" s="46"/>
      <c r="P15" s="46"/>
      <c r="Q15" s="46"/>
      <c r="R15" s="12"/>
      <c r="S15" s="46"/>
      <c r="T15" s="46"/>
      <c r="U15" s="47" t="s">
        <v>48</v>
      </c>
      <c r="V15" s="355">
        <v>2</v>
      </c>
      <c r="W15" s="355">
        <v>2</v>
      </c>
      <c r="X15" s="355">
        <v>3</v>
      </c>
      <c r="Y15" s="355">
        <v>3</v>
      </c>
      <c r="Z15" s="355">
        <v>3</v>
      </c>
      <c r="AA15" s="355">
        <v>3</v>
      </c>
      <c r="AB15" s="355">
        <v>3</v>
      </c>
      <c r="AC15" s="355">
        <v>3</v>
      </c>
      <c r="AD15" s="355">
        <v>3</v>
      </c>
      <c r="AE15" s="355">
        <v>3</v>
      </c>
      <c r="AF15" s="355">
        <v>3</v>
      </c>
      <c r="AG15" s="355">
        <v>3</v>
      </c>
      <c r="AH15" s="3"/>
    </row>
    <row r="16" spans="1:45" ht="56.25">
      <c r="A16" s="47" t="s">
        <v>49</v>
      </c>
      <c r="B16" s="43">
        <f t="shared" si="1"/>
        <v>1.5</v>
      </c>
      <c r="C16" s="43">
        <f t="shared" si="0"/>
        <v>1.5</v>
      </c>
      <c r="D16" s="43">
        <f t="shared" si="0"/>
        <v>2</v>
      </c>
      <c r="E16" s="43">
        <f t="shared" si="0"/>
        <v>2</v>
      </c>
      <c r="F16" s="43">
        <f t="shared" si="0"/>
        <v>2.5</v>
      </c>
      <c r="G16" s="43">
        <f t="shared" si="0"/>
        <v>3</v>
      </c>
      <c r="H16" s="43">
        <f t="shared" si="0"/>
        <v>3</v>
      </c>
      <c r="I16" s="43">
        <f t="shared" si="0"/>
        <v>4</v>
      </c>
      <c r="J16" s="43">
        <f t="shared" si="0"/>
        <v>3.5</v>
      </c>
      <c r="K16" s="43">
        <f t="shared" si="0"/>
        <v>3.5</v>
      </c>
      <c r="L16" s="43">
        <f t="shared" si="0"/>
        <v>3.5</v>
      </c>
      <c r="M16" s="43">
        <f t="shared" si="0"/>
        <v>4</v>
      </c>
      <c r="N16" s="46"/>
      <c r="O16" s="46"/>
      <c r="P16" s="46"/>
      <c r="Q16" s="46"/>
      <c r="R16" s="12"/>
      <c r="S16" s="46"/>
      <c r="T16" s="46"/>
      <c r="U16" s="364" t="s">
        <v>49</v>
      </c>
      <c r="V16" s="355">
        <v>1.5</v>
      </c>
      <c r="W16" s="355">
        <v>1.5</v>
      </c>
      <c r="X16" s="355">
        <v>2</v>
      </c>
      <c r="Y16" s="355">
        <v>2</v>
      </c>
      <c r="Z16" s="355">
        <v>2.5</v>
      </c>
      <c r="AA16" s="355">
        <v>3</v>
      </c>
      <c r="AB16" s="355">
        <v>3</v>
      </c>
      <c r="AC16" s="355">
        <v>4</v>
      </c>
      <c r="AD16" s="355">
        <v>3.5</v>
      </c>
      <c r="AE16" s="355">
        <v>3.5</v>
      </c>
      <c r="AF16" s="355">
        <v>3.5</v>
      </c>
      <c r="AG16" s="355">
        <v>4</v>
      </c>
      <c r="AH16" s="7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45">
      <c r="A17" s="47" t="s">
        <v>50</v>
      </c>
      <c r="B17" s="43">
        <f t="shared" si="1"/>
        <v>1.5</v>
      </c>
      <c r="C17" s="43">
        <f t="shared" si="0"/>
        <v>1.5</v>
      </c>
      <c r="D17" s="43">
        <f t="shared" si="0"/>
        <v>2</v>
      </c>
      <c r="E17" s="43">
        <f t="shared" si="0"/>
        <v>2</v>
      </c>
      <c r="F17" s="43">
        <f t="shared" si="0"/>
        <v>2.5</v>
      </c>
      <c r="G17" s="43">
        <f t="shared" si="0"/>
        <v>3</v>
      </c>
      <c r="H17" s="43">
        <f t="shared" si="0"/>
        <v>3</v>
      </c>
      <c r="I17" s="43">
        <f t="shared" si="0"/>
        <v>4</v>
      </c>
      <c r="J17" s="43">
        <f t="shared" si="0"/>
        <v>3.5</v>
      </c>
      <c r="K17" s="43">
        <f t="shared" si="0"/>
        <v>3.5</v>
      </c>
      <c r="L17" s="43">
        <f t="shared" si="0"/>
        <v>4</v>
      </c>
      <c r="M17" s="43">
        <f t="shared" si="0"/>
        <v>4.5</v>
      </c>
      <c r="N17" s="46"/>
      <c r="O17" s="46"/>
      <c r="P17" s="46"/>
      <c r="Q17" s="46"/>
      <c r="R17" s="12"/>
      <c r="S17" s="46"/>
      <c r="T17" s="46"/>
      <c r="U17" s="47" t="s">
        <v>50</v>
      </c>
      <c r="V17" s="355">
        <v>1.5</v>
      </c>
      <c r="W17" s="355">
        <v>1.5</v>
      </c>
      <c r="X17" s="355">
        <v>2</v>
      </c>
      <c r="Y17" s="355">
        <v>2</v>
      </c>
      <c r="Z17" s="355">
        <v>2.5</v>
      </c>
      <c r="AA17" s="355">
        <v>3</v>
      </c>
      <c r="AB17" s="355">
        <v>3</v>
      </c>
      <c r="AC17" s="355">
        <v>4</v>
      </c>
      <c r="AD17" s="355">
        <v>3.5</v>
      </c>
      <c r="AE17" s="355">
        <v>3.5</v>
      </c>
      <c r="AF17" s="355">
        <v>4</v>
      </c>
      <c r="AG17" s="355">
        <v>4.5</v>
      </c>
      <c r="AH17" s="3"/>
    </row>
    <row r="18" spans="1:45" ht="33.75">
      <c r="A18" s="47" t="s">
        <v>51</v>
      </c>
      <c r="B18" s="43">
        <f t="shared" si="1"/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6"/>
      <c r="O18" s="46"/>
      <c r="P18" s="46"/>
      <c r="Q18" s="46"/>
      <c r="R18" s="12"/>
      <c r="S18" s="46"/>
      <c r="T18" s="46"/>
      <c r="U18" s="47" t="s">
        <v>51</v>
      </c>
      <c r="V18" s="355">
        <v>0</v>
      </c>
      <c r="W18" s="355">
        <v>0</v>
      </c>
      <c r="X18" s="355">
        <v>0</v>
      </c>
      <c r="Y18" s="355">
        <v>0</v>
      </c>
      <c r="Z18" s="355">
        <v>0</v>
      </c>
      <c r="AA18" s="355">
        <v>0</v>
      </c>
      <c r="AB18" s="355">
        <v>0</v>
      </c>
      <c r="AC18" s="355">
        <v>0</v>
      </c>
      <c r="AD18" s="355">
        <v>0</v>
      </c>
      <c r="AE18" s="355">
        <v>0</v>
      </c>
      <c r="AF18" s="355">
        <v>0</v>
      </c>
      <c r="AG18" s="355">
        <v>0</v>
      </c>
      <c r="AH18" s="3"/>
    </row>
    <row r="19" spans="1:45" ht="52.5">
      <c r="A19" s="44" t="s">
        <v>52</v>
      </c>
      <c r="B19" s="43">
        <f t="shared" si="1"/>
        <v>0</v>
      </c>
      <c r="C19" s="43">
        <f t="shared" si="0"/>
        <v>0</v>
      </c>
      <c r="D19" s="43">
        <f t="shared" si="0"/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6"/>
      <c r="O19" s="46"/>
      <c r="P19" s="46"/>
      <c r="Q19" s="46"/>
      <c r="R19" s="12"/>
      <c r="S19" s="12"/>
      <c r="T19" s="12"/>
      <c r="U19" s="44" t="s">
        <v>52</v>
      </c>
      <c r="V19" s="357"/>
      <c r="W19" s="357"/>
      <c r="X19" s="357"/>
      <c r="Y19" s="357"/>
      <c r="Z19" s="357"/>
      <c r="AA19" s="358"/>
      <c r="AB19" s="357"/>
      <c r="AC19" s="357"/>
      <c r="AD19" s="357"/>
      <c r="AE19" s="357"/>
      <c r="AF19" s="359"/>
      <c r="AG19" s="357"/>
      <c r="AH19" s="3"/>
    </row>
    <row r="20" spans="1:45" ht="22.5">
      <c r="A20" s="47" t="s">
        <v>53</v>
      </c>
      <c r="B20" s="43">
        <f t="shared" si="1"/>
        <v>1.5</v>
      </c>
      <c r="C20" s="43">
        <f t="shared" si="0"/>
        <v>1.5</v>
      </c>
      <c r="D20" s="43">
        <f t="shared" si="0"/>
        <v>1.5</v>
      </c>
      <c r="E20" s="43">
        <f t="shared" si="0"/>
        <v>4</v>
      </c>
      <c r="F20" s="43">
        <f t="shared" si="0"/>
        <v>4</v>
      </c>
      <c r="G20" s="43">
        <f t="shared" si="0"/>
        <v>4</v>
      </c>
      <c r="H20" s="43">
        <f t="shared" si="0"/>
        <v>4</v>
      </c>
      <c r="I20" s="43">
        <f t="shared" si="0"/>
        <v>4</v>
      </c>
      <c r="J20" s="43">
        <f t="shared" si="0"/>
        <v>4</v>
      </c>
      <c r="K20" s="43">
        <f t="shared" si="0"/>
        <v>4</v>
      </c>
      <c r="L20" s="43">
        <f t="shared" si="0"/>
        <v>4</v>
      </c>
      <c r="M20" s="43">
        <f t="shared" si="0"/>
        <v>4</v>
      </c>
      <c r="N20" s="46"/>
      <c r="O20" s="46"/>
      <c r="P20" s="46"/>
      <c r="Q20" s="46"/>
      <c r="R20" s="12"/>
      <c r="S20" s="12"/>
      <c r="T20" s="12"/>
      <c r="U20" s="47" t="s">
        <v>53</v>
      </c>
      <c r="V20" s="355">
        <v>1.5</v>
      </c>
      <c r="W20" s="355">
        <v>1.5</v>
      </c>
      <c r="X20" s="355">
        <v>1.5</v>
      </c>
      <c r="Y20" s="355">
        <v>4</v>
      </c>
      <c r="Z20" s="355">
        <v>4</v>
      </c>
      <c r="AA20" s="355">
        <v>4</v>
      </c>
      <c r="AB20" s="355">
        <v>4</v>
      </c>
      <c r="AC20" s="355">
        <v>4</v>
      </c>
      <c r="AD20" s="355">
        <v>4</v>
      </c>
      <c r="AE20" s="355">
        <v>4</v>
      </c>
      <c r="AF20" s="355">
        <v>4</v>
      </c>
      <c r="AG20" s="355">
        <v>4</v>
      </c>
      <c r="AH20" s="3"/>
    </row>
    <row r="21" spans="1:45">
      <c r="A21" s="47" t="s">
        <v>48</v>
      </c>
      <c r="B21" s="43">
        <f t="shared" si="1"/>
        <v>2</v>
      </c>
      <c r="C21" s="43">
        <f t="shared" si="0"/>
        <v>2</v>
      </c>
      <c r="D21" s="43">
        <f t="shared" si="0"/>
        <v>2</v>
      </c>
      <c r="E21" s="43">
        <f t="shared" si="0"/>
        <v>3</v>
      </c>
      <c r="F21" s="43">
        <f t="shared" si="0"/>
        <v>3</v>
      </c>
      <c r="G21" s="43">
        <f t="shared" si="0"/>
        <v>3</v>
      </c>
      <c r="H21" s="43">
        <f t="shared" si="0"/>
        <v>3</v>
      </c>
      <c r="I21" s="43">
        <f t="shared" si="0"/>
        <v>3</v>
      </c>
      <c r="J21" s="43">
        <f t="shared" si="0"/>
        <v>3</v>
      </c>
      <c r="K21" s="43">
        <f t="shared" si="0"/>
        <v>3</v>
      </c>
      <c r="L21" s="43">
        <f t="shared" si="0"/>
        <v>3</v>
      </c>
      <c r="M21" s="43">
        <f t="shared" si="0"/>
        <v>3</v>
      </c>
      <c r="N21" s="46"/>
      <c r="O21" s="46"/>
      <c r="P21" s="46"/>
      <c r="Q21" s="46"/>
      <c r="R21" s="12"/>
      <c r="S21" s="46"/>
      <c r="T21" s="46"/>
      <c r="U21" s="47" t="s">
        <v>48</v>
      </c>
      <c r="V21" s="355">
        <v>2</v>
      </c>
      <c r="W21" s="355">
        <v>2</v>
      </c>
      <c r="X21" s="355">
        <v>2</v>
      </c>
      <c r="Y21" s="355">
        <v>3</v>
      </c>
      <c r="Z21" s="355">
        <v>3</v>
      </c>
      <c r="AA21" s="355">
        <v>3</v>
      </c>
      <c r="AB21" s="355">
        <v>3</v>
      </c>
      <c r="AC21" s="355">
        <v>3</v>
      </c>
      <c r="AD21" s="355">
        <v>3</v>
      </c>
      <c r="AE21" s="355">
        <v>3</v>
      </c>
      <c r="AF21" s="355">
        <v>3</v>
      </c>
      <c r="AG21" s="355">
        <v>3</v>
      </c>
      <c r="AH21" s="3"/>
    </row>
    <row r="22" spans="1:45" ht="22.5">
      <c r="A22" s="47" t="s">
        <v>54</v>
      </c>
      <c r="B22" s="43">
        <f t="shared" si="1"/>
        <v>1.5</v>
      </c>
      <c r="C22" s="43">
        <f t="shared" si="0"/>
        <v>1.5</v>
      </c>
      <c r="D22" s="43">
        <f t="shared" si="0"/>
        <v>2.5</v>
      </c>
      <c r="E22" s="43">
        <f t="shared" si="0"/>
        <v>2.5</v>
      </c>
      <c r="F22" s="43">
        <f t="shared" si="0"/>
        <v>3</v>
      </c>
      <c r="G22" s="43">
        <f t="shared" si="0"/>
        <v>3.5</v>
      </c>
      <c r="H22" s="43">
        <f t="shared" si="0"/>
        <v>3</v>
      </c>
      <c r="I22" s="43">
        <f t="shared" si="0"/>
        <v>5</v>
      </c>
      <c r="J22" s="43">
        <f t="shared" si="0"/>
        <v>4</v>
      </c>
      <c r="K22" s="43">
        <f t="shared" si="0"/>
        <v>4.5</v>
      </c>
      <c r="L22" s="43">
        <f t="shared" si="0"/>
        <v>5</v>
      </c>
      <c r="M22" s="43">
        <f t="shared" si="0"/>
        <v>5</v>
      </c>
      <c r="N22" s="46"/>
      <c r="O22" s="46"/>
      <c r="P22" s="46"/>
      <c r="Q22" s="46"/>
      <c r="R22" s="12"/>
      <c r="S22" s="12"/>
      <c r="T22" s="12"/>
      <c r="U22" s="364" t="s">
        <v>54</v>
      </c>
      <c r="V22" s="355">
        <v>1.5</v>
      </c>
      <c r="W22" s="355">
        <v>1.5</v>
      </c>
      <c r="X22" s="355">
        <v>2.5</v>
      </c>
      <c r="Y22" s="355">
        <v>2.5</v>
      </c>
      <c r="Z22" s="355">
        <v>3</v>
      </c>
      <c r="AA22" s="355">
        <v>3.5</v>
      </c>
      <c r="AB22" s="355">
        <v>3</v>
      </c>
      <c r="AC22" s="355">
        <v>5</v>
      </c>
      <c r="AD22" s="355">
        <v>4</v>
      </c>
      <c r="AE22" s="355">
        <v>4.5</v>
      </c>
      <c r="AF22" s="355">
        <v>5</v>
      </c>
      <c r="AG22" s="355">
        <v>5</v>
      </c>
      <c r="AH22" s="7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33.75">
      <c r="A23" s="47" t="s">
        <v>55</v>
      </c>
      <c r="B23" s="43">
        <f t="shared" si="1"/>
        <v>0</v>
      </c>
      <c r="C23" s="43">
        <f t="shared" si="0"/>
        <v>0</v>
      </c>
      <c r="D23" s="43">
        <f t="shared" si="0"/>
        <v>0</v>
      </c>
      <c r="E23" s="43">
        <f t="shared" si="0"/>
        <v>0</v>
      </c>
      <c r="F23" s="43">
        <f t="shared" si="0"/>
        <v>0</v>
      </c>
      <c r="G23" s="43">
        <f t="shared" si="0"/>
        <v>0</v>
      </c>
      <c r="H23" s="43">
        <f t="shared" si="0"/>
        <v>0</v>
      </c>
      <c r="I23" s="43">
        <f t="shared" si="0"/>
        <v>0</v>
      </c>
      <c r="J23" s="43">
        <f t="shared" si="0"/>
        <v>0</v>
      </c>
      <c r="K23" s="43">
        <f t="shared" si="0"/>
        <v>0</v>
      </c>
      <c r="L23" s="43">
        <f t="shared" si="0"/>
        <v>0</v>
      </c>
      <c r="M23" s="43">
        <f t="shared" si="0"/>
        <v>0</v>
      </c>
      <c r="N23" s="46"/>
      <c r="O23" s="46"/>
      <c r="P23" s="46"/>
      <c r="Q23" s="46"/>
      <c r="R23" s="12"/>
      <c r="S23" s="12"/>
      <c r="T23" s="12"/>
      <c r="U23" s="47" t="s">
        <v>51</v>
      </c>
      <c r="V23" s="355">
        <v>0</v>
      </c>
      <c r="W23" s="355">
        <v>0</v>
      </c>
      <c r="X23" s="355"/>
      <c r="Y23" s="355"/>
      <c r="Z23" s="355"/>
      <c r="AA23" s="355"/>
      <c r="AB23" s="355"/>
      <c r="AC23" s="355"/>
      <c r="AD23" s="355"/>
      <c r="AE23" s="355"/>
      <c r="AF23" s="355"/>
      <c r="AG23" s="355"/>
      <c r="AH23" s="3"/>
    </row>
    <row r="24" spans="1:45" ht="42">
      <c r="A24" s="42" t="s">
        <v>56</v>
      </c>
      <c r="B24" s="43">
        <f t="shared" si="1"/>
        <v>2</v>
      </c>
      <c r="C24" s="43">
        <f t="shared" ref="C24:C26" si="2">W24</f>
        <v>3</v>
      </c>
      <c r="D24" s="43">
        <f t="shared" ref="D24:D26" si="3">X24</f>
        <v>3</v>
      </c>
      <c r="E24" s="43">
        <f t="shared" ref="E24:E26" si="4">Y24</f>
        <v>4</v>
      </c>
      <c r="F24" s="43">
        <f t="shared" ref="F24:F26" si="5">Z24</f>
        <v>5</v>
      </c>
      <c r="G24" s="43">
        <f t="shared" ref="G24:G26" si="6">AA24</f>
        <v>6</v>
      </c>
      <c r="H24" s="43">
        <f t="shared" ref="H24:H26" si="7">AB24</f>
        <v>7</v>
      </c>
      <c r="I24" s="43">
        <f t="shared" ref="I24:I26" si="8">AC24</f>
        <v>8</v>
      </c>
      <c r="J24" s="43">
        <f t="shared" ref="J24:J26" si="9">AD24</f>
        <v>9</v>
      </c>
      <c r="K24" s="43">
        <f t="shared" ref="K24:K26" si="10">AE24</f>
        <v>10</v>
      </c>
      <c r="L24" s="43">
        <f t="shared" ref="L24:L26" si="11">AF24</f>
        <v>11</v>
      </c>
      <c r="M24" s="43">
        <f t="shared" ref="M24:M26" si="12">AG24</f>
        <v>12</v>
      </c>
      <c r="N24" s="46"/>
      <c r="O24" s="46"/>
      <c r="P24" s="46"/>
      <c r="Q24" s="46"/>
      <c r="R24" s="12"/>
      <c r="S24" s="12"/>
      <c r="T24" s="46"/>
      <c r="U24" s="42" t="s">
        <v>56</v>
      </c>
      <c r="V24" s="355">
        <f>IF(AND('I&amp;O'!$C$71=3,'I&amp;O'!$D$122=100%),AH24-1,AH24)</f>
        <v>2</v>
      </c>
      <c r="W24" s="355">
        <f>IF(AND('I&amp;O'!$C$71=3,'I&amp;O'!$D$122=100%),AI24-1,AI24)</f>
        <v>3</v>
      </c>
      <c r="X24" s="355">
        <f>IF(AND('I&amp;O'!$C$71=3,'I&amp;O'!$D$122=100%),AJ24-1,AJ24)</f>
        <v>3</v>
      </c>
      <c r="Y24" s="355">
        <f>IF(AND('I&amp;O'!$C$71=3,'I&amp;O'!$D$122=100%),AK24-1,AK24)</f>
        <v>4</v>
      </c>
      <c r="Z24" s="355">
        <f>IF(AND('I&amp;O'!$C$71=3,'I&amp;O'!$D$122=100%),AL24-1,AL24)</f>
        <v>5</v>
      </c>
      <c r="AA24" s="355">
        <f>IF(AND('I&amp;O'!$C$71=3,'I&amp;O'!$D$122=100%),AM24-1,AM24)</f>
        <v>6</v>
      </c>
      <c r="AB24" s="355">
        <f>IF(AND('I&amp;O'!$C$71=3,'I&amp;O'!$D$122=100%),AN24-1,AN24)</f>
        <v>7</v>
      </c>
      <c r="AC24" s="355">
        <f>IF(AND('I&amp;O'!$C$71=3,'I&amp;O'!$D$122=100%),AO24-1,AO24)</f>
        <v>8</v>
      </c>
      <c r="AD24" s="355">
        <f>IF(AND('I&amp;O'!$C$71=3,'I&amp;O'!$D$122=100%),AP24-1,AP24)</f>
        <v>9</v>
      </c>
      <c r="AE24" s="355">
        <f>IF(AND('I&amp;O'!$C$71=3,'I&amp;O'!$D$122=100%),AQ24-1,AQ24)</f>
        <v>10</v>
      </c>
      <c r="AF24" s="355">
        <f>IF(AND('I&amp;O'!$C$71=3,'I&amp;O'!$D$122=100%),AR24-1,AR24)</f>
        <v>11</v>
      </c>
      <c r="AG24" s="355">
        <f>IF(AND('I&amp;O'!$C$71=3,'I&amp;O'!$D$122=100%),AS24-1,AS24)</f>
        <v>12</v>
      </c>
      <c r="AH24" s="355">
        <v>3</v>
      </c>
      <c r="AI24" s="355">
        <v>4</v>
      </c>
      <c r="AJ24" s="355">
        <v>4</v>
      </c>
      <c r="AK24" s="355">
        <v>5</v>
      </c>
      <c r="AL24" s="355">
        <v>6</v>
      </c>
      <c r="AM24" s="355">
        <v>7</v>
      </c>
      <c r="AN24" s="355">
        <v>8</v>
      </c>
      <c r="AO24" s="355">
        <v>9</v>
      </c>
      <c r="AP24" s="355">
        <v>10</v>
      </c>
      <c r="AQ24" s="355">
        <v>11</v>
      </c>
      <c r="AR24" s="355">
        <v>12</v>
      </c>
      <c r="AS24" s="355">
        <v>13</v>
      </c>
    </row>
    <row r="25" spans="1:45" ht="31.5">
      <c r="A25" s="42" t="s">
        <v>57</v>
      </c>
      <c r="B25" s="43">
        <f t="shared" si="1"/>
        <v>3</v>
      </c>
      <c r="C25" s="43">
        <f t="shared" si="2"/>
        <v>4</v>
      </c>
      <c r="D25" s="43">
        <f t="shared" si="3"/>
        <v>4</v>
      </c>
      <c r="E25" s="43">
        <f t="shared" si="4"/>
        <v>5</v>
      </c>
      <c r="F25" s="43">
        <f t="shared" si="5"/>
        <v>6</v>
      </c>
      <c r="G25" s="43">
        <f t="shared" si="6"/>
        <v>7</v>
      </c>
      <c r="H25" s="43">
        <f t="shared" si="7"/>
        <v>8</v>
      </c>
      <c r="I25" s="43">
        <f t="shared" si="8"/>
        <v>9</v>
      </c>
      <c r="J25" s="43">
        <f t="shared" si="9"/>
        <v>10</v>
      </c>
      <c r="K25" s="43">
        <f t="shared" si="10"/>
        <v>11</v>
      </c>
      <c r="L25" s="43">
        <f t="shared" si="11"/>
        <v>12</v>
      </c>
      <c r="M25" s="43">
        <f t="shared" si="12"/>
        <v>13</v>
      </c>
      <c r="N25" s="46"/>
      <c r="O25" s="46"/>
      <c r="P25" s="46"/>
      <c r="Q25" s="46"/>
      <c r="R25" s="12"/>
      <c r="S25" s="12"/>
      <c r="T25" s="46"/>
      <c r="U25" s="42" t="s">
        <v>57</v>
      </c>
      <c r="V25" s="355">
        <f>IF(AND('I&amp;O'!$C$71&lt;3,'I&amp;O'!$D$122=100%),AH25-1,AH25)</f>
        <v>3</v>
      </c>
      <c r="W25" s="355">
        <f>IF(AND('I&amp;O'!$C$71&lt;3,'I&amp;O'!$D$122=100%),AI25-1,AI25)</f>
        <v>4</v>
      </c>
      <c r="X25" s="355">
        <f>IF(AND('I&amp;O'!$C$71&lt;3,'I&amp;O'!$D$122=100%),AJ25-1,AJ25)</f>
        <v>4</v>
      </c>
      <c r="Y25" s="355">
        <f>IF(AND('I&amp;O'!$C$71&lt;3,'I&amp;O'!$D$122=100%),AK25-1,AK25)</f>
        <v>5</v>
      </c>
      <c r="Z25" s="355">
        <f>IF(AND('I&amp;O'!$C$71&lt;3,'I&amp;O'!$D$122=100%),AL25-1,AL25)</f>
        <v>6</v>
      </c>
      <c r="AA25" s="355">
        <f>IF(AND('I&amp;O'!$C$71&lt;3,'I&amp;O'!$D$122=100%),AM25-1,AM25)</f>
        <v>7</v>
      </c>
      <c r="AB25" s="355">
        <f>IF(AND('I&amp;O'!$C$71&lt;3,'I&amp;O'!$D$122=100%),AN25-1,AN25)</f>
        <v>8</v>
      </c>
      <c r="AC25" s="355">
        <f>IF(AND('I&amp;O'!$C$71&lt;3,'I&amp;O'!$D$122=100%),AO25-1,AO25)</f>
        <v>9</v>
      </c>
      <c r="AD25" s="355">
        <f>IF(AND('I&amp;O'!$C$71&lt;3,'I&amp;O'!$D$122=100%),AP25-1,AP25)</f>
        <v>10</v>
      </c>
      <c r="AE25" s="355">
        <f>IF(AND('I&amp;O'!$C$71&lt;3,'I&amp;O'!$D$122=100%),AQ25-1,AQ25)</f>
        <v>11</v>
      </c>
      <c r="AF25" s="355">
        <f>IF(AND('I&amp;O'!$C$71&lt;3,'I&amp;O'!$D$122=100%),AR25-1,AR25)</f>
        <v>12</v>
      </c>
      <c r="AG25" s="355">
        <f>IF(AND('I&amp;O'!$C$71&lt;3,'I&amp;O'!$D$122=100%),AS25-1,AS25)</f>
        <v>13</v>
      </c>
      <c r="AH25" s="355">
        <v>3</v>
      </c>
      <c r="AI25" s="355">
        <v>4</v>
      </c>
      <c r="AJ25" s="355">
        <v>4</v>
      </c>
      <c r="AK25" s="355">
        <v>5</v>
      </c>
      <c r="AL25" s="355">
        <v>6</v>
      </c>
      <c r="AM25" s="355">
        <v>7</v>
      </c>
      <c r="AN25" s="355">
        <v>8</v>
      </c>
      <c r="AO25" s="355">
        <v>9</v>
      </c>
      <c r="AP25" s="355">
        <v>10</v>
      </c>
      <c r="AQ25" s="355">
        <v>11</v>
      </c>
      <c r="AR25" s="355">
        <v>12</v>
      </c>
      <c r="AS25" s="355">
        <v>13</v>
      </c>
    </row>
    <row r="26" spans="1:45" ht="31.5">
      <c r="A26" s="42" t="s">
        <v>58</v>
      </c>
      <c r="B26" s="43">
        <f t="shared" si="1"/>
        <v>0</v>
      </c>
      <c r="C26" s="43">
        <f t="shared" si="2"/>
        <v>0</v>
      </c>
      <c r="D26" s="43">
        <f t="shared" si="3"/>
        <v>0</v>
      </c>
      <c r="E26" s="43">
        <f t="shared" si="4"/>
        <v>0</v>
      </c>
      <c r="F26" s="43">
        <f t="shared" si="5"/>
        <v>0</v>
      </c>
      <c r="G26" s="43">
        <f t="shared" si="6"/>
        <v>0</v>
      </c>
      <c r="H26" s="43">
        <f t="shared" si="7"/>
        <v>0</v>
      </c>
      <c r="I26" s="43">
        <f t="shared" si="8"/>
        <v>0</v>
      </c>
      <c r="J26" s="43">
        <f t="shared" si="9"/>
        <v>0</v>
      </c>
      <c r="K26" s="43">
        <f t="shared" si="10"/>
        <v>0</v>
      </c>
      <c r="L26" s="43">
        <f t="shared" si="11"/>
        <v>0</v>
      </c>
      <c r="M26" s="43">
        <f t="shared" si="12"/>
        <v>0</v>
      </c>
      <c r="N26" s="46"/>
      <c r="O26" s="46"/>
      <c r="P26" s="46"/>
      <c r="Q26" s="46"/>
      <c r="R26" s="12"/>
      <c r="S26" s="12"/>
      <c r="T26" s="12"/>
      <c r="U26" s="42" t="s">
        <v>58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3"/>
    </row>
    <row r="27" spans="1:45">
      <c r="N27" s="12"/>
      <c r="O27" s="12"/>
      <c r="P27" s="12"/>
      <c r="Q27" s="12"/>
      <c r="R27" s="12"/>
      <c r="S27" s="12"/>
      <c r="T27" s="12"/>
      <c r="U27" s="12"/>
    </row>
    <row r="28" spans="1:45">
      <c r="A28" s="49" t="s">
        <v>59</v>
      </c>
      <c r="B28" s="49">
        <v>1000</v>
      </c>
      <c r="C28" s="49">
        <v>1200</v>
      </c>
      <c r="D28" s="49">
        <v>1400</v>
      </c>
      <c r="E28" s="49">
        <v>1600</v>
      </c>
      <c r="F28" s="49">
        <v>1800</v>
      </c>
      <c r="G28" s="49">
        <v>2000</v>
      </c>
      <c r="H28" s="49">
        <v>2200</v>
      </c>
      <c r="I28" s="49">
        <v>2400</v>
      </c>
      <c r="J28" s="49">
        <v>2600</v>
      </c>
      <c r="K28" s="49">
        <v>2800</v>
      </c>
      <c r="L28" s="49">
        <v>3000</v>
      </c>
      <c r="M28" s="49">
        <v>3200</v>
      </c>
      <c r="N28" s="36"/>
      <c r="O28" s="36"/>
      <c r="P28" s="36"/>
      <c r="Q28" s="36"/>
      <c r="R28" s="12"/>
      <c r="S28" s="12"/>
      <c r="T28" s="12"/>
      <c r="U28" s="12"/>
    </row>
    <row r="29" spans="1:4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36"/>
      <c r="O29" s="36"/>
      <c r="P29" s="36"/>
      <c r="Q29" s="36"/>
      <c r="R29" s="12"/>
      <c r="S29" s="12"/>
      <c r="T29" s="12"/>
      <c r="U29" s="12"/>
    </row>
    <row r="30" spans="1:45">
      <c r="A30" s="41" t="s">
        <v>40</v>
      </c>
      <c r="N30" s="12"/>
      <c r="O30" s="12"/>
      <c r="P30" s="12"/>
      <c r="Q30" s="12"/>
      <c r="R30" s="12"/>
      <c r="S30" s="12"/>
      <c r="T30" s="12"/>
      <c r="U30" s="12"/>
    </row>
    <row r="31" spans="1:45">
      <c r="A31" s="42" t="s">
        <v>41</v>
      </c>
      <c r="B31" s="43">
        <f>V31</f>
        <v>3</v>
      </c>
      <c r="C31" s="43">
        <f t="shared" ref="C31:C49" si="13">W31</f>
        <v>4</v>
      </c>
      <c r="D31" s="43">
        <f t="shared" ref="D31:D49" si="14">X31</f>
        <v>5</v>
      </c>
      <c r="E31" s="43">
        <f t="shared" ref="E31:E49" si="15">Y31</f>
        <v>6</v>
      </c>
      <c r="F31" s="43">
        <f t="shared" ref="F31:F49" si="16">Z31</f>
        <v>7</v>
      </c>
      <c r="G31" s="43">
        <f t="shared" ref="G31:G49" si="17">AA31</f>
        <v>7</v>
      </c>
      <c r="H31" s="43">
        <f t="shared" ref="H31:H49" si="18">AB31</f>
        <v>8</v>
      </c>
      <c r="I31" s="43">
        <f t="shared" ref="I31:I49" si="19">AC31</f>
        <v>8</v>
      </c>
      <c r="J31" s="43">
        <f t="shared" ref="J31:J49" si="20">AD31</f>
        <v>9</v>
      </c>
      <c r="K31" s="43">
        <f t="shared" ref="K31:K49" si="21">AE31</f>
        <v>10</v>
      </c>
      <c r="L31" s="43">
        <f t="shared" ref="L31:L49" si="22">AF31</f>
        <v>10</v>
      </c>
      <c r="M31" s="43">
        <f t="shared" ref="M31:M49" si="23">AG31</f>
        <v>11</v>
      </c>
      <c r="N31" s="46"/>
      <c r="O31" s="46"/>
      <c r="P31" s="46"/>
      <c r="Q31" s="46"/>
      <c r="R31" s="12"/>
      <c r="S31" s="12"/>
      <c r="T31" s="12"/>
      <c r="U31" s="42" t="s">
        <v>41</v>
      </c>
      <c r="V31" s="43">
        <v>3</v>
      </c>
      <c r="W31" s="43">
        <v>4</v>
      </c>
      <c r="X31" s="43">
        <v>5</v>
      </c>
      <c r="Y31" s="43">
        <v>6</v>
      </c>
      <c r="Z31" s="43">
        <v>7</v>
      </c>
      <c r="AA31" s="43">
        <v>7</v>
      </c>
      <c r="AB31" s="43">
        <v>8</v>
      </c>
      <c r="AC31" s="43">
        <v>8</v>
      </c>
      <c r="AD31" s="43">
        <v>9</v>
      </c>
      <c r="AE31" s="43">
        <v>10</v>
      </c>
      <c r="AF31" s="43">
        <v>10</v>
      </c>
      <c r="AG31" s="43">
        <v>11</v>
      </c>
      <c r="AH31" s="42" t="s">
        <v>41</v>
      </c>
    </row>
    <row r="32" spans="1:45" ht="31.5">
      <c r="A32" s="42" t="s">
        <v>42</v>
      </c>
      <c r="B32" s="43">
        <f t="shared" ref="B32:B49" si="24">V32</f>
        <v>2</v>
      </c>
      <c r="C32" s="43">
        <f t="shared" si="13"/>
        <v>2.5</v>
      </c>
      <c r="D32" s="43">
        <f t="shared" si="14"/>
        <v>2.5</v>
      </c>
      <c r="E32" s="43">
        <f t="shared" si="15"/>
        <v>3</v>
      </c>
      <c r="F32" s="43">
        <f t="shared" si="16"/>
        <v>3</v>
      </c>
      <c r="G32" s="43">
        <f t="shared" si="17"/>
        <v>4</v>
      </c>
      <c r="H32" s="43">
        <f t="shared" si="18"/>
        <v>4</v>
      </c>
      <c r="I32" s="43">
        <f t="shared" si="19"/>
        <v>6</v>
      </c>
      <c r="J32" s="43">
        <f t="shared" si="20"/>
        <v>6</v>
      </c>
      <c r="K32" s="43">
        <f t="shared" si="21"/>
        <v>6</v>
      </c>
      <c r="L32" s="43">
        <f t="shared" si="22"/>
        <v>8</v>
      </c>
      <c r="M32" s="43">
        <f t="shared" si="23"/>
        <v>8</v>
      </c>
      <c r="N32" s="46"/>
      <c r="O32" s="46"/>
      <c r="P32" s="46"/>
      <c r="Q32" s="46"/>
      <c r="R32" s="12"/>
      <c r="S32" s="12"/>
      <c r="T32" s="12"/>
      <c r="U32" s="42" t="s">
        <v>42</v>
      </c>
      <c r="V32" s="43">
        <v>2</v>
      </c>
      <c r="W32" s="43">
        <v>2.5</v>
      </c>
      <c r="X32" s="43">
        <v>2.5</v>
      </c>
      <c r="Y32" s="43">
        <v>3</v>
      </c>
      <c r="Z32" s="43">
        <v>3</v>
      </c>
      <c r="AA32" s="43">
        <v>4</v>
      </c>
      <c r="AB32" s="43">
        <v>4</v>
      </c>
      <c r="AC32" s="43">
        <v>6</v>
      </c>
      <c r="AD32" s="43">
        <v>6</v>
      </c>
      <c r="AE32" s="43">
        <v>6</v>
      </c>
      <c r="AF32" s="43">
        <v>8</v>
      </c>
      <c r="AG32" s="43">
        <v>8</v>
      </c>
      <c r="AH32" s="42" t="s">
        <v>42</v>
      </c>
    </row>
    <row r="33" spans="1:47">
      <c r="A33" s="42" t="s">
        <v>43</v>
      </c>
      <c r="B33" s="43">
        <f t="shared" si="24"/>
        <v>2</v>
      </c>
      <c r="C33" s="43">
        <f t="shared" si="13"/>
        <v>2</v>
      </c>
      <c r="D33" s="43">
        <f t="shared" si="14"/>
        <v>2</v>
      </c>
      <c r="E33" s="43">
        <f t="shared" si="15"/>
        <v>2</v>
      </c>
      <c r="F33" s="43">
        <f t="shared" si="16"/>
        <v>2.5</v>
      </c>
      <c r="G33" s="43">
        <f t="shared" si="17"/>
        <v>3</v>
      </c>
      <c r="H33" s="43">
        <f t="shared" si="18"/>
        <v>3</v>
      </c>
      <c r="I33" s="43">
        <f t="shared" si="19"/>
        <v>4</v>
      </c>
      <c r="J33" s="43">
        <f t="shared" si="20"/>
        <v>4</v>
      </c>
      <c r="K33" s="43">
        <f t="shared" si="21"/>
        <v>5</v>
      </c>
      <c r="L33" s="43">
        <f t="shared" si="22"/>
        <v>5</v>
      </c>
      <c r="M33" s="43">
        <f t="shared" si="23"/>
        <v>5</v>
      </c>
      <c r="N33" s="46"/>
      <c r="O33" s="46"/>
      <c r="P33" s="46"/>
      <c r="Q33" s="46"/>
      <c r="R33" s="12"/>
      <c r="S33" s="12"/>
      <c r="T33" s="12"/>
      <c r="U33" s="42" t="s">
        <v>43</v>
      </c>
      <c r="V33" s="43">
        <v>2</v>
      </c>
      <c r="W33" s="43">
        <v>2</v>
      </c>
      <c r="X33" s="43">
        <v>2</v>
      </c>
      <c r="Y33" s="43">
        <v>2</v>
      </c>
      <c r="Z33" s="43">
        <v>2.5</v>
      </c>
      <c r="AA33" s="43">
        <v>3</v>
      </c>
      <c r="AB33" s="43">
        <v>3</v>
      </c>
      <c r="AC33" s="43">
        <v>4</v>
      </c>
      <c r="AD33" s="43">
        <v>4</v>
      </c>
      <c r="AE33" s="43">
        <v>5</v>
      </c>
      <c r="AF33" s="43">
        <v>5</v>
      </c>
      <c r="AG33" s="43">
        <v>5</v>
      </c>
      <c r="AH33" s="42" t="s">
        <v>43</v>
      </c>
    </row>
    <row r="34" spans="1:47" ht="21">
      <c r="A34" s="42" t="s">
        <v>44</v>
      </c>
      <c r="B34" s="43">
        <f t="shared" si="24"/>
        <v>0</v>
      </c>
      <c r="C34" s="43">
        <f t="shared" si="13"/>
        <v>0</v>
      </c>
      <c r="D34" s="43">
        <f t="shared" si="14"/>
        <v>0</v>
      </c>
      <c r="E34" s="43">
        <f t="shared" si="15"/>
        <v>0</v>
      </c>
      <c r="F34" s="43">
        <f t="shared" si="16"/>
        <v>0</v>
      </c>
      <c r="G34" s="43">
        <f t="shared" si="17"/>
        <v>0</v>
      </c>
      <c r="H34" s="43">
        <f t="shared" si="18"/>
        <v>0</v>
      </c>
      <c r="I34" s="43">
        <f t="shared" si="19"/>
        <v>0</v>
      </c>
      <c r="J34" s="43">
        <f t="shared" si="20"/>
        <v>0</v>
      </c>
      <c r="K34" s="43">
        <f t="shared" si="21"/>
        <v>0</v>
      </c>
      <c r="L34" s="43">
        <f t="shared" si="22"/>
        <v>0</v>
      </c>
      <c r="M34" s="43">
        <f t="shared" si="23"/>
        <v>0</v>
      </c>
      <c r="N34" s="46"/>
      <c r="O34" s="46"/>
      <c r="P34" s="46"/>
      <c r="Q34" s="46"/>
      <c r="R34" s="46"/>
      <c r="S34" s="46"/>
      <c r="T34" s="46"/>
      <c r="U34" s="42" t="s">
        <v>44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/>
      <c r="AE34" s="43"/>
      <c r="AF34" s="43"/>
      <c r="AG34" s="43"/>
      <c r="AH34" s="42" t="s">
        <v>44</v>
      </c>
    </row>
    <row r="35" spans="1:47" ht="21">
      <c r="A35" s="42" t="s">
        <v>45</v>
      </c>
      <c r="B35" s="43">
        <f t="shared" si="24"/>
        <v>0</v>
      </c>
      <c r="C35" s="43">
        <f t="shared" si="13"/>
        <v>0</v>
      </c>
      <c r="D35" s="43">
        <f t="shared" si="14"/>
        <v>0</v>
      </c>
      <c r="E35" s="43">
        <f t="shared" si="15"/>
        <v>0</v>
      </c>
      <c r="F35" s="43">
        <f t="shared" si="16"/>
        <v>0</v>
      </c>
      <c r="G35" s="43">
        <f t="shared" si="17"/>
        <v>0</v>
      </c>
      <c r="H35" s="43">
        <f t="shared" si="18"/>
        <v>0</v>
      </c>
      <c r="I35" s="43">
        <f t="shared" si="19"/>
        <v>0</v>
      </c>
      <c r="J35" s="43">
        <f t="shared" si="20"/>
        <v>0</v>
      </c>
      <c r="K35" s="43">
        <f t="shared" si="21"/>
        <v>0</v>
      </c>
      <c r="L35" s="43">
        <f t="shared" si="22"/>
        <v>0</v>
      </c>
      <c r="M35" s="43">
        <f t="shared" si="23"/>
        <v>0</v>
      </c>
      <c r="N35" s="46"/>
      <c r="O35" s="46"/>
      <c r="P35" s="46"/>
      <c r="Q35" s="46"/>
      <c r="R35" s="46"/>
      <c r="S35" s="46"/>
      <c r="T35" s="46"/>
      <c r="U35" s="42" t="s">
        <v>45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/>
      <c r="AE35" s="43"/>
      <c r="AF35" s="43"/>
      <c r="AG35" s="43"/>
      <c r="AH35" s="42" t="s">
        <v>45</v>
      </c>
    </row>
    <row r="36" spans="1:47" ht="21">
      <c r="A36" s="42" t="s">
        <v>46</v>
      </c>
      <c r="B36" s="43">
        <f t="shared" si="24"/>
        <v>2.5</v>
      </c>
      <c r="C36" s="43">
        <f t="shared" si="13"/>
        <v>2.5</v>
      </c>
      <c r="D36" s="43">
        <f t="shared" si="14"/>
        <v>2.5</v>
      </c>
      <c r="E36" s="43">
        <f t="shared" si="15"/>
        <v>2.5</v>
      </c>
      <c r="F36" s="43">
        <f t="shared" si="16"/>
        <v>3</v>
      </c>
      <c r="G36" s="43">
        <f t="shared" si="17"/>
        <v>3</v>
      </c>
      <c r="H36" s="43">
        <f t="shared" si="18"/>
        <v>3</v>
      </c>
      <c r="I36" s="43">
        <f t="shared" si="19"/>
        <v>3</v>
      </c>
      <c r="J36" s="43">
        <f t="shared" si="20"/>
        <v>3</v>
      </c>
      <c r="K36" s="43">
        <f t="shared" si="21"/>
        <v>3</v>
      </c>
      <c r="L36" s="43">
        <f t="shared" si="22"/>
        <v>3</v>
      </c>
      <c r="M36" s="43">
        <f t="shared" si="23"/>
        <v>3</v>
      </c>
      <c r="N36" s="46"/>
      <c r="O36" s="46"/>
      <c r="P36" s="46"/>
      <c r="Q36" s="46"/>
      <c r="R36" s="46"/>
      <c r="S36" s="46"/>
      <c r="T36" s="46"/>
      <c r="U36" s="42" t="s">
        <v>46</v>
      </c>
      <c r="V36" s="43">
        <v>2.5</v>
      </c>
      <c r="W36" s="43">
        <v>2.5</v>
      </c>
      <c r="X36" s="43">
        <v>2.5</v>
      </c>
      <c r="Y36" s="43">
        <v>2.5</v>
      </c>
      <c r="Z36" s="43">
        <v>3</v>
      </c>
      <c r="AA36" s="43">
        <v>3</v>
      </c>
      <c r="AB36" s="43">
        <v>3</v>
      </c>
      <c r="AC36" s="43">
        <v>3</v>
      </c>
      <c r="AD36" s="43">
        <v>3</v>
      </c>
      <c r="AE36" s="43">
        <v>3</v>
      </c>
      <c r="AF36" s="43">
        <v>3</v>
      </c>
      <c r="AG36" s="43">
        <v>3</v>
      </c>
      <c r="AH36" s="42" t="s">
        <v>46</v>
      </c>
      <c r="AI36" s="43">
        <v>1000</v>
      </c>
      <c r="AJ36" s="43">
        <v>1200</v>
      </c>
      <c r="AK36" s="43">
        <v>1400</v>
      </c>
      <c r="AL36" s="43">
        <v>1600</v>
      </c>
      <c r="AM36" s="43">
        <v>1800</v>
      </c>
      <c r="AN36" s="43">
        <v>2000</v>
      </c>
      <c r="AO36" s="43">
        <v>2200</v>
      </c>
      <c r="AP36" s="43">
        <v>2400</v>
      </c>
      <c r="AQ36" s="43">
        <v>2600</v>
      </c>
      <c r="AR36" s="43">
        <v>2800</v>
      </c>
      <c r="AS36" s="43">
        <v>3000</v>
      </c>
      <c r="AT36" s="43">
        <v>3200</v>
      </c>
    </row>
    <row r="37" spans="1:47" ht="42">
      <c r="A37" s="44" t="s">
        <v>47</v>
      </c>
      <c r="B37" s="43">
        <f t="shared" si="24"/>
        <v>0</v>
      </c>
      <c r="C37" s="43">
        <f t="shared" si="13"/>
        <v>0</v>
      </c>
      <c r="D37" s="43">
        <f t="shared" si="14"/>
        <v>0</v>
      </c>
      <c r="E37" s="43">
        <f t="shared" si="15"/>
        <v>0</v>
      </c>
      <c r="F37" s="43">
        <f t="shared" si="16"/>
        <v>0</v>
      </c>
      <c r="G37" s="43">
        <f t="shared" si="17"/>
        <v>0</v>
      </c>
      <c r="H37" s="43">
        <f t="shared" si="18"/>
        <v>0</v>
      </c>
      <c r="I37" s="43">
        <f t="shared" si="19"/>
        <v>0</v>
      </c>
      <c r="J37" s="43">
        <f t="shared" si="20"/>
        <v>0</v>
      </c>
      <c r="K37" s="43">
        <f t="shared" si="21"/>
        <v>0</v>
      </c>
      <c r="L37" s="43">
        <f t="shared" si="22"/>
        <v>0</v>
      </c>
      <c r="M37" s="43">
        <f t="shared" si="23"/>
        <v>0</v>
      </c>
      <c r="N37" s="46"/>
      <c r="O37" s="46"/>
      <c r="P37" s="46"/>
      <c r="Q37" s="46"/>
      <c r="R37" s="12"/>
      <c r="S37" s="12"/>
      <c r="T37" s="12"/>
      <c r="U37" s="44" t="s">
        <v>47</v>
      </c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4" t="s">
        <v>47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>
        <v>0</v>
      </c>
      <c r="AQ37" s="46">
        <v>0</v>
      </c>
      <c r="AR37" s="46">
        <v>0</v>
      </c>
      <c r="AS37" s="46">
        <v>0</v>
      </c>
      <c r="AT37" s="46">
        <v>0</v>
      </c>
    </row>
    <row r="38" spans="1:47">
      <c r="A38" s="47" t="s">
        <v>48</v>
      </c>
      <c r="B38" s="43">
        <f t="shared" si="24"/>
        <v>2</v>
      </c>
      <c r="C38" s="43">
        <f t="shared" si="13"/>
        <v>2</v>
      </c>
      <c r="D38" s="43">
        <f t="shared" si="14"/>
        <v>2</v>
      </c>
      <c r="E38" s="43">
        <f t="shared" si="15"/>
        <v>4</v>
      </c>
      <c r="F38" s="43">
        <f t="shared" si="16"/>
        <v>4</v>
      </c>
      <c r="G38" s="43">
        <f t="shared" si="17"/>
        <v>4</v>
      </c>
      <c r="H38" s="43">
        <f t="shared" si="18"/>
        <v>4</v>
      </c>
      <c r="I38" s="43">
        <f t="shared" si="19"/>
        <v>5</v>
      </c>
      <c r="J38" s="43">
        <f t="shared" si="20"/>
        <v>5</v>
      </c>
      <c r="K38" s="43">
        <f t="shared" si="21"/>
        <v>5</v>
      </c>
      <c r="L38" s="43">
        <f t="shared" si="22"/>
        <v>5</v>
      </c>
      <c r="M38" s="43">
        <f t="shared" si="23"/>
        <v>5</v>
      </c>
      <c r="N38" s="46"/>
      <c r="O38" s="46"/>
      <c r="P38" s="46"/>
      <c r="Q38" s="46"/>
      <c r="R38" s="12"/>
      <c r="S38" s="46"/>
      <c r="T38" s="46"/>
      <c r="U38" s="47" t="s">
        <v>48</v>
      </c>
      <c r="V38" s="43">
        <v>2</v>
      </c>
      <c r="W38" s="43">
        <v>2</v>
      </c>
      <c r="X38" s="43">
        <v>2</v>
      </c>
      <c r="Y38" s="43">
        <v>4</v>
      </c>
      <c r="Z38" s="43">
        <v>4</v>
      </c>
      <c r="AA38" s="43">
        <v>4</v>
      </c>
      <c r="AB38" s="43">
        <v>4</v>
      </c>
      <c r="AC38" s="43">
        <v>5</v>
      </c>
      <c r="AD38" s="43">
        <v>5</v>
      </c>
      <c r="AE38" s="43">
        <v>5</v>
      </c>
      <c r="AF38" s="43">
        <v>5</v>
      </c>
      <c r="AG38" s="43">
        <v>5</v>
      </c>
      <c r="AH38" s="47" t="s">
        <v>48</v>
      </c>
    </row>
    <row r="39" spans="1:47" ht="56.25">
      <c r="A39" s="47" t="s">
        <v>49</v>
      </c>
      <c r="B39" s="43">
        <f t="shared" si="24"/>
        <v>1</v>
      </c>
      <c r="C39" s="43">
        <f t="shared" si="13"/>
        <v>1</v>
      </c>
      <c r="D39" s="43">
        <f t="shared" si="14"/>
        <v>1</v>
      </c>
      <c r="E39" s="43">
        <f t="shared" si="15"/>
        <v>1.5</v>
      </c>
      <c r="F39" s="43">
        <f t="shared" si="16"/>
        <v>1.5</v>
      </c>
      <c r="G39" s="43">
        <f t="shared" si="17"/>
        <v>1.5</v>
      </c>
      <c r="H39" s="43">
        <f t="shared" si="18"/>
        <v>2</v>
      </c>
      <c r="I39" s="43">
        <f t="shared" si="19"/>
        <v>2</v>
      </c>
      <c r="J39" s="43">
        <f t="shared" si="20"/>
        <v>1.5</v>
      </c>
      <c r="K39" s="43">
        <f t="shared" si="21"/>
        <v>1.5</v>
      </c>
      <c r="L39" s="43">
        <f t="shared" si="22"/>
        <v>2</v>
      </c>
      <c r="M39" s="43">
        <f t="shared" si="23"/>
        <v>2</v>
      </c>
      <c r="N39" s="46"/>
      <c r="O39" s="46"/>
      <c r="P39" s="46"/>
      <c r="Q39" s="46"/>
      <c r="R39" s="12"/>
      <c r="S39" s="46"/>
      <c r="T39" s="46"/>
      <c r="U39" s="47" t="s">
        <v>49</v>
      </c>
      <c r="V39" s="43">
        <v>1</v>
      </c>
      <c r="W39" s="43">
        <v>1</v>
      </c>
      <c r="X39" s="43">
        <v>1</v>
      </c>
      <c r="Y39" s="43">
        <v>1.5</v>
      </c>
      <c r="Z39" s="43">
        <v>1.5</v>
      </c>
      <c r="AA39" s="43">
        <v>1.5</v>
      </c>
      <c r="AB39" s="43">
        <v>2</v>
      </c>
      <c r="AC39" s="43">
        <v>2</v>
      </c>
      <c r="AD39" s="43">
        <v>1.5</v>
      </c>
      <c r="AE39" s="43">
        <v>1.5</v>
      </c>
      <c r="AF39" s="43">
        <v>2</v>
      </c>
      <c r="AG39" s="43">
        <v>2</v>
      </c>
      <c r="AH39" s="47" t="s">
        <v>49</v>
      </c>
    </row>
    <row r="40" spans="1:47" ht="45">
      <c r="A40" s="47" t="s">
        <v>50</v>
      </c>
      <c r="B40" s="43">
        <f t="shared" si="24"/>
        <v>1</v>
      </c>
      <c r="C40" s="43">
        <f t="shared" si="13"/>
        <v>1</v>
      </c>
      <c r="D40" s="43">
        <f t="shared" si="14"/>
        <v>1</v>
      </c>
      <c r="E40" s="43">
        <f t="shared" si="15"/>
        <v>1.5</v>
      </c>
      <c r="F40" s="43">
        <f t="shared" si="16"/>
        <v>1.5</v>
      </c>
      <c r="G40" s="43">
        <f t="shared" si="17"/>
        <v>1.5</v>
      </c>
      <c r="H40" s="43">
        <f t="shared" si="18"/>
        <v>2</v>
      </c>
      <c r="I40" s="43">
        <f t="shared" si="19"/>
        <v>2</v>
      </c>
      <c r="J40" s="43">
        <f t="shared" si="20"/>
        <v>1.5</v>
      </c>
      <c r="K40" s="43">
        <f t="shared" si="21"/>
        <v>2</v>
      </c>
      <c r="L40" s="43">
        <f t="shared" si="22"/>
        <v>2</v>
      </c>
      <c r="M40" s="43">
        <f t="shared" si="23"/>
        <v>2</v>
      </c>
      <c r="N40" s="46"/>
      <c r="O40" s="46"/>
      <c r="P40" s="46"/>
      <c r="Q40" s="46"/>
      <c r="R40" s="12"/>
      <c r="S40" s="46"/>
      <c r="T40" s="46"/>
      <c r="U40" s="47" t="s">
        <v>50</v>
      </c>
      <c r="V40" s="43">
        <v>1</v>
      </c>
      <c r="W40" s="43">
        <v>1</v>
      </c>
      <c r="X40" s="43">
        <v>1</v>
      </c>
      <c r="Y40" s="43">
        <v>1.5</v>
      </c>
      <c r="Z40" s="43">
        <v>1.5</v>
      </c>
      <c r="AA40" s="43">
        <v>1.5</v>
      </c>
      <c r="AB40" s="43">
        <v>2</v>
      </c>
      <c r="AC40" s="43">
        <v>2</v>
      </c>
      <c r="AD40" s="43">
        <v>1.5</v>
      </c>
      <c r="AE40" s="43">
        <v>2</v>
      </c>
      <c r="AF40" s="43">
        <v>2</v>
      </c>
      <c r="AG40" s="43">
        <v>2</v>
      </c>
      <c r="AH40" s="47" t="s">
        <v>50</v>
      </c>
    </row>
    <row r="41" spans="1:47" ht="33.75">
      <c r="A41" s="47" t="s">
        <v>51</v>
      </c>
      <c r="B41" s="43">
        <f t="shared" si="24"/>
        <v>2</v>
      </c>
      <c r="C41" s="43">
        <f t="shared" si="13"/>
        <v>4</v>
      </c>
      <c r="D41" s="43">
        <f t="shared" si="14"/>
        <v>7</v>
      </c>
      <c r="E41" s="43">
        <f t="shared" si="15"/>
        <v>10.5</v>
      </c>
      <c r="F41" s="43">
        <f t="shared" si="16"/>
        <v>10.5</v>
      </c>
      <c r="G41" s="43">
        <f t="shared" si="17"/>
        <v>10.5</v>
      </c>
      <c r="H41" s="43">
        <f t="shared" si="18"/>
        <v>14</v>
      </c>
      <c r="I41" s="43">
        <f t="shared" si="19"/>
        <v>14</v>
      </c>
      <c r="J41" s="43">
        <f t="shared" si="20"/>
        <v>14</v>
      </c>
      <c r="K41" s="43">
        <f t="shared" si="21"/>
        <v>14</v>
      </c>
      <c r="L41" s="43">
        <f t="shared" si="22"/>
        <v>14</v>
      </c>
      <c r="M41" s="43">
        <f t="shared" si="23"/>
        <v>14</v>
      </c>
      <c r="N41" s="46"/>
      <c r="O41" s="46"/>
      <c r="P41" s="46"/>
      <c r="Q41" s="46"/>
      <c r="R41" s="12"/>
      <c r="S41" s="46"/>
      <c r="T41" s="46"/>
      <c r="U41" s="47" t="s">
        <v>51</v>
      </c>
      <c r="V41" s="43">
        <v>2</v>
      </c>
      <c r="W41" s="43">
        <v>4</v>
      </c>
      <c r="X41" s="43">
        <v>7</v>
      </c>
      <c r="Y41" s="43">
        <v>10.5</v>
      </c>
      <c r="Z41" s="43">
        <v>10.5</v>
      </c>
      <c r="AA41" s="43">
        <v>10.5</v>
      </c>
      <c r="AB41" s="43">
        <v>14</v>
      </c>
      <c r="AC41" s="43">
        <v>14</v>
      </c>
      <c r="AD41" s="43">
        <v>14</v>
      </c>
      <c r="AE41" s="43">
        <v>14</v>
      </c>
      <c r="AF41" s="43">
        <v>14</v>
      </c>
      <c r="AG41" s="43">
        <v>14</v>
      </c>
      <c r="AH41" s="47" t="s">
        <v>51</v>
      </c>
    </row>
    <row r="42" spans="1:47" ht="52.5">
      <c r="A42" s="44" t="s">
        <v>52</v>
      </c>
      <c r="B42" s="43">
        <f t="shared" si="24"/>
        <v>0</v>
      </c>
      <c r="C42" s="43">
        <f t="shared" si="13"/>
        <v>0</v>
      </c>
      <c r="D42" s="43">
        <f t="shared" si="14"/>
        <v>0</v>
      </c>
      <c r="E42" s="43">
        <f t="shared" si="15"/>
        <v>0</v>
      </c>
      <c r="F42" s="43">
        <f t="shared" si="16"/>
        <v>0</v>
      </c>
      <c r="G42" s="43">
        <f t="shared" si="17"/>
        <v>0</v>
      </c>
      <c r="H42" s="43">
        <f t="shared" si="18"/>
        <v>0</v>
      </c>
      <c r="I42" s="43">
        <f t="shared" si="19"/>
        <v>0</v>
      </c>
      <c r="J42" s="43">
        <f t="shared" si="20"/>
        <v>0</v>
      </c>
      <c r="K42" s="43">
        <f t="shared" si="21"/>
        <v>0</v>
      </c>
      <c r="L42" s="43">
        <f t="shared" si="22"/>
        <v>0</v>
      </c>
      <c r="M42" s="43">
        <f t="shared" si="23"/>
        <v>0</v>
      </c>
      <c r="N42" s="46"/>
      <c r="O42" s="46"/>
      <c r="P42" s="46"/>
      <c r="Q42" s="46"/>
      <c r="R42" s="12"/>
      <c r="S42" s="12"/>
      <c r="T42" s="12"/>
      <c r="U42" s="44" t="s">
        <v>52</v>
      </c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8"/>
      <c r="AG42" s="45"/>
      <c r="AH42" s="44" t="s">
        <v>52</v>
      </c>
    </row>
    <row r="43" spans="1:47" ht="22.5">
      <c r="A43" s="47" t="s">
        <v>53</v>
      </c>
      <c r="B43" s="43">
        <f t="shared" si="24"/>
        <v>1.5</v>
      </c>
      <c r="C43" s="43">
        <f t="shared" si="13"/>
        <v>2.5</v>
      </c>
      <c r="D43" s="43">
        <f t="shared" si="14"/>
        <v>3</v>
      </c>
      <c r="E43" s="43">
        <f t="shared" si="15"/>
        <v>4</v>
      </c>
      <c r="F43" s="43">
        <f t="shared" si="16"/>
        <v>4</v>
      </c>
      <c r="G43" s="43">
        <f t="shared" si="17"/>
        <v>4</v>
      </c>
      <c r="H43" s="43">
        <f t="shared" si="18"/>
        <v>4.5</v>
      </c>
      <c r="I43" s="43">
        <f t="shared" si="19"/>
        <v>5</v>
      </c>
      <c r="J43" s="43">
        <f t="shared" si="20"/>
        <v>5</v>
      </c>
      <c r="K43" s="43">
        <f t="shared" si="21"/>
        <v>5.5</v>
      </c>
      <c r="L43" s="43">
        <f t="shared" si="22"/>
        <v>5.5</v>
      </c>
      <c r="M43" s="43">
        <f t="shared" si="23"/>
        <v>5.5</v>
      </c>
      <c r="N43" s="46"/>
      <c r="O43" s="46"/>
      <c r="P43" s="46"/>
      <c r="Q43" s="46"/>
      <c r="R43" s="12"/>
      <c r="S43" s="12"/>
      <c r="T43" s="12"/>
      <c r="U43" s="47" t="s">
        <v>53</v>
      </c>
      <c r="V43" s="43">
        <v>1.5</v>
      </c>
      <c r="W43" s="43">
        <v>2.5</v>
      </c>
      <c r="X43" s="43">
        <v>3</v>
      </c>
      <c r="Y43" s="43">
        <v>4</v>
      </c>
      <c r="Z43" s="43">
        <v>4</v>
      </c>
      <c r="AA43" s="43">
        <v>4</v>
      </c>
      <c r="AB43" s="43">
        <v>4.5</v>
      </c>
      <c r="AC43" s="43">
        <v>5</v>
      </c>
      <c r="AD43" s="43">
        <v>5</v>
      </c>
      <c r="AE43" s="43">
        <v>5.5</v>
      </c>
      <c r="AF43" s="43">
        <v>5.5</v>
      </c>
      <c r="AG43" s="43">
        <v>5.5</v>
      </c>
      <c r="AH43" s="47" t="s">
        <v>53</v>
      </c>
    </row>
    <row r="44" spans="1:47">
      <c r="A44" s="47" t="s">
        <v>48</v>
      </c>
      <c r="B44" s="43">
        <f t="shared" si="24"/>
        <v>2</v>
      </c>
      <c r="C44" s="43">
        <f t="shared" si="13"/>
        <v>2</v>
      </c>
      <c r="D44" s="43">
        <f t="shared" si="14"/>
        <v>3</v>
      </c>
      <c r="E44" s="43">
        <f t="shared" si="15"/>
        <v>3</v>
      </c>
      <c r="F44" s="43">
        <f t="shared" si="16"/>
        <v>3</v>
      </c>
      <c r="G44" s="43">
        <f t="shared" si="17"/>
        <v>3</v>
      </c>
      <c r="H44" s="43">
        <f t="shared" si="18"/>
        <v>3</v>
      </c>
      <c r="I44" s="43">
        <f t="shared" si="19"/>
        <v>3</v>
      </c>
      <c r="J44" s="43">
        <f t="shared" si="20"/>
        <v>3</v>
      </c>
      <c r="K44" s="43">
        <f t="shared" si="21"/>
        <v>3</v>
      </c>
      <c r="L44" s="43">
        <f t="shared" si="22"/>
        <v>3</v>
      </c>
      <c r="M44" s="43">
        <f t="shared" si="23"/>
        <v>5</v>
      </c>
      <c r="N44" s="46"/>
      <c r="O44" s="46"/>
      <c r="P44" s="46"/>
      <c r="Q44" s="46"/>
      <c r="R44" s="12"/>
      <c r="S44" s="46"/>
      <c r="T44" s="46"/>
      <c r="U44" s="47" t="s">
        <v>48</v>
      </c>
      <c r="V44" s="43">
        <v>2</v>
      </c>
      <c r="W44" s="43">
        <v>2</v>
      </c>
      <c r="X44" s="43">
        <v>3</v>
      </c>
      <c r="Y44" s="43">
        <v>3</v>
      </c>
      <c r="Z44" s="43">
        <v>3</v>
      </c>
      <c r="AA44" s="43">
        <v>3</v>
      </c>
      <c r="AB44" s="43">
        <v>3</v>
      </c>
      <c r="AC44" s="43">
        <v>3</v>
      </c>
      <c r="AD44" s="43">
        <v>3</v>
      </c>
      <c r="AE44" s="43">
        <v>3</v>
      </c>
      <c r="AF44" s="43">
        <v>3</v>
      </c>
      <c r="AG44" s="43">
        <v>5</v>
      </c>
      <c r="AH44" s="47" t="s">
        <v>48</v>
      </c>
      <c r="AI44" s="362">
        <v>18</v>
      </c>
      <c r="AJ44" s="362">
        <v>24</v>
      </c>
      <c r="AK44" s="362">
        <v>30</v>
      </c>
      <c r="AL44" s="362">
        <v>45</v>
      </c>
      <c r="AM44" s="362">
        <v>45</v>
      </c>
      <c r="AN44" s="362">
        <v>45</v>
      </c>
      <c r="AO44" s="362">
        <v>45</v>
      </c>
      <c r="AP44" s="362">
        <v>45</v>
      </c>
      <c r="AQ44" s="362">
        <v>59</v>
      </c>
      <c r="AR44" s="362">
        <v>59</v>
      </c>
      <c r="AS44" s="362">
        <v>59</v>
      </c>
      <c r="AT44" s="362">
        <v>67</v>
      </c>
    </row>
    <row r="45" spans="1:47" ht="22.5">
      <c r="A45" s="47" t="s">
        <v>54</v>
      </c>
      <c r="B45" s="43">
        <f t="shared" si="24"/>
        <v>1</v>
      </c>
      <c r="C45" s="43">
        <f t="shared" si="13"/>
        <v>1</v>
      </c>
      <c r="D45" s="43">
        <f t="shared" si="14"/>
        <v>1.5</v>
      </c>
      <c r="E45" s="43">
        <f t="shared" si="15"/>
        <v>2</v>
      </c>
      <c r="F45" s="43">
        <f t="shared" si="16"/>
        <v>2</v>
      </c>
      <c r="G45" s="43">
        <f t="shared" si="17"/>
        <v>2</v>
      </c>
      <c r="H45" s="43">
        <f t="shared" si="18"/>
        <v>2</v>
      </c>
      <c r="I45" s="43">
        <f t="shared" si="19"/>
        <v>2</v>
      </c>
      <c r="J45" s="43">
        <f t="shared" si="20"/>
        <v>3</v>
      </c>
      <c r="K45" s="43">
        <f t="shared" si="21"/>
        <v>3</v>
      </c>
      <c r="L45" s="43">
        <f t="shared" si="22"/>
        <v>3</v>
      </c>
      <c r="M45" s="43">
        <f t="shared" si="23"/>
        <v>3</v>
      </c>
      <c r="N45" s="46"/>
      <c r="O45" s="46"/>
      <c r="P45" s="46"/>
      <c r="Q45" s="46"/>
      <c r="R45" s="12"/>
      <c r="S45" s="12"/>
      <c r="T45" s="12"/>
      <c r="U45" s="47" t="s">
        <v>54</v>
      </c>
      <c r="V45" s="43">
        <v>1</v>
      </c>
      <c r="W45" s="43">
        <v>1</v>
      </c>
      <c r="X45" s="43">
        <v>1.5</v>
      </c>
      <c r="Y45" s="43">
        <v>2</v>
      </c>
      <c r="Z45" s="43">
        <v>2</v>
      </c>
      <c r="AA45" s="43">
        <v>2</v>
      </c>
      <c r="AB45" s="43">
        <v>2</v>
      </c>
      <c r="AC45" s="43">
        <v>2</v>
      </c>
      <c r="AD45" s="43">
        <v>3</v>
      </c>
      <c r="AE45" s="43">
        <v>3</v>
      </c>
      <c r="AF45" s="43">
        <v>3</v>
      </c>
      <c r="AG45" s="43">
        <v>3</v>
      </c>
      <c r="AH45" s="47" t="s">
        <v>54</v>
      </c>
      <c r="AU45" s="362"/>
    </row>
    <row r="46" spans="1:47" ht="33.75">
      <c r="A46" s="47" t="s">
        <v>55</v>
      </c>
      <c r="B46" s="43">
        <f t="shared" si="24"/>
        <v>1</v>
      </c>
      <c r="C46" s="43">
        <f t="shared" si="13"/>
        <v>4</v>
      </c>
      <c r="D46" s="43">
        <f t="shared" si="14"/>
        <v>3</v>
      </c>
      <c r="E46" s="43">
        <f t="shared" si="15"/>
        <v>7</v>
      </c>
      <c r="F46" s="43">
        <f t="shared" si="16"/>
        <v>7</v>
      </c>
      <c r="G46" s="43">
        <f t="shared" si="17"/>
        <v>7</v>
      </c>
      <c r="H46" s="43">
        <f t="shared" si="18"/>
        <v>7</v>
      </c>
      <c r="I46" s="43">
        <f t="shared" si="19"/>
        <v>7</v>
      </c>
      <c r="J46" s="43">
        <f t="shared" si="20"/>
        <v>7</v>
      </c>
      <c r="K46" s="43">
        <f t="shared" si="21"/>
        <v>7</v>
      </c>
      <c r="L46" s="43">
        <f t="shared" si="22"/>
        <v>7</v>
      </c>
      <c r="M46" s="43">
        <f t="shared" si="23"/>
        <v>10</v>
      </c>
      <c r="N46" s="46"/>
      <c r="O46" s="46"/>
      <c r="P46" s="46"/>
      <c r="Q46" s="46"/>
      <c r="R46" s="12"/>
      <c r="S46" s="12"/>
      <c r="T46" s="12"/>
      <c r="U46" s="47" t="s">
        <v>51</v>
      </c>
      <c r="V46" s="43">
        <v>1</v>
      </c>
      <c r="W46" s="43">
        <v>4</v>
      </c>
      <c r="X46" s="43">
        <v>3</v>
      </c>
      <c r="Y46" s="43">
        <v>7</v>
      </c>
      <c r="Z46" s="43">
        <v>7</v>
      </c>
      <c r="AA46" s="43">
        <v>7</v>
      </c>
      <c r="AB46" s="43">
        <v>7</v>
      </c>
      <c r="AC46" s="43">
        <v>7</v>
      </c>
      <c r="AD46" s="43">
        <v>7</v>
      </c>
      <c r="AE46" s="43">
        <v>7</v>
      </c>
      <c r="AF46" s="43">
        <v>7</v>
      </c>
      <c r="AG46" s="43">
        <v>10</v>
      </c>
      <c r="AH46" s="47" t="s">
        <v>51</v>
      </c>
    </row>
    <row r="47" spans="1:47" ht="42">
      <c r="A47" s="42" t="s">
        <v>56</v>
      </c>
      <c r="B47" s="43">
        <f t="shared" si="24"/>
        <v>1</v>
      </c>
      <c r="C47" s="43">
        <f t="shared" si="13"/>
        <v>2</v>
      </c>
      <c r="D47" s="43">
        <f t="shared" si="14"/>
        <v>3</v>
      </c>
      <c r="E47" s="43">
        <f t="shared" si="15"/>
        <v>3</v>
      </c>
      <c r="F47" s="43">
        <f t="shared" si="16"/>
        <v>4</v>
      </c>
      <c r="G47" s="43">
        <f t="shared" si="17"/>
        <v>5</v>
      </c>
      <c r="H47" s="43">
        <f t="shared" si="18"/>
        <v>5</v>
      </c>
      <c r="I47" s="43">
        <f t="shared" si="19"/>
        <v>6.5</v>
      </c>
      <c r="J47" s="43">
        <f t="shared" si="20"/>
        <v>7</v>
      </c>
      <c r="K47" s="43">
        <f t="shared" si="21"/>
        <v>8</v>
      </c>
      <c r="L47" s="43">
        <f t="shared" si="22"/>
        <v>9</v>
      </c>
      <c r="M47" s="43">
        <f t="shared" si="23"/>
        <v>9</v>
      </c>
      <c r="N47" s="46"/>
      <c r="O47" s="46"/>
      <c r="P47" s="46"/>
      <c r="Q47" s="46"/>
      <c r="R47" s="12"/>
      <c r="S47" s="12"/>
      <c r="T47" s="46"/>
      <c r="U47" s="42" t="s">
        <v>56</v>
      </c>
      <c r="V47" s="355">
        <f>IF(AND('I&amp;O'!$C$71=3,'I&amp;O'!$D$122=100%),AI47-2,AI47)</f>
        <v>1</v>
      </c>
      <c r="W47" s="355">
        <f>IF(AND('I&amp;O'!$C$71=3,'I&amp;O'!$D$122=100%),AJ47-2,AJ47)</f>
        <v>2</v>
      </c>
      <c r="X47" s="355">
        <f>IF(AND('I&amp;O'!$C$71=3,'I&amp;O'!$D$122=100%),AK47-2,AK47)</f>
        <v>3</v>
      </c>
      <c r="Y47" s="355">
        <f>IF(AND('I&amp;O'!$C$71=3,'I&amp;O'!$D$122=100%),AL47-2,AL47)</f>
        <v>3</v>
      </c>
      <c r="Z47" s="355">
        <f>IF(AND('I&amp;O'!$C$71=3,'I&amp;O'!$D$122=100%),AM47-2,AM47)</f>
        <v>4</v>
      </c>
      <c r="AA47" s="355">
        <f>IF(AND('I&amp;O'!$C$71=3,'I&amp;O'!$D$122=100%),AN47-2,AN47)</f>
        <v>5</v>
      </c>
      <c r="AB47" s="355">
        <f>IF(AND('I&amp;O'!$C$71=3,'I&amp;O'!$D$122=100%),AO47-2,AO47)</f>
        <v>5</v>
      </c>
      <c r="AC47" s="355">
        <f>IF(AND('I&amp;O'!$C$71=3,'I&amp;O'!$D$122=100%),AP47-2,AP47)</f>
        <v>6.5</v>
      </c>
      <c r="AD47" s="355">
        <f>IF(AND('I&amp;O'!$C$71=3,'I&amp;O'!$D$122=100%),AQ47-2,AQ47)</f>
        <v>7</v>
      </c>
      <c r="AE47" s="355">
        <f>IF(AND('I&amp;O'!$C$71=3,'I&amp;O'!$D$122=100%),AR47-2,AR47)</f>
        <v>8</v>
      </c>
      <c r="AF47" s="355">
        <f>IF(AND('I&amp;O'!$C$71=3,'I&amp;O'!$D$122=100%),AS47-2,AS47)</f>
        <v>9</v>
      </c>
      <c r="AG47" s="355">
        <f>IF(AND('I&amp;O'!$C$71=3,'I&amp;O'!$D$122=100%),AT47-2,AT47)</f>
        <v>9</v>
      </c>
      <c r="AH47" s="42" t="s">
        <v>56</v>
      </c>
      <c r="AI47" s="43">
        <v>3</v>
      </c>
      <c r="AJ47" s="43">
        <v>4</v>
      </c>
      <c r="AK47" s="43">
        <v>5</v>
      </c>
      <c r="AL47" s="43">
        <v>5</v>
      </c>
      <c r="AM47" s="43">
        <v>6</v>
      </c>
      <c r="AN47" s="43">
        <v>7</v>
      </c>
      <c r="AO47" s="43">
        <v>7</v>
      </c>
      <c r="AP47" s="43">
        <v>8.5</v>
      </c>
      <c r="AQ47" s="43">
        <v>9</v>
      </c>
      <c r="AR47" s="43">
        <v>10</v>
      </c>
      <c r="AS47" s="43">
        <v>11</v>
      </c>
      <c r="AT47" s="43">
        <v>11</v>
      </c>
    </row>
    <row r="48" spans="1:47" ht="31.5">
      <c r="A48" s="42" t="s">
        <v>57</v>
      </c>
      <c r="B48" s="43">
        <f t="shared" si="24"/>
        <v>3</v>
      </c>
      <c r="C48" s="43">
        <f t="shared" si="13"/>
        <v>4</v>
      </c>
      <c r="D48" s="43">
        <f t="shared" si="14"/>
        <v>5</v>
      </c>
      <c r="E48" s="43">
        <f t="shared" si="15"/>
        <v>5</v>
      </c>
      <c r="F48" s="43">
        <f t="shared" si="16"/>
        <v>6</v>
      </c>
      <c r="G48" s="43">
        <f t="shared" si="17"/>
        <v>7</v>
      </c>
      <c r="H48" s="43">
        <f t="shared" si="18"/>
        <v>7</v>
      </c>
      <c r="I48" s="43">
        <f t="shared" si="19"/>
        <v>9</v>
      </c>
      <c r="J48" s="43">
        <f t="shared" si="20"/>
        <v>10</v>
      </c>
      <c r="K48" s="43">
        <f t="shared" si="21"/>
        <v>11</v>
      </c>
      <c r="L48" s="43">
        <f t="shared" si="22"/>
        <v>12</v>
      </c>
      <c r="M48" s="43">
        <f t="shared" si="23"/>
        <v>12</v>
      </c>
      <c r="N48" s="46"/>
      <c r="O48" s="46"/>
      <c r="P48" s="46"/>
      <c r="Q48" s="46"/>
      <c r="R48" s="12"/>
      <c r="S48" s="12"/>
      <c r="T48" s="46"/>
      <c r="U48" s="42" t="s">
        <v>57</v>
      </c>
      <c r="V48" s="355">
        <f>IF(AND('I&amp;O'!$C$71&lt;3,'I&amp;O'!$D$122=100%),AI48-1,AI48)</f>
        <v>3</v>
      </c>
      <c r="W48" s="355">
        <f>IF(AND('I&amp;O'!$C$71&lt;3,'I&amp;O'!$D$122=100%),AJ48-1,AJ48)</f>
        <v>4</v>
      </c>
      <c r="X48" s="355">
        <f>IF(AND('I&amp;O'!$C$71&lt;3,'I&amp;O'!$D$122=100%),AK48-1,AK48)</f>
        <v>5</v>
      </c>
      <c r="Y48" s="355">
        <f>IF(AND('I&amp;O'!$C$71&lt;3,'I&amp;O'!$D$122=100%),AL48-1,AL48)</f>
        <v>5</v>
      </c>
      <c r="Z48" s="355">
        <f>IF(AND('I&amp;O'!$C$71&lt;3,'I&amp;O'!$D$122=100%),AM48-1,AM48)</f>
        <v>6</v>
      </c>
      <c r="AA48" s="355">
        <f>IF(AND('I&amp;O'!$C$71&lt;3,'I&amp;O'!$D$122=100%),AN48-1,AN48)</f>
        <v>7</v>
      </c>
      <c r="AB48" s="355">
        <f>IF(AND('I&amp;O'!$C$71&lt;3,'I&amp;O'!$D$122=100%),AO48-1,AO48)</f>
        <v>7</v>
      </c>
      <c r="AC48" s="355">
        <f>IF(AND('I&amp;O'!$C$71&lt;3,'I&amp;O'!$D$122=100%),AP48-1,AP48)</f>
        <v>9</v>
      </c>
      <c r="AD48" s="355">
        <f>IF(AND('I&amp;O'!$C$71&lt;3,'I&amp;O'!$D$122=100%),AQ48-1,AQ48)</f>
        <v>10</v>
      </c>
      <c r="AE48" s="355">
        <f>IF(AND('I&amp;O'!$C$71&lt;3,'I&amp;O'!$D$122=100%),AR48-1,AR48)</f>
        <v>11</v>
      </c>
      <c r="AF48" s="355">
        <f>IF(AND('I&amp;O'!$C$71&lt;3,'I&amp;O'!$D$122=100%),AS48-1,AS48)</f>
        <v>12</v>
      </c>
      <c r="AG48" s="355">
        <f>IF(AND('I&amp;O'!$C$71&lt;3,'I&amp;O'!$D$122=100%),AT48-1,AT48)</f>
        <v>12</v>
      </c>
      <c r="AH48" s="42" t="s">
        <v>57</v>
      </c>
      <c r="AI48" s="43">
        <v>3</v>
      </c>
      <c r="AJ48" s="43">
        <v>4</v>
      </c>
      <c r="AK48" s="43">
        <v>5</v>
      </c>
      <c r="AL48" s="43">
        <v>5</v>
      </c>
      <c r="AM48" s="43">
        <v>6</v>
      </c>
      <c r="AN48" s="43">
        <v>7</v>
      </c>
      <c r="AO48" s="337">
        <v>7</v>
      </c>
      <c r="AP48" s="43">
        <v>9</v>
      </c>
      <c r="AQ48" s="43">
        <v>10</v>
      </c>
      <c r="AR48" s="43">
        <v>11</v>
      </c>
      <c r="AS48" s="43">
        <v>12</v>
      </c>
      <c r="AT48" s="43">
        <v>12</v>
      </c>
    </row>
    <row r="49" spans="1:34" ht="31.5">
      <c r="A49" s="42" t="s">
        <v>58</v>
      </c>
      <c r="B49" s="43">
        <f t="shared" si="24"/>
        <v>0</v>
      </c>
      <c r="C49" s="43">
        <f t="shared" si="13"/>
        <v>0</v>
      </c>
      <c r="D49" s="43">
        <f t="shared" si="14"/>
        <v>0</v>
      </c>
      <c r="E49" s="43">
        <f t="shared" si="15"/>
        <v>0</v>
      </c>
      <c r="F49" s="43">
        <f t="shared" si="16"/>
        <v>0</v>
      </c>
      <c r="G49" s="43">
        <f t="shared" si="17"/>
        <v>0</v>
      </c>
      <c r="H49" s="43">
        <f t="shared" si="18"/>
        <v>0</v>
      </c>
      <c r="I49" s="43">
        <f t="shared" si="19"/>
        <v>0</v>
      </c>
      <c r="J49" s="43">
        <f t="shared" si="20"/>
        <v>0</v>
      </c>
      <c r="K49" s="43">
        <f t="shared" si="21"/>
        <v>0</v>
      </c>
      <c r="L49" s="43">
        <f t="shared" si="22"/>
        <v>0</v>
      </c>
      <c r="M49" s="43">
        <f t="shared" si="23"/>
        <v>0</v>
      </c>
      <c r="N49" s="46"/>
      <c r="O49" s="46"/>
      <c r="P49" s="46"/>
      <c r="Q49" s="46"/>
      <c r="R49" s="12"/>
      <c r="S49" s="12"/>
      <c r="T49" s="12"/>
      <c r="U49" s="42" t="s">
        <v>58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2" t="s">
        <v>58</v>
      </c>
    </row>
    <row r="50" spans="1:34">
      <c r="N50" s="12"/>
      <c r="O50" s="12"/>
      <c r="P50" s="12"/>
      <c r="Q50" s="12"/>
      <c r="R50" s="12"/>
      <c r="S50" s="12"/>
      <c r="T50" s="12"/>
      <c r="V50" s="363">
        <v>3</v>
      </c>
      <c r="W50" s="363">
        <v>4</v>
      </c>
      <c r="X50" s="363">
        <v>5</v>
      </c>
      <c r="Y50" s="363">
        <v>6</v>
      </c>
      <c r="Z50" s="363">
        <v>7</v>
      </c>
      <c r="AA50" s="363">
        <v>8</v>
      </c>
      <c r="AB50" s="363">
        <v>9</v>
      </c>
      <c r="AC50" s="363">
        <v>10</v>
      </c>
      <c r="AD50" s="363">
        <v>10</v>
      </c>
      <c r="AE50" s="363">
        <v>11</v>
      </c>
      <c r="AF50" s="363">
        <v>12</v>
      </c>
      <c r="AG50" s="363">
        <v>13</v>
      </c>
      <c r="AH50" s="3"/>
    </row>
    <row r="51" spans="1:34">
      <c r="A51" s="50" t="s">
        <v>60</v>
      </c>
      <c r="B51" s="50">
        <v>1000</v>
      </c>
      <c r="C51" s="50">
        <v>1200</v>
      </c>
      <c r="D51" s="50">
        <v>1400</v>
      </c>
      <c r="E51" s="50">
        <v>1600</v>
      </c>
      <c r="F51" s="50">
        <v>1800</v>
      </c>
      <c r="G51" s="50">
        <v>2000</v>
      </c>
      <c r="H51" s="50">
        <v>2200</v>
      </c>
      <c r="I51" s="50">
        <v>2400</v>
      </c>
      <c r="J51" s="50">
        <v>2600</v>
      </c>
      <c r="K51" s="50">
        <v>2800</v>
      </c>
      <c r="L51" s="50">
        <v>3000</v>
      </c>
      <c r="M51" s="50">
        <v>3200</v>
      </c>
      <c r="N51" s="36"/>
      <c r="O51" s="36"/>
      <c r="P51" s="36"/>
      <c r="Q51" s="36"/>
      <c r="R51" s="12"/>
      <c r="S51" s="12"/>
      <c r="T51" s="12"/>
      <c r="U51" s="3"/>
    </row>
    <row r="52" spans="1:34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36"/>
      <c r="O52" s="36"/>
      <c r="P52" s="36"/>
      <c r="Q52" s="36"/>
      <c r="R52" s="12"/>
      <c r="S52" s="12"/>
      <c r="T52" s="12"/>
      <c r="U52" s="12"/>
    </row>
    <row r="53" spans="1:34">
      <c r="A53" s="41" t="s">
        <v>40</v>
      </c>
      <c r="N53" s="12"/>
      <c r="O53" s="12"/>
      <c r="P53" s="12"/>
      <c r="Q53" s="12"/>
      <c r="R53" s="12"/>
      <c r="S53" s="12"/>
      <c r="T53" s="12"/>
      <c r="U53" s="12"/>
    </row>
    <row r="54" spans="1:34">
      <c r="A54" s="42" t="s">
        <v>41</v>
      </c>
      <c r="B54" s="43">
        <f>V54</f>
        <v>4</v>
      </c>
      <c r="C54" s="43">
        <f t="shared" ref="C54:M69" si="25">W54</f>
        <v>4.5</v>
      </c>
      <c r="D54" s="43">
        <f t="shared" si="25"/>
        <v>5</v>
      </c>
      <c r="E54" s="43">
        <f t="shared" si="25"/>
        <v>6</v>
      </c>
      <c r="F54" s="43">
        <f t="shared" si="25"/>
        <v>6</v>
      </c>
      <c r="G54" s="43">
        <f t="shared" si="25"/>
        <v>7</v>
      </c>
      <c r="H54" s="43">
        <f t="shared" si="25"/>
        <v>8</v>
      </c>
      <c r="I54" s="43">
        <f t="shared" si="25"/>
        <v>9</v>
      </c>
      <c r="J54" s="43">
        <f t="shared" si="25"/>
        <v>9</v>
      </c>
      <c r="K54" s="43">
        <f t="shared" si="25"/>
        <v>11</v>
      </c>
      <c r="L54" s="43">
        <f t="shared" si="25"/>
        <v>11</v>
      </c>
      <c r="M54" s="43">
        <f t="shared" si="25"/>
        <v>12</v>
      </c>
      <c r="N54" s="46"/>
      <c r="O54" s="46"/>
      <c r="P54" s="46"/>
      <c r="Q54" s="46"/>
      <c r="R54" s="12"/>
      <c r="S54" s="12"/>
      <c r="T54" s="12"/>
      <c r="U54" s="12"/>
      <c r="V54" s="43">
        <v>4</v>
      </c>
      <c r="W54" s="43">
        <v>4.5</v>
      </c>
      <c r="X54" s="43">
        <v>5</v>
      </c>
      <c r="Y54" s="43">
        <v>6</v>
      </c>
      <c r="Z54" s="43">
        <v>6</v>
      </c>
      <c r="AA54" s="43">
        <v>7</v>
      </c>
      <c r="AB54" s="43">
        <v>8</v>
      </c>
      <c r="AC54" s="43">
        <v>9</v>
      </c>
      <c r="AD54" s="43">
        <v>9</v>
      </c>
      <c r="AE54" s="43">
        <v>11</v>
      </c>
      <c r="AF54" s="43">
        <v>11</v>
      </c>
      <c r="AG54" s="338">
        <v>12</v>
      </c>
    </row>
    <row r="55" spans="1:34">
      <c r="A55" s="42" t="s">
        <v>42</v>
      </c>
      <c r="B55" s="43">
        <f t="shared" ref="B55:B72" si="26">V55</f>
        <v>2</v>
      </c>
      <c r="C55" s="43">
        <f t="shared" si="25"/>
        <v>3</v>
      </c>
      <c r="D55" s="43">
        <f t="shared" si="25"/>
        <v>3.5</v>
      </c>
      <c r="E55" s="43">
        <f t="shared" si="25"/>
        <v>3.5</v>
      </c>
      <c r="F55" s="43">
        <f t="shared" si="25"/>
        <v>4</v>
      </c>
      <c r="G55" s="43">
        <f t="shared" si="25"/>
        <v>4.5</v>
      </c>
      <c r="H55" s="43">
        <f t="shared" si="25"/>
        <v>4.5</v>
      </c>
      <c r="I55" s="43">
        <f t="shared" si="25"/>
        <v>4.5</v>
      </c>
      <c r="J55" s="43">
        <f t="shared" si="25"/>
        <v>5.5</v>
      </c>
      <c r="K55" s="43">
        <f t="shared" si="25"/>
        <v>6</v>
      </c>
      <c r="L55" s="43">
        <f t="shared" si="25"/>
        <v>6</v>
      </c>
      <c r="M55" s="43">
        <f t="shared" si="25"/>
        <v>6</v>
      </c>
      <c r="N55" s="46"/>
      <c r="O55" s="46"/>
      <c r="P55" s="46"/>
      <c r="Q55" s="46"/>
      <c r="R55" s="12"/>
      <c r="S55" s="12"/>
      <c r="T55" s="12"/>
      <c r="U55" s="12"/>
      <c r="V55" s="43">
        <v>2</v>
      </c>
      <c r="W55" s="43">
        <v>3</v>
      </c>
      <c r="X55" s="43">
        <v>3.5</v>
      </c>
      <c r="Y55" s="43">
        <v>3.5</v>
      </c>
      <c r="Z55" s="43">
        <v>4</v>
      </c>
      <c r="AA55" s="43">
        <v>4.5</v>
      </c>
      <c r="AB55" s="43">
        <v>4.5</v>
      </c>
      <c r="AC55" s="43">
        <v>4.5</v>
      </c>
      <c r="AD55" s="43">
        <v>5.5</v>
      </c>
      <c r="AE55" s="43">
        <v>6</v>
      </c>
      <c r="AF55" s="43">
        <v>6</v>
      </c>
      <c r="AG55" s="338">
        <v>6</v>
      </c>
    </row>
    <row r="56" spans="1:34">
      <c r="A56" s="42" t="s">
        <v>43</v>
      </c>
      <c r="B56" s="43">
        <f t="shared" si="26"/>
        <v>2</v>
      </c>
      <c r="C56" s="43">
        <f t="shared" si="25"/>
        <v>2</v>
      </c>
      <c r="D56" s="43">
        <f t="shared" si="25"/>
        <v>2.5</v>
      </c>
      <c r="E56" s="43">
        <f t="shared" si="25"/>
        <v>3</v>
      </c>
      <c r="F56" s="43">
        <f t="shared" si="25"/>
        <v>4</v>
      </c>
      <c r="G56" s="43">
        <f t="shared" si="25"/>
        <v>4</v>
      </c>
      <c r="H56" s="43">
        <f t="shared" si="25"/>
        <v>4</v>
      </c>
      <c r="I56" s="43">
        <f t="shared" si="25"/>
        <v>5</v>
      </c>
      <c r="J56" s="43">
        <f t="shared" si="25"/>
        <v>5</v>
      </c>
      <c r="K56" s="43">
        <f t="shared" si="25"/>
        <v>5</v>
      </c>
      <c r="L56" s="43">
        <f t="shared" si="25"/>
        <v>6</v>
      </c>
      <c r="M56" s="43">
        <f t="shared" si="25"/>
        <v>6</v>
      </c>
      <c r="N56" s="46"/>
      <c r="O56" s="46"/>
      <c r="P56" s="46"/>
      <c r="Q56" s="46"/>
      <c r="R56" s="12"/>
      <c r="S56" s="12"/>
      <c r="T56" s="12"/>
      <c r="U56" s="12"/>
      <c r="V56" s="43">
        <v>2</v>
      </c>
      <c r="W56" s="43">
        <v>2</v>
      </c>
      <c r="X56" s="43">
        <v>2.5</v>
      </c>
      <c r="Y56" s="43">
        <v>3</v>
      </c>
      <c r="Z56" s="43">
        <v>4</v>
      </c>
      <c r="AA56" s="43">
        <v>4</v>
      </c>
      <c r="AB56" s="43">
        <v>4</v>
      </c>
      <c r="AC56" s="43">
        <v>5</v>
      </c>
      <c r="AD56" s="43">
        <v>5</v>
      </c>
      <c r="AE56" s="43">
        <v>5</v>
      </c>
      <c r="AF56" s="43">
        <v>6</v>
      </c>
      <c r="AG56" s="338">
        <v>6</v>
      </c>
    </row>
    <row r="57" spans="1:34">
      <c r="A57" s="42" t="s">
        <v>44</v>
      </c>
      <c r="B57" s="43">
        <f t="shared" si="26"/>
        <v>0.5</v>
      </c>
      <c r="C57" s="43">
        <f t="shared" si="25"/>
        <v>0.5</v>
      </c>
      <c r="D57" s="43">
        <f t="shared" si="25"/>
        <v>0.5</v>
      </c>
      <c r="E57" s="43">
        <f t="shared" si="25"/>
        <v>0.5</v>
      </c>
      <c r="F57" s="43">
        <f t="shared" si="25"/>
        <v>0.8</v>
      </c>
      <c r="G57" s="43">
        <f t="shared" si="25"/>
        <v>1</v>
      </c>
      <c r="H57" s="43">
        <f t="shared" si="25"/>
        <v>0.8</v>
      </c>
      <c r="I57" s="43">
        <f t="shared" si="25"/>
        <v>0.8</v>
      </c>
      <c r="J57" s="43">
        <f t="shared" si="25"/>
        <v>1</v>
      </c>
      <c r="K57" s="43">
        <f t="shared" si="25"/>
        <v>1</v>
      </c>
      <c r="L57" s="43">
        <f t="shared" si="25"/>
        <v>1.5</v>
      </c>
      <c r="M57" s="43">
        <f t="shared" si="25"/>
        <v>1.5</v>
      </c>
      <c r="N57" s="46"/>
      <c r="O57" s="46"/>
      <c r="P57" s="46"/>
      <c r="Q57" s="46"/>
      <c r="R57" s="46"/>
      <c r="S57" s="46"/>
      <c r="T57" s="46"/>
      <c r="U57" s="46"/>
      <c r="V57" s="43">
        <v>0.5</v>
      </c>
      <c r="W57" s="43">
        <v>0.5</v>
      </c>
      <c r="X57" s="43">
        <v>0.5</v>
      </c>
      <c r="Y57" s="43">
        <v>0.5</v>
      </c>
      <c r="Z57" s="43">
        <v>0.8</v>
      </c>
      <c r="AA57" s="43">
        <v>1</v>
      </c>
      <c r="AB57" s="43">
        <v>0.8</v>
      </c>
      <c r="AC57" s="43">
        <v>0.8</v>
      </c>
      <c r="AD57" s="43">
        <v>1</v>
      </c>
      <c r="AE57" s="43">
        <v>1</v>
      </c>
      <c r="AF57" s="43">
        <v>1.5</v>
      </c>
      <c r="AG57" s="338">
        <v>1.5</v>
      </c>
    </row>
    <row r="58" spans="1:34">
      <c r="A58" s="42" t="s">
        <v>45</v>
      </c>
      <c r="B58" s="43">
        <f t="shared" si="26"/>
        <v>0.5</v>
      </c>
      <c r="C58" s="43">
        <f t="shared" si="25"/>
        <v>0.5</v>
      </c>
      <c r="D58" s="43">
        <f t="shared" si="25"/>
        <v>0.5</v>
      </c>
      <c r="E58" s="43">
        <f t="shared" si="25"/>
        <v>0.5</v>
      </c>
      <c r="F58" s="43">
        <f t="shared" si="25"/>
        <v>0.8</v>
      </c>
      <c r="G58" s="43">
        <f t="shared" si="25"/>
        <v>1</v>
      </c>
      <c r="H58" s="43">
        <f t="shared" si="25"/>
        <v>0.8</v>
      </c>
      <c r="I58" s="43">
        <f t="shared" si="25"/>
        <v>0.8</v>
      </c>
      <c r="J58" s="43">
        <f t="shared" si="25"/>
        <v>1</v>
      </c>
      <c r="K58" s="43">
        <f t="shared" si="25"/>
        <v>1</v>
      </c>
      <c r="L58" s="43">
        <f t="shared" si="25"/>
        <v>1.5</v>
      </c>
      <c r="M58" s="43">
        <f t="shared" si="25"/>
        <v>1.5</v>
      </c>
      <c r="N58" s="46"/>
      <c r="O58" s="46"/>
      <c r="P58" s="46"/>
      <c r="Q58" s="46"/>
      <c r="R58" s="46"/>
      <c r="S58" s="46"/>
      <c r="T58" s="46"/>
      <c r="U58" s="46"/>
      <c r="V58" s="43">
        <v>0.5</v>
      </c>
      <c r="W58" s="43">
        <v>0.5</v>
      </c>
      <c r="X58" s="43">
        <v>0.5</v>
      </c>
      <c r="Y58" s="43">
        <v>0.5</v>
      </c>
      <c r="Z58" s="43">
        <v>0.8</v>
      </c>
      <c r="AA58" s="43">
        <v>1</v>
      </c>
      <c r="AB58" s="43">
        <v>0.8</v>
      </c>
      <c r="AC58" s="43">
        <v>0.8</v>
      </c>
      <c r="AD58" s="43">
        <v>1</v>
      </c>
      <c r="AE58" s="43">
        <v>1</v>
      </c>
      <c r="AF58" s="43">
        <v>1.5</v>
      </c>
      <c r="AG58" s="338">
        <v>1.5</v>
      </c>
    </row>
    <row r="59" spans="1:34">
      <c r="A59" s="42" t="s">
        <v>46</v>
      </c>
      <c r="B59" s="43">
        <f t="shared" si="26"/>
        <v>2</v>
      </c>
      <c r="C59" s="43">
        <f t="shared" si="25"/>
        <v>2</v>
      </c>
      <c r="D59" s="43">
        <f t="shared" si="25"/>
        <v>2</v>
      </c>
      <c r="E59" s="43">
        <f t="shared" si="25"/>
        <v>2.5</v>
      </c>
      <c r="F59" s="43">
        <f t="shared" si="25"/>
        <v>2.5</v>
      </c>
      <c r="G59" s="43">
        <f t="shared" si="25"/>
        <v>2.5</v>
      </c>
      <c r="H59" s="43">
        <f t="shared" si="25"/>
        <v>3</v>
      </c>
      <c r="I59" s="43">
        <f t="shared" si="25"/>
        <v>3</v>
      </c>
      <c r="J59" s="43">
        <f t="shared" si="25"/>
        <v>3</v>
      </c>
      <c r="K59" s="43">
        <f t="shared" si="25"/>
        <v>3</v>
      </c>
      <c r="L59" s="43">
        <f t="shared" si="25"/>
        <v>3</v>
      </c>
      <c r="M59" s="43">
        <f t="shared" si="25"/>
        <v>3</v>
      </c>
      <c r="N59" s="46"/>
      <c r="O59" s="46"/>
      <c r="P59" s="46"/>
      <c r="Q59" s="46"/>
      <c r="R59" s="46"/>
      <c r="S59" s="46"/>
      <c r="T59" s="46"/>
      <c r="U59" s="46"/>
      <c r="V59" s="43">
        <v>2</v>
      </c>
      <c r="W59" s="43">
        <v>2</v>
      </c>
      <c r="X59" s="43">
        <v>2</v>
      </c>
      <c r="Y59" s="43">
        <v>2.5</v>
      </c>
      <c r="Z59" s="43">
        <v>2.5</v>
      </c>
      <c r="AA59" s="43">
        <v>2.5</v>
      </c>
      <c r="AB59" s="43">
        <v>3</v>
      </c>
      <c r="AC59" s="43">
        <v>3</v>
      </c>
      <c r="AD59" s="43">
        <v>3</v>
      </c>
      <c r="AE59" s="43">
        <v>3</v>
      </c>
      <c r="AF59" s="43">
        <v>3</v>
      </c>
      <c r="AG59" s="338">
        <v>3</v>
      </c>
    </row>
    <row r="60" spans="1:34" ht="21">
      <c r="A60" s="44" t="s">
        <v>47</v>
      </c>
      <c r="B60" s="43">
        <f t="shared" si="26"/>
        <v>0</v>
      </c>
      <c r="C60" s="43">
        <f t="shared" si="25"/>
        <v>0</v>
      </c>
      <c r="D60" s="43">
        <f t="shared" si="25"/>
        <v>0</v>
      </c>
      <c r="E60" s="43">
        <f t="shared" si="25"/>
        <v>0</v>
      </c>
      <c r="F60" s="43">
        <f t="shared" si="25"/>
        <v>0</v>
      </c>
      <c r="G60" s="43">
        <f t="shared" si="25"/>
        <v>0</v>
      </c>
      <c r="H60" s="43">
        <f t="shared" si="25"/>
        <v>0</v>
      </c>
      <c r="I60" s="43">
        <f t="shared" si="25"/>
        <v>0</v>
      </c>
      <c r="J60" s="43">
        <f t="shared" si="25"/>
        <v>0</v>
      </c>
      <c r="K60" s="43">
        <f t="shared" si="25"/>
        <v>0</v>
      </c>
      <c r="L60" s="43">
        <f t="shared" si="25"/>
        <v>0</v>
      </c>
      <c r="M60" s="43">
        <f t="shared" si="25"/>
        <v>0</v>
      </c>
      <c r="N60" s="46"/>
      <c r="O60" s="46"/>
      <c r="P60" s="46"/>
      <c r="Q60" s="46"/>
      <c r="R60" s="12"/>
      <c r="S60" s="12"/>
      <c r="T60" s="12"/>
      <c r="U60" s="12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339"/>
    </row>
    <row r="61" spans="1:34">
      <c r="A61" s="47" t="s">
        <v>48</v>
      </c>
      <c r="B61" s="43">
        <f t="shared" si="26"/>
        <v>1</v>
      </c>
      <c r="C61" s="43">
        <f t="shared" si="25"/>
        <v>2</v>
      </c>
      <c r="D61" s="43">
        <f t="shared" si="25"/>
        <v>3</v>
      </c>
      <c r="E61" s="43">
        <f t="shared" si="25"/>
        <v>3</v>
      </c>
      <c r="F61" s="43">
        <f t="shared" si="25"/>
        <v>3</v>
      </c>
      <c r="G61" s="43">
        <f t="shared" si="25"/>
        <v>3</v>
      </c>
      <c r="H61" s="43">
        <f t="shared" si="25"/>
        <v>3</v>
      </c>
      <c r="I61" s="43">
        <f t="shared" si="25"/>
        <v>3</v>
      </c>
      <c r="J61" s="43">
        <f t="shared" si="25"/>
        <v>3</v>
      </c>
      <c r="K61" s="43">
        <f t="shared" si="25"/>
        <v>3</v>
      </c>
      <c r="L61" s="43">
        <f t="shared" si="25"/>
        <v>3</v>
      </c>
      <c r="M61" s="43">
        <f t="shared" si="25"/>
        <v>3</v>
      </c>
      <c r="N61" s="46"/>
      <c r="O61" s="46"/>
      <c r="P61" s="46"/>
      <c r="Q61" s="46"/>
      <c r="R61" s="12"/>
      <c r="S61" s="46"/>
      <c r="T61" s="46"/>
      <c r="U61" s="46"/>
      <c r="V61" s="43">
        <v>1</v>
      </c>
      <c r="W61" s="43">
        <v>2</v>
      </c>
      <c r="X61" s="43">
        <v>3</v>
      </c>
      <c r="Y61" s="43">
        <v>3</v>
      </c>
      <c r="Z61" s="43">
        <v>3</v>
      </c>
      <c r="AA61" s="43">
        <v>3</v>
      </c>
      <c r="AB61" s="43">
        <v>3</v>
      </c>
      <c r="AC61" s="43">
        <v>3</v>
      </c>
      <c r="AD61" s="43">
        <v>3</v>
      </c>
      <c r="AE61" s="43">
        <v>3</v>
      </c>
      <c r="AF61" s="43">
        <v>3</v>
      </c>
      <c r="AG61" s="338">
        <v>3</v>
      </c>
    </row>
    <row r="62" spans="1:34" ht="22.5">
      <c r="A62" s="47" t="s">
        <v>49</v>
      </c>
      <c r="B62" s="43">
        <f t="shared" si="26"/>
        <v>1</v>
      </c>
      <c r="C62" s="43">
        <f t="shared" si="25"/>
        <v>1.5</v>
      </c>
      <c r="D62" s="43">
        <f t="shared" si="25"/>
        <v>1</v>
      </c>
      <c r="E62" s="43">
        <f t="shared" si="25"/>
        <v>1.5</v>
      </c>
      <c r="F62" s="43">
        <f t="shared" si="25"/>
        <v>2</v>
      </c>
      <c r="G62" s="43">
        <f t="shared" si="25"/>
        <v>2</v>
      </c>
      <c r="H62" s="43">
        <f t="shared" si="25"/>
        <v>2</v>
      </c>
      <c r="I62" s="43">
        <f t="shared" si="25"/>
        <v>2</v>
      </c>
      <c r="J62" s="43">
        <f t="shared" si="25"/>
        <v>2.5</v>
      </c>
      <c r="K62" s="43">
        <f t="shared" si="25"/>
        <v>2.5</v>
      </c>
      <c r="L62" s="43">
        <f t="shared" si="25"/>
        <v>2.5</v>
      </c>
      <c r="M62" s="43">
        <f t="shared" si="25"/>
        <v>2.5</v>
      </c>
      <c r="N62" s="46"/>
      <c r="O62" s="46"/>
      <c r="P62" s="46"/>
      <c r="Q62" s="46"/>
      <c r="R62" s="12"/>
      <c r="S62" s="46"/>
      <c r="T62" s="46"/>
      <c r="U62" s="46"/>
      <c r="V62" s="43">
        <v>1</v>
      </c>
      <c r="W62" s="43">
        <v>1.5</v>
      </c>
      <c r="X62" s="43">
        <v>1</v>
      </c>
      <c r="Y62" s="43">
        <v>1.5</v>
      </c>
      <c r="Z62" s="43">
        <v>2</v>
      </c>
      <c r="AA62" s="43">
        <v>2</v>
      </c>
      <c r="AB62" s="43">
        <v>2</v>
      </c>
      <c r="AC62" s="43">
        <v>2</v>
      </c>
      <c r="AD62" s="43">
        <v>2.5</v>
      </c>
      <c r="AE62" s="43">
        <v>2.5</v>
      </c>
      <c r="AF62" s="43">
        <v>2.5</v>
      </c>
      <c r="AG62" s="338">
        <v>2.5</v>
      </c>
    </row>
    <row r="63" spans="1:34" ht="22.5">
      <c r="A63" s="47" t="s">
        <v>50</v>
      </c>
      <c r="B63" s="43">
        <f t="shared" si="26"/>
        <v>1</v>
      </c>
      <c r="C63" s="43">
        <f t="shared" si="25"/>
        <v>1.5</v>
      </c>
      <c r="D63" s="43">
        <f t="shared" si="25"/>
        <v>1</v>
      </c>
      <c r="E63" s="43">
        <f t="shared" si="25"/>
        <v>1.5</v>
      </c>
      <c r="F63" s="43">
        <f t="shared" si="25"/>
        <v>2</v>
      </c>
      <c r="G63" s="43">
        <f t="shared" si="25"/>
        <v>2</v>
      </c>
      <c r="H63" s="43">
        <f t="shared" si="25"/>
        <v>2</v>
      </c>
      <c r="I63" s="43">
        <f t="shared" si="25"/>
        <v>2</v>
      </c>
      <c r="J63" s="43">
        <f t="shared" si="25"/>
        <v>2.5</v>
      </c>
      <c r="K63" s="43">
        <f t="shared" si="25"/>
        <v>2.5</v>
      </c>
      <c r="L63" s="43">
        <f t="shared" si="25"/>
        <v>2.5</v>
      </c>
      <c r="M63" s="43">
        <f t="shared" si="25"/>
        <v>2.5</v>
      </c>
      <c r="N63" s="46"/>
      <c r="O63" s="46"/>
      <c r="P63" s="46"/>
      <c r="Q63" s="46"/>
      <c r="R63" s="12"/>
      <c r="S63" s="46"/>
      <c r="T63" s="46"/>
      <c r="U63" s="46"/>
      <c r="V63" s="43">
        <v>1</v>
      </c>
      <c r="W63" s="43">
        <v>1.5</v>
      </c>
      <c r="X63" s="43">
        <v>1</v>
      </c>
      <c r="Y63" s="43">
        <v>1.5</v>
      </c>
      <c r="Z63" s="43">
        <v>2</v>
      </c>
      <c r="AA63" s="43">
        <v>2</v>
      </c>
      <c r="AB63" s="43">
        <v>2</v>
      </c>
      <c r="AC63" s="43">
        <v>2</v>
      </c>
      <c r="AD63" s="43">
        <v>2.5</v>
      </c>
      <c r="AE63" s="43">
        <v>2.5</v>
      </c>
      <c r="AF63" s="43">
        <v>2.5</v>
      </c>
      <c r="AG63" s="338">
        <v>2.5</v>
      </c>
    </row>
    <row r="64" spans="1:34">
      <c r="A64" s="47" t="s">
        <v>51</v>
      </c>
      <c r="B64" s="43">
        <f t="shared" si="26"/>
        <v>3</v>
      </c>
      <c r="C64" s="43">
        <f t="shared" si="25"/>
        <v>4</v>
      </c>
      <c r="D64" s="43">
        <f t="shared" si="25"/>
        <v>7</v>
      </c>
      <c r="E64" s="43">
        <f t="shared" si="25"/>
        <v>7</v>
      </c>
      <c r="F64" s="43">
        <f t="shared" si="25"/>
        <v>7</v>
      </c>
      <c r="G64" s="43">
        <f t="shared" si="25"/>
        <v>7</v>
      </c>
      <c r="H64" s="43">
        <f t="shared" si="25"/>
        <v>7</v>
      </c>
      <c r="I64" s="43">
        <f t="shared" si="25"/>
        <v>10</v>
      </c>
      <c r="J64" s="43">
        <f t="shared" si="25"/>
        <v>10</v>
      </c>
      <c r="K64" s="43">
        <f t="shared" si="25"/>
        <v>10</v>
      </c>
      <c r="L64" s="43">
        <f t="shared" si="25"/>
        <v>10</v>
      </c>
      <c r="M64" s="43">
        <f t="shared" si="25"/>
        <v>10</v>
      </c>
      <c r="N64" s="46"/>
      <c r="O64" s="46"/>
      <c r="P64" s="46"/>
      <c r="Q64" s="46"/>
      <c r="R64" s="12"/>
      <c r="S64" s="46"/>
      <c r="T64" s="46"/>
      <c r="U64" s="46"/>
      <c r="V64" s="43">
        <v>3</v>
      </c>
      <c r="W64" s="43">
        <v>4</v>
      </c>
      <c r="X64" s="43">
        <v>7</v>
      </c>
      <c r="Y64" s="43">
        <v>7</v>
      </c>
      <c r="Z64" s="43">
        <v>7</v>
      </c>
      <c r="AA64" s="43">
        <v>7</v>
      </c>
      <c r="AB64" s="43">
        <v>7</v>
      </c>
      <c r="AC64" s="43">
        <v>10</v>
      </c>
      <c r="AD64" s="43">
        <v>10</v>
      </c>
      <c r="AE64" s="43">
        <v>10</v>
      </c>
      <c r="AF64" s="43">
        <v>10</v>
      </c>
      <c r="AG64" s="338">
        <v>10</v>
      </c>
    </row>
    <row r="65" spans="1:33" ht="21">
      <c r="A65" s="44" t="s">
        <v>52</v>
      </c>
      <c r="B65" s="43">
        <f t="shared" si="26"/>
        <v>0</v>
      </c>
      <c r="C65" s="43">
        <f t="shared" si="25"/>
        <v>0</v>
      </c>
      <c r="D65" s="43">
        <f t="shared" si="25"/>
        <v>0</v>
      </c>
      <c r="E65" s="43">
        <f t="shared" si="25"/>
        <v>0</v>
      </c>
      <c r="F65" s="43">
        <f t="shared" si="25"/>
        <v>0</v>
      </c>
      <c r="G65" s="43">
        <f t="shared" si="25"/>
        <v>0</v>
      </c>
      <c r="H65" s="43">
        <f t="shared" si="25"/>
        <v>0</v>
      </c>
      <c r="I65" s="43">
        <f t="shared" si="25"/>
        <v>0</v>
      </c>
      <c r="J65" s="43">
        <f t="shared" si="25"/>
        <v>0</v>
      </c>
      <c r="K65" s="43">
        <f t="shared" si="25"/>
        <v>0</v>
      </c>
      <c r="L65" s="43">
        <f t="shared" si="25"/>
        <v>0</v>
      </c>
      <c r="M65" s="43">
        <f t="shared" si="25"/>
        <v>0</v>
      </c>
      <c r="N65" s="46"/>
      <c r="O65" s="46"/>
      <c r="P65" s="46"/>
      <c r="Q65" s="46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47" t="s">
        <v>53</v>
      </c>
      <c r="B66" s="43">
        <f t="shared" si="26"/>
        <v>2.5</v>
      </c>
      <c r="C66" s="43">
        <f t="shared" si="25"/>
        <v>2.5</v>
      </c>
      <c r="D66" s="43">
        <f t="shared" si="25"/>
        <v>3</v>
      </c>
      <c r="E66" s="43">
        <f t="shared" si="25"/>
        <v>4</v>
      </c>
      <c r="F66" s="43">
        <f t="shared" si="25"/>
        <v>4</v>
      </c>
      <c r="G66" s="43">
        <f t="shared" si="25"/>
        <v>4</v>
      </c>
      <c r="H66" s="43">
        <f t="shared" si="25"/>
        <v>4.5</v>
      </c>
      <c r="I66" s="43">
        <f t="shared" si="25"/>
        <v>4.5</v>
      </c>
      <c r="J66" s="43">
        <f t="shared" si="25"/>
        <v>5</v>
      </c>
      <c r="K66" s="43">
        <f t="shared" si="25"/>
        <v>5</v>
      </c>
      <c r="L66" s="43">
        <f t="shared" si="25"/>
        <v>5</v>
      </c>
      <c r="M66" s="43">
        <f t="shared" si="25"/>
        <v>5.5</v>
      </c>
      <c r="N66" s="46"/>
      <c r="O66" s="46"/>
      <c r="P66" s="46"/>
      <c r="Q66" s="46"/>
      <c r="R66" s="12"/>
      <c r="S66" s="12"/>
      <c r="T66" s="12"/>
      <c r="U66" s="12"/>
      <c r="V66" s="43">
        <v>2.5</v>
      </c>
      <c r="W66" s="43">
        <v>2.5</v>
      </c>
      <c r="X66" s="43">
        <v>3</v>
      </c>
      <c r="Y66" s="43">
        <v>4</v>
      </c>
      <c r="Z66" s="43">
        <v>4</v>
      </c>
      <c r="AA66" s="43">
        <v>4</v>
      </c>
      <c r="AB66" s="43">
        <v>4.5</v>
      </c>
      <c r="AC66" s="43">
        <v>4.5</v>
      </c>
      <c r="AD66" s="43">
        <v>5</v>
      </c>
      <c r="AE66" s="43">
        <v>5</v>
      </c>
      <c r="AF66" s="43">
        <v>5</v>
      </c>
      <c r="AG66" s="338">
        <v>5.5</v>
      </c>
    </row>
    <row r="67" spans="1:33">
      <c r="A67" s="47" t="s">
        <v>48</v>
      </c>
      <c r="B67" s="43">
        <f t="shared" si="26"/>
        <v>1</v>
      </c>
      <c r="C67" s="43">
        <f t="shared" si="25"/>
        <v>2</v>
      </c>
      <c r="D67" s="43">
        <f t="shared" si="25"/>
        <v>2</v>
      </c>
      <c r="E67" s="43">
        <f t="shared" si="25"/>
        <v>2</v>
      </c>
      <c r="F67" s="43">
        <f t="shared" si="25"/>
        <v>2</v>
      </c>
      <c r="G67" s="43">
        <f t="shared" si="25"/>
        <v>2</v>
      </c>
      <c r="H67" s="43">
        <f t="shared" si="25"/>
        <v>2</v>
      </c>
      <c r="I67" s="43">
        <f t="shared" si="25"/>
        <v>2</v>
      </c>
      <c r="J67" s="43">
        <f t="shared" si="25"/>
        <v>2</v>
      </c>
      <c r="K67" s="43">
        <f t="shared" si="25"/>
        <v>2</v>
      </c>
      <c r="L67" s="43">
        <f t="shared" si="25"/>
        <v>2</v>
      </c>
      <c r="M67" s="43">
        <f t="shared" si="25"/>
        <v>2</v>
      </c>
      <c r="N67" s="46"/>
      <c r="O67" s="46"/>
      <c r="P67" s="46"/>
      <c r="Q67" s="46"/>
      <c r="R67" s="12"/>
      <c r="S67" s="46"/>
      <c r="T67" s="46"/>
      <c r="U67" s="46"/>
      <c r="V67" s="43">
        <f>V61</f>
        <v>1</v>
      </c>
      <c r="W67" s="43">
        <v>2</v>
      </c>
      <c r="X67" s="43">
        <v>2</v>
      </c>
      <c r="Y67" s="43">
        <v>2</v>
      </c>
      <c r="Z67" s="43">
        <v>2</v>
      </c>
      <c r="AA67" s="43">
        <v>2</v>
      </c>
      <c r="AB67" s="43">
        <v>2</v>
      </c>
      <c r="AC67" s="43">
        <v>2</v>
      </c>
      <c r="AD67" s="43">
        <v>2</v>
      </c>
      <c r="AE67" s="43">
        <v>2</v>
      </c>
      <c r="AF67" s="43">
        <v>2</v>
      </c>
      <c r="AG67" s="43">
        <v>2</v>
      </c>
    </row>
    <row r="68" spans="1:33">
      <c r="A68" s="47" t="s">
        <v>54</v>
      </c>
      <c r="B68" s="43">
        <f t="shared" si="26"/>
        <v>1</v>
      </c>
      <c r="C68" s="43">
        <f t="shared" si="25"/>
        <v>1.5</v>
      </c>
      <c r="D68" s="43">
        <f t="shared" si="25"/>
        <v>2</v>
      </c>
      <c r="E68" s="43">
        <f t="shared" si="25"/>
        <v>2</v>
      </c>
      <c r="F68" s="43">
        <f t="shared" si="25"/>
        <v>2</v>
      </c>
      <c r="G68" s="43">
        <f t="shared" si="25"/>
        <v>2</v>
      </c>
      <c r="H68" s="43">
        <f t="shared" si="25"/>
        <v>2</v>
      </c>
      <c r="I68" s="43">
        <f t="shared" si="25"/>
        <v>2</v>
      </c>
      <c r="J68" s="43">
        <f t="shared" si="25"/>
        <v>2.5</v>
      </c>
      <c r="K68" s="43">
        <f t="shared" si="25"/>
        <v>2.5</v>
      </c>
      <c r="L68" s="43">
        <f t="shared" si="25"/>
        <v>2.5</v>
      </c>
      <c r="M68" s="43">
        <f t="shared" si="25"/>
        <v>2.5</v>
      </c>
      <c r="N68" s="46"/>
      <c r="O68" s="46"/>
      <c r="P68" s="46"/>
      <c r="Q68" s="46"/>
      <c r="R68" s="12"/>
      <c r="S68" s="12"/>
      <c r="T68" s="12"/>
      <c r="U68" s="12"/>
      <c r="V68" s="43">
        <v>1</v>
      </c>
      <c r="W68" s="43">
        <v>1.5</v>
      </c>
      <c r="X68" s="43">
        <v>2</v>
      </c>
      <c r="Y68" s="43">
        <v>2</v>
      </c>
      <c r="Z68" s="43">
        <v>2</v>
      </c>
      <c r="AA68" s="43">
        <v>2</v>
      </c>
      <c r="AB68" s="43">
        <v>2</v>
      </c>
      <c r="AC68" s="43">
        <v>2</v>
      </c>
      <c r="AD68" s="43">
        <v>2.5</v>
      </c>
      <c r="AE68" s="43">
        <v>2.5</v>
      </c>
      <c r="AF68" s="43">
        <v>2.5</v>
      </c>
      <c r="AG68" s="43">
        <v>2.5</v>
      </c>
    </row>
    <row r="69" spans="1:33">
      <c r="A69" s="47" t="s">
        <v>55</v>
      </c>
      <c r="B69" s="43">
        <f t="shared" si="26"/>
        <v>3</v>
      </c>
      <c r="C69" s="43">
        <f t="shared" si="25"/>
        <v>4</v>
      </c>
      <c r="D69" s="43">
        <f t="shared" si="25"/>
        <v>3</v>
      </c>
      <c r="E69" s="43">
        <f t="shared" si="25"/>
        <v>3</v>
      </c>
      <c r="F69" s="43">
        <f t="shared" si="25"/>
        <v>7</v>
      </c>
      <c r="G69" s="43">
        <f t="shared" si="25"/>
        <v>7</v>
      </c>
      <c r="H69" s="43">
        <f t="shared" si="25"/>
        <v>7</v>
      </c>
      <c r="I69" s="43">
        <f t="shared" si="25"/>
        <v>7</v>
      </c>
      <c r="J69" s="43">
        <f t="shared" si="25"/>
        <v>7</v>
      </c>
      <c r="K69" s="43">
        <f t="shared" si="25"/>
        <v>10</v>
      </c>
      <c r="L69" s="43">
        <f t="shared" si="25"/>
        <v>10</v>
      </c>
      <c r="M69" s="43">
        <f t="shared" si="25"/>
        <v>10</v>
      </c>
      <c r="N69" s="46"/>
      <c r="O69" s="46"/>
      <c r="P69" s="46"/>
      <c r="Q69" s="46"/>
      <c r="R69" s="12"/>
      <c r="S69" s="12"/>
      <c r="T69" s="12"/>
      <c r="U69" s="12"/>
      <c r="V69" s="43">
        <v>3</v>
      </c>
      <c r="W69" s="43">
        <v>4</v>
      </c>
      <c r="X69" s="43">
        <v>3</v>
      </c>
      <c r="Y69" s="43">
        <v>3</v>
      </c>
      <c r="Z69" s="43">
        <v>7</v>
      </c>
      <c r="AA69" s="43">
        <v>7</v>
      </c>
      <c r="AB69" s="43">
        <v>7</v>
      </c>
      <c r="AC69" s="43">
        <v>7</v>
      </c>
      <c r="AD69" s="43">
        <v>7</v>
      </c>
      <c r="AE69" s="43">
        <v>10</v>
      </c>
      <c r="AF69" s="43">
        <v>10</v>
      </c>
      <c r="AG69" s="338">
        <v>10</v>
      </c>
    </row>
    <row r="70" spans="1:33">
      <c r="A70" s="42" t="s">
        <v>56</v>
      </c>
      <c r="B70" s="43">
        <f t="shared" si="26"/>
        <v>2</v>
      </c>
      <c r="C70" s="43">
        <f t="shared" ref="C70:C72" si="27">W70</f>
        <v>3</v>
      </c>
      <c r="D70" s="43">
        <f t="shared" ref="D70:D72" si="28">X70</f>
        <v>4</v>
      </c>
      <c r="E70" s="43">
        <f t="shared" ref="E70:E72" si="29">Y70</f>
        <v>4</v>
      </c>
      <c r="F70" s="43">
        <f t="shared" ref="F70:F72" si="30">Z70</f>
        <v>4.5</v>
      </c>
      <c r="G70" s="43">
        <f t="shared" ref="G70:G72" si="31">AA70</f>
        <v>4.5</v>
      </c>
      <c r="H70" s="43">
        <f t="shared" ref="H70:H72" si="32">AB70</f>
        <v>6</v>
      </c>
      <c r="I70" s="43">
        <f t="shared" ref="I70:I72" si="33">AC70</f>
        <v>6</v>
      </c>
      <c r="J70" s="43">
        <f t="shared" ref="J70:J72" si="34">AD70</f>
        <v>7</v>
      </c>
      <c r="K70" s="43">
        <f t="shared" ref="K70:K72" si="35">AE70</f>
        <v>7</v>
      </c>
      <c r="L70" s="43">
        <f t="shared" ref="L70:L72" si="36">AF70</f>
        <v>7</v>
      </c>
      <c r="M70" s="43">
        <f t="shared" ref="M70:M72" si="37">AG70</f>
        <v>7</v>
      </c>
      <c r="N70" s="46"/>
      <c r="O70" s="46"/>
      <c r="P70" s="46"/>
      <c r="Q70" s="46"/>
      <c r="R70" s="12"/>
      <c r="S70" s="12"/>
      <c r="T70" s="46"/>
      <c r="U70" s="46"/>
      <c r="V70" s="43">
        <v>2</v>
      </c>
      <c r="W70" s="43">
        <v>3</v>
      </c>
      <c r="X70" s="43">
        <v>4</v>
      </c>
      <c r="Y70" s="43">
        <v>4</v>
      </c>
      <c r="Z70" s="43">
        <v>4.5</v>
      </c>
      <c r="AA70" s="43">
        <v>4.5</v>
      </c>
      <c r="AB70" s="43">
        <v>6</v>
      </c>
      <c r="AC70" s="43">
        <v>6</v>
      </c>
      <c r="AD70" s="43">
        <v>7</v>
      </c>
      <c r="AE70" s="43">
        <v>7</v>
      </c>
      <c r="AF70" s="43">
        <v>7</v>
      </c>
      <c r="AG70" s="338">
        <v>7</v>
      </c>
    </row>
    <row r="71" spans="1:33">
      <c r="A71" s="42" t="s">
        <v>57</v>
      </c>
      <c r="B71" s="43">
        <f t="shared" si="26"/>
        <v>2</v>
      </c>
      <c r="C71" s="43">
        <f t="shared" si="27"/>
        <v>3</v>
      </c>
      <c r="D71" s="43">
        <f t="shared" si="28"/>
        <v>4</v>
      </c>
      <c r="E71" s="43">
        <f t="shared" si="29"/>
        <v>4</v>
      </c>
      <c r="F71" s="43">
        <f t="shared" si="30"/>
        <v>4.5</v>
      </c>
      <c r="G71" s="43">
        <f t="shared" si="31"/>
        <v>4.5</v>
      </c>
      <c r="H71" s="43">
        <f t="shared" si="32"/>
        <v>6</v>
      </c>
      <c r="I71" s="43">
        <f t="shared" si="33"/>
        <v>6</v>
      </c>
      <c r="J71" s="43">
        <f t="shared" si="34"/>
        <v>7</v>
      </c>
      <c r="K71" s="43">
        <f t="shared" si="35"/>
        <v>7</v>
      </c>
      <c r="L71" s="43">
        <f t="shared" si="36"/>
        <v>7</v>
      </c>
      <c r="M71" s="43">
        <f t="shared" si="37"/>
        <v>7</v>
      </c>
      <c r="N71" s="46"/>
      <c r="O71" s="46"/>
      <c r="P71" s="46"/>
      <c r="Q71" s="46"/>
      <c r="R71" s="12"/>
      <c r="S71" s="12"/>
      <c r="T71" s="46"/>
      <c r="U71" s="46"/>
      <c r="V71" s="43">
        <v>2</v>
      </c>
      <c r="W71" s="43">
        <v>3</v>
      </c>
      <c r="X71" s="43">
        <v>4</v>
      </c>
      <c r="Y71" s="43">
        <v>4</v>
      </c>
      <c r="Z71" s="43">
        <v>4.5</v>
      </c>
      <c r="AA71" s="43">
        <v>4.5</v>
      </c>
      <c r="AB71" s="43">
        <v>6</v>
      </c>
      <c r="AC71" s="43">
        <v>6</v>
      </c>
      <c r="AD71" s="43">
        <v>7</v>
      </c>
      <c r="AE71" s="43">
        <v>7</v>
      </c>
      <c r="AF71" s="43">
        <v>7</v>
      </c>
      <c r="AG71" s="338">
        <v>7</v>
      </c>
    </row>
    <row r="72" spans="1:33">
      <c r="A72" s="42" t="s">
        <v>58</v>
      </c>
      <c r="B72" s="43">
        <f t="shared" si="26"/>
        <v>0</v>
      </c>
      <c r="C72" s="43">
        <f t="shared" si="27"/>
        <v>0</v>
      </c>
      <c r="D72" s="43">
        <f t="shared" si="28"/>
        <v>0</v>
      </c>
      <c r="E72" s="43">
        <f t="shared" si="29"/>
        <v>0</v>
      </c>
      <c r="F72" s="43">
        <f t="shared" si="30"/>
        <v>0</v>
      </c>
      <c r="G72" s="43">
        <f t="shared" si="31"/>
        <v>0</v>
      </c>
      <c r="H72" s="43">
        <f t="shared" si="32"/>
        <v>0</v>
      </c>
      <c r="I72" s="43">
        <f t="shared" si="33"/>
        <v>0</v>
      </c>
      <c r="J72" s="43">
        <f t="shared" si="34"/>
        <v>0</v>
      </c>
      <c r="K72" s="43">
        <f t="shared" si="35"/>
        <v>0</v>
      </c>
      <c r="L72" s="43">
        <f t="shared" si="36"/>
        <v>0</v>
      </c>
      <c r="M72" s="43">
        <f t="shared" si="37"/>
        <v>0</v>
      </c>
      <c r="N72" s="46"/>
      <c r="O72" s="46"/>
      <c r="P72" s="46"/>
      <c r="Q72" s="46"/>
      <c r="R72" s="12"/>
      <c r="S72" s="12"/>
      <c r="T72" s="12"/>
      <c r="U72" s="12"/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</row>
    <row r="73" spans="1:33">
      <c r="A73" s="12"/>
      <c r="B73" s="12"/>
      <c r="C73" s="12"/>
      <c r="D73" s="12"/>
      <c r="E73" s="12"/>
      <c r="F73" s="12"/>
      <c r="G73" s="12"/>
      <c r="H73" s="12"/>
      <c r="I73" s="12"/>
      <c r="N73" s="12"/>
      <c r="O73" s="12"/>
      <c r="P73" s="12"/>
      <c r="Q73" s="12"/>
      <c r="R73" s="12"/>
      <c r="S73" s="12"/>
      <c r="T73" s="12"/>
      <c r="U73" s="12"/>
      <c r="V73" s="363">
        <v>3</v>
      </c>
      <c r="W73" s="363">
        <v>4</v>
      </c>
      <c r="X73" s="363">
        <v>5</v>
      </c>
      <c r="Y73" s="363">
        <v>6</v>
      </c>
      <c r="Z73" s="363">
        <v>7</v>
      </c>
      <c r="AA73" s="363">
        <v>8</v>
      </c>
      <c r="AB73" s="363">
        <v>9</v>
      </c>
      <c r="AC73" s="363">
        <v>10</v>
      </c>
      <c r="AD73" s="363">
        <v>10</v>
      </c>
      <c r="AE73" s="363">
        <v>11</v>
      </c>
      <c r="AF73" s="363">
        <v>12</v>
      </c>
      <c r="AG73" s="363">
        <v>13</v>
      </c>
    </row>
    <row r="74" spans="1:33">
      <c r="A74" s="340"/>
      <c r="B74" s="12"/>
      <c r="C74" s="12"/>
      <c r="D74" s="12"/>
      <c r="E74" s="12"/>
      <c r="F74" s="12"/>
      <c r="G74" s="12"/>
      <c r="H74" s="12"/>
      <c r="I74" s="12"/>
      <c r="N74" s="12"/>
      <c r="O74" s="12"/>
      <c r="P74" s="12"/>
      <c r="Q74" s="12"/>
      <c r="R74" s="12"/>
      <c r="S74" s="12"/>
      <c r="T74" s="12"/>
      <c r="U74" s="12"/>
    </row>
    <row r="75" spans="1:33">
      <c r="A75" s="340"/>
      <c r="B75" s="46"/>
      <c r="C75" s="46"/>
      <c r="D75" s="46"/>
      <c r="E75" s="46"/>
      <c r="F75" s="46"/>
      <c r="G75" s="46"/>
      <c r="H75" s="12"/>
      <c r="I75" s="12"/>
      <c r="N75" s="12"/>
      <c r="O75" s="12"/>
      <c r="P75" s="12"/>
      <c r="Q75" s="12"/>
      <c r="R75" s="12"/>
      <c r="S75" s="12"/>
      <c r="T75" s="12"/>
      <c r="U75" s="12"/>
    </row>
    <row r="76" spans="1:33">
      <c r="A76" s="340"/>
      <c r="B76" s="46"/>
      <c r="C76" s="46"/>
      <c r="D76" s="46"/>
      <c r="E76" s="12"/>
      <c r="F76" s="12"/>
      <c r="G76" s="12"/>
      <c r="H76" s="12"/>
      <c r="I76" s="12"/>
      <c r="N76" s="12"/>
      <c r="O76" s="12"/>
      <c r="P76" s="12"/>
      <c r="Q76" s="12"/>
      <c r="R76" s="12"/>
      <c r="S76" s="12"/>
      <c r="T76" s="12"/>
      <c r="U76" s="12"/>
    </row>
    <row r="77" spans="1:33">
      <c r="A77" s="340"/>
      <c r="B77" s="12"/>
      <c r="C77" s="12"/>
      <c r="D77" s="12"/>
      <c r="E77" s="12"/>
      <c r="F77" s="12"/>
      <c r="G77" s="12"/>
      <c r="H77" s="12"/>
      <c r="I77" s="12"/>
      <c r="N77" s="12"/>
      <c r="O77" s="12"/>
      <c r="P77" s="12"/>
      <c r="Q77" s="12"/>
      <c r="R77" s="12"/>
      <c r="S77" s="12"/>
      <c r="T77" s="12"/>
      <c r="U77" s="12"/>
    </row>
    <row r="78" spans="1:33">
      <c r="A78" s="340"/>
      <c r="B78" s="12"/>
      <c r="C78" s="12"/>
      <c r="D78" s="12"/>
      <c r="E78" s="12"/>
      <c r="F78" s="12"/>
      <c r="G78" s="12"/>
      <c r="H78" s="12"/>
      <c r="I78" s="12"/>
      <c r="N78" s="12"/>
      <c r="O78" s="12"/>
      <c r="P78" s="12"/>
      <c r="Q78" s="12"/>
      <c r="R78" s="12"/>
      <c r="S78" s="12"/>
      <c r="T78" s="12"/>
      <c r="U78" s="12"/>
    </row>
    <row r="79" spans="1:33">
      <c r="A79" s="340"/>
      <c r="B79" s="12"/>
      <c r="C79" s="12"/>
      <c r="D79" s="12"/>
      <c r="E79" s="12"/>
      <c r="F79" s="12"/>
      <c r="G79" s="12"/>
      <c r="H79" s="12"/>
      <c r="I79" s="12"/>
      <c r="N79" s="12"/>
      <c r="O79" s="12"/>
      <c r="P79" s="12"/>
      <c r="Q79" s="12"/>
      <c r="R79" s="12"/>
      <c r="S79" s="12"/>
      <c r="T79" s="12"/>
      <c r="U79" s="12"/>
    </row>
    <row r="80" spans="1:33">
      <c r="A80" s="12"/>
      <c r="B80" s="12"/>
      <c r="C80" s="12"/>
      <c r="D80" s="12"/>
      <c r="E80" s="12"/>
      <c r="F80" s="12"/>
      <c r="G80" s="12"/>
      <c r="H80" s="12"/>
      <c r="I80" s="12"/>
      <c r="N80" s="12"/>
      <c r="O80" s="12"/>
      <c r="P80" s="12"/>
      <c r="Q80" s="12"/>
      <c r="R80" s="12"/>
      <c r="S80" s="12"/>
      <c r="T80" s="12"/>
      <c r="U80" s="12"/>
    </row>
    <row r="81" spans="1:21">
      <c r="A81" s="340"/>
      <c r="B81" s="12"/>
      <c r="C81" s="12"/>
      <c r="D81" s="12"/>
      <c r="E81" s="12"/>
      <c r="F81" s="12"/>
      <c r="G81" s="12"/>
      <c r="H81" s="12"/>
      <c r="I81" s="12"/>
      <c r="P81" s="12"/>
      <c r="Q81" s="12"/>
      <c r="R81" s="12"/>
      <c r="S81" s="12"/>
      <c r="T81" s="12"/>
      <c r="U81" s="12"/>
    </row>
    <row r="82" spans="1:21">
      <c r="A82" s="340"/>
      <c r="B82" s="12"/>
      <c r="C82" s="12"/>
      <c r="D82" s="12"/>
      <c r="E82" s="12"/>
      <c r="F82" s="12"/>
      <c r="G82" s="12"/>
      <c r="H82" s="12"/>
      <c r="I82" s="12"/>
    </row>
    <row r="83" spans="1:21">
      <c r="A83" s="340"/>
      <c r="B83" s="12"/>
      <c r="C83" s="12"/>
      <c r="D83" s="12"/>
      <c r="E83" s="12"/>
      <c r="F83" s="12"/>
      <c r="G83" s="12"/>
      <c r="H83" s="12"/>
      <c r="I83" s="12"/>
    </row>
    <row r="84" spans="1:21">
      <c r="A84" s="12"/>
      <c r="B84" s="12"/>
      <c r="C84" s="12"/>
      <c r="D84" s="12"/>
      <c r="E84" s="12"/>
      <c r="F84" s="12"/>
      <c r="G84" s="12"/>
      <c r="H84" s="12"/>
      <c r="I84" s="12"/>
    </row>
    <row r="85" spans="1:21">
      <c r="A85" s="12"/>
      <c r="B85" s="12"/>
      <c r="C85" s="12"/>
      <c r="D85" s="12"/>
      <c r="E85" s="12"/>
      <c r="F85" s="12"/>
      <c r="G85" s="12"/>
      <c r="H85" s="12"/>
      <c r="I85" s="12"/>
    </row>
    <row r="86" spans="1:21">
      <c r="A86" s="12"/>
      <c r="B86" s="12"/>
      <c r="C86" s="12"/>
      <c r="D86" s="12"/>
      <c r="E86" s="12"/>
      <c r="F86" s="12"/>
      <c r="G86" s="12"/>
      <c r="H86" s="12"/>
      <c r="I86" s="12"/>
    </row>
    <row r="87" spans="1:21">
      <c r="A87" s="12"/>
      <c r="B87" s="12"/>
      <c r="C87" s="12"/>
      <c r="D87" s="12"/>
      <c r="E87" s="12"/>
      <c r="F87" s="12"/>
      <c r="G87" s="12"/>
      <c r="H87" s="12"/>
      <c r="I87" s="12"/>
    </row>
    <row r="88" spans="1:21">
      <c r="A88" s="12"/>
      <c r="B88" s="12"/>
      <c r="C88" s="12"/>
      <c r="D88" s="12"/>
      <c r="E88" s="12"/>
      <c r="F88" s="12"/>
      <c r="G88" s="12"/>
      <c r="H88" s="12"/>
      <c r="I8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69"/>
  <sheetViews>
    <sheetView topLeftCell="A56" workbookViewId="0">
      <selection activeCell="E64" sqref="E64"/>
    </sheetView>
  </sheetViews>
  <sheetFormatPr defaultRowHeight="12.75"/>
  <cols>
    <col min="1" max="1" width="41.85546875" style="62" customWidth="1"/>
    <col min="2" max="2" width="31.85546875" style="62" customWidth="1"/>
    <col min="3" max="3" width="14.28515625" style="62" customWidth="1"/>
    <col min="4" max="4" width="25.42578125" style="62" customWidth="1"/>
    <col min="5" max="5" width="24" style="62" customWidth="1"/>
    <col min="6" max="6" width="71.140625" style="62" customWidth="1"/>
    <col min="7" max="7" width="23.28515625" style="62" customWidth="1"/>
    <col min="8" max="9" width="9.140625" style="62"/>
    <col min="10" max="10" width="10.42578125" style="62" customWidth="1"/>
    <col min="11" max="11" width="11.5703125" style="62" bestFit="1" customWidth="1"/>
    <col min="12" max="16384" width="9.140625" style="62"/>
  </cols>
  <sheetData>
    <row r="1" spans="1:7">
      <c r="A1" s="62" t="s">
        <v>105</v>
      </c>
    </row>
    <row r="2" spans="1:7">
      <c r="A2" s="62" t="s">
        <v>106</v>
      </c>
    </row>
    <row r="3" spans="1:7">
      <c r="A3" s="62" t="s">
        <v>107</v>
      </c>
    </row>
    <row r="4" spans="1:7">
      <c r="A4" s="62" t="s">
        <v>108</v>
      </c>
    </row>
    <row r="7" spans="1:7">
      <c r="A7" s="9" t="s">
        <v>109</v>
      </c>
      <c r="B7" s="72">
        <f>'I&amp;O'!$C$7</f>
        <v>15</v>
      </c>
      <c r="C7" s="11"/>
      <c r="G7" s="63"/>
    </row>
    <row r="8" spans="1:7">
      <c r="A8" s="9" t="s">
        <v>110</v>
      </c>
      <c r="B8" s="10"/>
      <c r="C8" s="11"/>
    </row>
    <row r="9" spans="1:7">
      <c r="A9" s="10" t="s">
        <v>6</v>
      </c>
      <c r="B9" s="72">
        <f>'I&amp;O'!$C$9</f>
        <v>5</v>
      </c>
      <c r="C9" s="11"/>
    </row>
    <row r="10" spans="1:7">
      <c r="A10" s="10" t="s">
        <v>7</v>
      </c>
      <c r="B10" s="72">
        <f>'I&amp;O'!$C$10</f>
        <v>1</v>
      </c>
      <c r="C10" s="11"/>
    </row>
    <row r="11" spans="1:7">
      <c r="A11" s="11" t="s">
        <v>111</v>
      </c>
      <c r="B11" s="11">
        <f>((B9*12)+B10)*0.0254</f>
        <v>1.5493999999999999</v>
      </c>
      <c r="C11" s="11"/>
    </row>
    <row r="12" spans="1:7">
      <c r="A12" s="9" t="s">
        <v>112</v>
      </c>
      <c r="B12" s="72">
        <f>IF('I&amp;O'!C13="yes",'I&amp;O'!C15,'I&amp;O'!$C$11)</f>
        <v>56</v>
      </c>
      <c r="C12" s="11"/>
    </row>
    <row r="13" spans="1:7">
      <c r="A13" s="10" t="s">
        <v>113</v>
      </c>
      <c r="B13" s="321" t="str">
        <f>'I&amp;O'!$C$6</f>
        <v>Male</v>
      </c>
      <c r="C13" s="11"/>
    </row>
    <row r="14" spans="1:7">
      <c r="A14" s="26" t="s">
        <v>114</v>
      </c>
      <c r="B14" s="26" t="s">
        <v>4</v>
      </c>
      <c r="C14" s="26" t="s">
        <v>3</v>
      </c>
    </row>
    <row r="15" spans="1:7">
      <c r="A15" s="16" t="s">
        <v>10</v>
      </c>
      <c r="B15" s="64">
        <f>B12/B11^2</f>
        <v>23.327109271794466</v>
      </c>
      <c r="C15" s="11" t="s">
        <v>115</v>
      </c>
    </row>
    <row r="16" spans="1:7" ht="13.5" thickBot="1">
      <c r="A16" s="16" t="s">
        <v>11</v>
      </c>
      <c r="B16" s="65" t="s">
        <v>116</v>
      </c>
      <c r="C16" s="11"/>
    </row>
    <row r="17" spans="1:44" ht="13.5" thickBot="1">
      <c r="A17" s="17" t="s">
        <v>12</v>
      </c>
      <c r="B17" s="17" t="s">
        <v>13</v>
      </c>
      <c r="C17" s="11"/>
    </row>
    <row r="18" spans="1:44" ht="14.25" thickTop="1" thickBot="1">
      <c r="A18" s="18" t="s">
        <v>14</v>
      </c>
      <c r="B18" s="18" t="s">
        <v>15</v>
      </c>
      <c r="C18" s="11"/>
    </row>
    <row r="19" spans="1:44" ht="13.5" thickBot="1">
      <c r="A19" s="19" t="s">
        <v>16</v>
      </c>
      <c r="B19" s="19" t="s">
        <v>17</v>
      </c>
      <c r="C19" s="11"/>
    </row>
    <row r="20" spans="1:44" ht="13.5" thickBot="1">
      <c r="A20" s="19" t="s">
        <v>18</v>
      </c>
      <c r="B20" s="19" t="s">
        <v>19</v>
      </c>
      <c r="C20" s="11"/>
    </row>
    <row r="21" spans="1:44">
      <c r="A21" s="35" t="s">
        <v>117</v>
      </c>
      <c r="B21" s="66" t="str">
        <f>C23&amp;-C24</f>
        <v>44-55</v>
      </c>
      <c r="C21" s="63" t="s">
        <v>118</v>
      </c>
    </row>
    <row r="22" spans="1:44">
      <c r="A22" s="13"/>
      <c r="B22" s="67" t="s">
        <v>119</v>
      </c>
      <c r="C22" s="11" t="s">
        <v>120</v>
      </c>
    </row>
    <row r="23" spans="1:44">
      <c r="A23" s="63" t="s">
        <v>121</v>
      </c>
      <c r="B23" s="68">
        <f>B11^2*18</f>
        <v>43.211526479999996</v>
      </c>
      <c r="C23" s="69">
        <f>ROUNDUP(B23,0)</f>
        <v>44</v>
      </c>
    </row>
    <row r="24" spans="1:44">
      <c r="A24" s="63" t="s">
        <v>122</v>
      </c>
      <c r="B24" s="68">
        <f>B11^2*22.9</f>
        <v>54.974664243999989</v>
      </c>
      <c r="C24" s="69">
        <f>ROUNDUP(B24,0)</f>
        <v>55</v>
      </c>
      <c r="D24" s="63"/>
      <c r="E24" s="63"/>
      <c r="F24" s="63"/>
      <c r="G24" s="63"/>
    </row>
    <row r="25" spans="1:44">
      <c r="A25" s="63"/>
      <c r="B25" s="63"/>
      <c r="C25" s="63"/>
      <c r="D25" s="63"/>
      <c r="E25" s="63"/>
      <c r="F25" s="70"/>
      <c r="G25" s="70"/>
    </row>
    <row r="26" spans="1:44">
      <c r="A26" s="63"/>
      <c r="B26" s="63"/>
      <c r="C26" s="63"/>
      <c r="D26" s="63"/>
      <c r="E26" s="63"/>
      <c r="F26" s="63"/>
      <c r="G26" s="63"/>
    </row>
    <row r="27" spans="1:44">
      <c r="A27" s="71" t="s">
        <v>123</v>
      </c>
      <c r="B27" s="72" t="s">
        <v>124</v>
      </c>
      <c r="C27" s="72" t="s">
        <v>125</v>
      </c>
      <c r="D27" s="63" t="s">
        <v>126</v>
      </c>
      <c r="E27" s="63"/>
      <c r="F27" s="63"/>
      <c r="G27" s="63"/>
    </row>
    <row r="28" spans="1:44">
      <c r="A28" s="70" t="s">
        <v>127</v>
      </c>
      <c r="B28" s="73">
        <f>(10*$B$12)+(6.25*$B$11*100)-(5*$B$7)+5</f>
        <v>1458.375</v>
      </c>
      <c r="C28" s="73">
        <f>(10*$B$12)+(6.25*$B$11*100)-(5*$B$7)-161</f>
        <v>1292.375</v>
      </c>
      <c r="D28" s="73" t="s">
        <v>128</v>
      </c>
      <c r="E28" s="11"/>
      <c r="F28" s="11"/>
      <c r="G28" s="11"/>
      <c r="O28" s="74"/>
      <c r="P28" s="75"/>
      <c r="Q28" s="76"/>
    </row>
    <row r="29" spans="1:44" s="26" customFormat="1">
      <c r="A29" s="11"/>
      <c r="B29" s="73"/>
      <c r="C29" s="73"/>
      <c r="D29" s="11" t="s">
        <v>129</v>
      </c>
      <c r="E29" s="11"/>
      <c r="F29" s="11"/>
      <c r="G29" s="11"/>
      <c r="H29" s="11"/>
      <c r="I29" s="11"/>
    </row>
    <row r="30" spans="1:44" ht="12.75" customHeight="1">
      <c r="A30" s="77" t="s">
        <v>130</v>
      </c>
      <c r="B30" s="77"/>
      <c r="C30" s="77"/>
      <c r="D30" s="78"/>
      <c r="E30" s="78"/>
      <c r="F30" s="78"/>
      <c r="G30" s="28"/>
      <c r="H30" s="28"/>
      <c r="I30" s="63"/>
      <c r="AB30" s="79" t="s">
        <v>131</v>
      </c>
      <c r="AC30" s="79" t="s">
        <v>132</v>
      </c>
      <c r="AD30" s="80" t="s">
        <v>133</v>
      </c>
      <c r="AE30" s="80"/>
      <c r="AF30" s="80"/>
      <c r="AI30" s="79" t="s">
        <v>134</v>
      </c>
      <c r="AJ30" s="80" t="s">
        <v>135</v>
      </c>
      <c r="AK30" s="80"/>
    </row>
    <row r="31" spans="1:44">
      <c r="A31" s="81" t="s">
        <v>21</v>
      </c>
      <c r="B31" s="82" t="s">
        <v>136</v>
      </c>
      <c r="C31" s="82"/>
      <c r="D31" s="82"/>
      <c r="E31" s="82"/>
      <c r="F31" s="83"/>
      <c r="G31" s="82"/>
      <c r="H31" s="82"/>
      <c r="I31" s="82"/>
      <c r="J31" s="84"/>
      <c r="K31" s="84"/>
      <c r="L31" s="84"/>
      <c r="M31" s="84"/>
      <c r="N31" s="84"/>
      <c r="O31" s="84"/>
      <c r="P31" s="29"/>
      <c r="AB31" s="79"/>
      <c r="AC31" s="85"/>
      <c r="AD31" s="79"/>
      <c r="AE31" s="79"/>
      <c r="AF31" s="86"/>
      <c r="AI31" s="85"/>
      <c r="AJ31" s="87"/>
      <c r="AK31" s="87"/>
    </row>
    <row r="32" spans="1:44" s="26" customFormat="1" ht="25.5">
      <c r="A32" s="14" t="s">
        <v>137</v>
      </c>
      <c r="B32" s="20">
        <v>2</v>
      </c>
      <c r="C32" s="20">
        <v>3</v>
      </c>
      <c r="D32" s="20">
        <v>4</v>
      </c>
      <c r="E32" s="20" t="s">
        <v>138</v>
      </c>
      <c r="F32" s="20" t="s">
        <v>139</v>
      </c>
      <c r="G32" s="11"/>
      <c r="H32" s="11"/>
      <c r="I32" s="11"/>
      <c r="AB32" s="31"/>
      <c r="AC32" s="33"/>
      <c r="AD32" s="33"/>
      <c r="AE32" s="33"/>
      <c r="AF32" s="33"/>
      <c r="AI32" s="31"/>
      <c r="AJ32" s="33"/>
      <c r="AK32" s="33"/>
      <c r="AM32" s="88"/>
      <c r="AN32" s="70"/>
      <c r="AO32" s="70"/>
      <c r="AP32" s="70"/>
      <c r="AQ32" s="70"/>
      <c r="AR32" s="70"/>
    </row>
    <row r="33" spans="1:44" ht="12.75" customHeight="1">
      <c r="A33" s="27" t="s">
        <v>140</v>
      </c>
      <c r="B33" s="28" t="s">
        <v>141</v>
      </c>
      <c r="C33" s="28" t="s">
        <v>142</v>
      </c>
      <c r="D33" s="28" t="s">
        <v>143</v>
      </c>
      <c r="E33" s="28" t="s">
        <v>144</v>
      </c>
      <c r="F33" s="28" t="s">
        <v>145</v>
      </c>
      <c r="G33" s="28"/>
      <c r="H33" s="28"/>
      <c r="I33" s="63"/>
      <c r="AB33" s="79" t="s">
        <v>131</v>
      </c>
      <c r="AC33" s="79" t="s">
        <v>132</v>
      </c>
      <c r="AD33" s="79" t="s">
        <v>141</v>
      </c>
      <c r="AE33" s="79" t="s">
        <v>146</v>
      </c>
      <c r="AF33" s="86" t="s">
        <v>147</v>
      </c>
      <c r="AI33" s="79" t="s">
        <v>134</v>
      </c>
      <c r="AJ33" s="79" t="s">
        <v>148</v>
      </c>
      <c r="AK33" s="79" t="s">
        <v>149</v>
      </c>
      <c r="AM33" s="85"/>
      <c r="AN33" s="89" t="s">
        <v>150</v>
      </c>
      <c r="AO33" s="90" t="s">
        <v>151</v>
      </c>
      <c r="AP33" s="90"/>
      <c r="AQ33" s="79" t="s">
        <v>152</v>
      </c>
      <c r="AR33" s="79" t="s">
        <v>153</v>
      </c>
    </row>
    <row r="34" spans="1:44">
      <c r="A34" s="20" t="s">
        <v>154</v>
      </c>
      <c r="B34" s="11">
        <v>1.3</v>
      </c>
      <c r="C34" s="11">
        <v>1.55</v>
      </c>
      <c r="D34" s="11">
        <v>1.75</v>
      </c>
      <c r="E34" s="11">
        <v>1.9</v>
      </c>
      <c r="F34" s="11">
        <v>2.2999999999999998</v>
      </c>
      <c r="G34" s="63"/>
      <c r="H34" s="63"/>
      <c r="I34" s="63"/>
      <c r="AB34" s="85" t="s">
        <v>155</v>
      </c>
      <c r="AC34" s="87">
        <v>8</v>
      </c>
      <c r="AD34" s="87">
        <v>1.5</v>
      </c>
      <c r="AE34" s="87">
        <v>2.2999999999999998</v>
      </c>
      <c r="AF34" s="87">
        <v>3.8</v>
      </c>
      <c r="AI34" s="85" t="s">
        <v>156</v>
      </c>
      <c r="AJ34" s="87">
        <v>1.4</v>
      </c>
      <c r="AK34" s="87">
        <v>1.33</v>
      </c>
      <c r="AM34" s="91" t="s">
        <v>3</v>
      </c>
      <c r="AN34" s="85" t="s">
        <v>157</v>
      </c>
      <c r="AO34" s="85" t="s">
        <v>158</v>
      </c>
      <c r="AP34" s="85" t="s">
        <v>159</v>
      </c>
      <c r="AQ34" s="85">
        <v>0.74</v>
      </c>
      <c r="AR34" s="85">
        <v>108</v>
      </c>
    </row>
    <row r="35" spans="1:44" s="26" customFormat="1" hidden="1">
      <c r="B35" s="11">
        <v>2</v>
      </c>
      <c r="C35" s="11">
        <v>3</v>
      </c>
      <c r="D35" s="11">
        <v>4</v>
      </c>
      <c r="E35" s="92" t="s">
        <v>138</v>
      </c>
      <c r="F35" s="11" t="s">
        <v>160</v>
      </c>
      <c r="G35" s="11"/>
      <c r="H35" s="11"/>
      <c r="I35" s="11"/>
      <c r="AB35" s="31"/>
      <c r="AC35" s="33"/>
      <c r="AD35" s="33"/>
      <c r="AE35" s="33"/>
      <c r="AF35" s="33"/>
      <c r="AI35" s="31"/>
      <c r="AJ35" s="33"/>
      <c r="AK35" s="33"/>
      <c r="AM35" s="88"/>
      <c r="AN35" s="70"/>
      <c r="AO35" s="70"/>
      <c r="AP35" s="70"/>
      <c r="AQ35" s="70"/>
      <c r="AR35" s="70"/>
    </row>
    <row r="36" spans="1:44" s="26" customFormat="1" hidden="1">
      <c r="A36" s="11" t="s">
        <v>161</v>
      </c>
      <c r="B36" s="11">
        <f>B37+B38</f>
        <v>2</v>
      </c>
      <c r="C36" s="11">
        <f t="shared" ref="C36:F36" si="0">C37+C38</f>
        <v>3</v>
      </c>
      <c r="D36" s="11">
        <f t="shared" si="0"/>
        <v>4</v>
      </c>
      <c r="E36" s="11">
        <f t="shared" si="0"/>
        <v>5</v>
      </c>
      <c r="F36" s="11">
        <f t="shared" si="0"/>
        <v>6</v>
      </c>
      <c r="G36" s="11"/>
      <c r="H36" s="11"/>
      <c r="I36" s="11"/>
      <c r="AB36" s="31"/>
      <c r="AC36" s="33"/>
      <c r="AD36" s="33"/>
      <c r="AE36" s="33"/>
      <c r="AF36" s="33"/>
      <c r="AI36" s="31"/>
      <c r="AJ36" s="33"/>
      <c r="AK36" s="33"/>
      <c r="AM36" s="88"/>
      <c r="AN36" s="70"/>
      <c r="AO36" s="70"/>
      <c r="AP36" s="70"/>
      <c r="AQ36" s="70"/>
      <c r="AR36" s="70"/>
    </row>
    <row r="37" spans="1:44" s="26" customFormat="1" hidden="1">
      <c r="A37" s="11" t="s">
        <v>162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/>
      <c r="H37" s="11"/>
      <c r="I37" s="11"/>
      <c r="AB37" s="31"/>
      <c r="AC37" s="33"/>
      <c r="AD37" s="33"/>
      <c r="AE37" s="33"/>
      <c r="AF37" s="33"/>
      <c r="AI37" s="31"/>
      <c r="AJ37" s="33"/>
      <c r="AK37" s="33"/>
      <c r="AM37" s="88"/>
      <c r="AN37" s="70"/>
      <c r="AO37" s="70"/>
      <c r="AP37" s="70"/>
      <c r="AQ37" s="70"/>
      <c r="AR37" s="70"/>
    </row>
    <row r="38" spans="1:44" s="26" customFormat="1" hidden="1">
      <c r="A38" s="11" t="s">
        <v>163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/>
      <c r="H38" s="11"/>
      <c r="I38" s="11"/>
      <c r="AB38" s="31"/>
      <c r="AC38" s="33"/>
      <c r="AD38" s="33"/>
      <c r="AE38" s="33"/>
      <c r="AF38" s="33"/>
      <c r="AI38" s="31"/>
      <c r="AJ38" s="33"/>
      <c r="AK38" s="33"/>
      <c r="AM38" s="88"/>
      <c r="AN38" s="70"/>
      <c r="AO38" s="70"/>
      <c r="AP38" s="70"/>
      <c r="AQ38" s="70"/>
      <c r="AR38" s="70"/>
    </row>
    <row r="39" spans="1:44" s="26" customFormat="1" hidden="1">
      <c r="A39" s="11" t="s">
        <v>164</v>
      </c>
      <c r="B39" s="11" t="s">
        <v>165</v>
      </c>
      <c r="C39" s="11" t="s">
        <v>166</v>
      </c>
      <c r="D39" s="11" t="s">
        <v>167</v>
      </c>
      <c r="E39" s="11" t="s">
        <v>168</v>
      </c>
      <c r="F39" s="11" t="s">
        <v>168</v>
      </c>
      <c r="G39" s="11"/>
      <c r="H39" s="11"/>
      <c r="I39" s="11"/>
      <c r="AB39" s="31"/>
      <c r="AC39" s="33"/>
      <c r="AD39" s="33"/>
      <c r="AE39" s="33"/>
      <c r="AF39" s="33"/>
      <c r="AI39" s="31"/>
      <c r="AJ39" s="33"/>
      <c r="AK39" s="33"/>
      <c r="AM39" s="88"/>
      <c r="AN39" s="70"/>
      <c r="AO39" s="70"/>
      <c r="AP39" s="70"/>
      <c r="AQ39" s="70"/>
      <c r="AR39" s="70"/>
    </row>
    <row r="40" spans="1:44" s="26" customFormat="1" hidden="1">
      <c r="A40" s="11" t="s">
        <v>169</v>
      </c>
      <c r="B40" s="11">
        <f>B41+B42</f>
        <v>3</v>
      </c>
      <c r="C40" s="11">
        <f t="shared" ref="C40:F40" si="1">C41+C42</f>
        <v>4</v>
      </c>
      <c r="D40" s="11">
        <f t="shared" si="1"/>
        <v>5</v>
      </c>
      <c r="E40" s="11">
        <f t="shared" si="1"/>
        <v>6</v>
      </c>
      <c r="F40" s="11">
        <f t="shared" si="1"/>
        <v>7</v>
      </c>
      <c r="G40" s="11"/>
      <c r="H40" s="11"/>
      <c r="I40" s="11"/>
      <c r="AB40" s="31"/>
      <c r="AC40" s="33"/>
      <c r="AD40" s="33"/>
      <c r="AE40" s="33"/>
      <c r="AF40" s="33"/>
      <c r="AI40" s="31"/>
      <c r="AJ40" s="33"/>
      <c r="AK40" s="33"/>
      <c r="AM40" s="88"/>
      <c r="AN40" s="70"/>
      <c r="AO40" s="70"/>
      <c r="AP40" s="70"/>
      <c r="AQ40" s="70"/>
      <c r="AR40" s="70"/>
    </row>
    <row r="41" spans="1:44" s="26" customFormat="1" hidden="1">
      <c r="A41" s="11" t="s">
        <v>170</v>
      </c>
      <c r="B41" s="11">
        <v>2</v>
      </c>
      <c r="C41" s="11">
        <v>2</v>
      </c>
      <c r="D41" s="11">
        <v>2</v>
      </c>
      <c r="E41" s="11">
        <v>2</v>
      </c>
      <c r="F41" s="11">
        <v>2</v>
      </c>
      <c r="G41" s="11"/>
      <c r="H41" s="11"/>
      <c r="I41" s="11"/>
      <c r="AB41" s="31"/>
      <c r="AC41" s="33"/>
      <c r="AD41" s="33"/>
      <c r="AE41" s="33"/>
      <c r="AF41" s="33"/>
      <c r="AI41" s="31"/>
      <c r="AJ41" s="33"/>
      <c r="AK41" s="33"/>
      <c r="AM41" s="88"/>
      <c r="AN41" s="70"/>
      <c r="AO41" s="70"/>
      <c r="AP41" s="70"/>
      <c r="AQ41" s="70"/>
      <c r="AR41" s="70"/>
    </row>
    <row r="42" spans="1:44" s="26" customFormat="1" hidden="1">
      <c r="A42" s="11" t="s">
        <v>163</v>
      </c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/>
      <c r="H42" s="11"/>
      <c r="I42" s="11"/>
      <c r="AB42" s="31"/>
      <c r="AC42" s="33"/>
      <c r="AD42" s="33"/>
      <c r="AE42" s="33"/>
      <c r="AF42" s="33"/>
      <c r="AI42" s="31"/>
      <c r="AJ42" s="33"/>
      <c r="AK42" s="33"/>
      <c r="AM42" s="88"/>
      <c r="AN42" s="70"/>
      <c r="AO42" s="70"/>
      <c r="AP42" s="70"/>
      <c r="AQ42" s="70"/>
      <c r="AR42" s="70"/>
    </row>
    <row r="43" spans="1:44" s="26" customFormat="1" hidden="1">
      <c r="A43" s="11" t="s">
        <v>171</v>
      </c>
      <c r="B43" s="11" t="s">
        <v>172</v>
      </c>
      <c r="C43" s="11" t="s">
        <v>173</v>
      </c>
      <c r="D43" s="11" t="s">
        <v>167</v>
      </c>
      <c r="E43" s="11" t="s">
        <v>168</v>
      </c>
      <c r="F43" s="11" t="s">
        <v>168</v>
      </c>
      <c r="G43" s="11"/>
      <c r="H43" s="11"/>
      <c r="I43" s="11"/>
      <c r="AB43" s="31"/>
      <c r="AC43" s="33"/>
      <c r="AD43" s="33"/>
      <c r="AE43" s="33"/>
      <c r="AF43" s="33"/>
      <c r="AI43" s="31"/>
      <c r="AJ43" s="33"/>
      <c r="AK43" s="33"/>
      <c r="AM43" s="88"/>
      <c r="AN43" s="70"/>
      <c r="AO43" s="70"/>
      <c r="AP43" s="70"/>
      <c r="AQ43" s="70"/>
      <c r="AR43" s="70"/>
    </row>
    <row r="44" spans="1:44" s="26" customFormat="1" hidden="1">
      <c r="A44" s="11" t="s">
        <v>169</v>
      </c>
      <c r="B44" s="11">
        <f t="shared" ref="B44:E44" si="2">B45+B46</f>
        <v>4</v>
      </c>
      <c r="C44" s="11">
        <f t="shared" si="2"/>
        <v>5</v>
      </c>
      <c r="D44" s="11">
        <f t="shared" si="2"/>
        <v>6</v>
      </c>
      <c r="E44" s="11">
        <f t="shared" si="2"/>
        <v>7</v>
      </c>
      <c r="F44" s="11">
        <f>F45+F46</f>
        <v>8</v>
      </c>
      <c r="G44" s="11"/>
      <c r="H44" s="11"/>
      <c r="I44" s="11"/>
      <c r="AB44" s="31"/>
      <c r="AC44" s="33"/>
      <c r="AD44" s="33"/>
      <c r="AE44" s="33"/>
      <c r="AF44" s="33"/>
      <c r="AI44" s="31"/>
      <c r="AJ44" s="33"/>
      <c r="AK44" s="33"/>
      <c r="AM44" s="88"/>
      <c r="AN44" s="70"/>
      <c r="AO44" s="70"/>
      <c r="AP44" s="70"/>
      <c r="AQ44" s="70"/>
      <c r="AR44" s="70"/>
    </row>
    <row r="45" spans="1:44" s="26" customFormat="1" hidden="1">
      <c r="A45" s="11" t="s">
        <v>170</v>
      </c>
      <c r="B45" s="11">
        <v>3</v>
      </c>
      <c r="C45" s="11">
        <v>3</v>
      </c>
      <c r="D45" s="11">
        <v>3</v>
      </c>
      <c r="E45" s="11">
        <v>3</v>
      </c>
      <c r="F45" s="11">
        <v>3</v>
      </c>
      <c r="G45" s="11"/>
      <c r="H45" s="11"/>
      <c r="I45" s="11"/>
      <c r="AB45" s="31"/>
      <c r="AC45" s="33"/>
      <c r="AD45" s="33"/>
      <c r="AE45" s="33"/>
      <c r="AF45" s="33"/>
      <c r="AI45" s="31"/>
      <c r="AJ45" s="33"/>
      <c r="AK45" s="33"/>
      <c r="AM45" s="88"/>
      <c r="AN45" s="70"/>
      <c r="AO45" s="70"/>
      <c r="AP45" s="70"/>
      <c r="AQ45" s="70"/>
      <c r="AR45" s="70"/>
    </row>
    <row r="46" spans="1:44" s="26" customFormat="1" hidden="1">
      <c r="A46" s="11" t="s">
        <v>163</v>
      </c>
      <c r="B46" s="11">
        <v>1</v>
      </c>
      <c r="C46" s="11">
        <v>2</v>
      </c>
      <c r="D46" s="11">
        <v>3</v>
      </c>
      <c r="E46" s="11">
        <v>4</v>
      </c>
      <c r="F46" s="11">
        <v>5</v>
      </c>
      <c r="G46" s="11"/>
      <c r="H46" s="11"/>
      <c r="I46" s="11"/>
      <c r="AB46" s="31"/>
      <c r="AC46" s="33"/>
      <c r="AD46" s="33"/>
      <c r="AE46" s="33"/>
      <c r="AF46" s="33"/>
      <c r="AI46" s="31"/>
      <c r="AJ46" s="33"/>
      <c r="AK46" s="33"/>
      <c r="AM46" s="88"/>
      <c r="AN46" s="70"/>
      <c r="AO46" s="70"/>
      <c r="AP46" s="70"/>
      <c r="AQ46" s="70"/>
      <c r="AR46" s="70"/>
    </row>
    <row r="47" spans="1:44" s="26" customFormat="1" hidden="1">
      <c r="A47" s="11" t="s">
        <v>174</v>
      </c>
      <c r="B47" s="11" t="s">
        <v>173</v>
      </c>
      <c r="C47" s="11" t="s">
        <v>173</v>
      </c>
      <c r="D47" s="11" t="s">
        <v>168</v>
      </c>
      <c r="E47" s="11" t="s">
        <v>168</v>
      </c>
      <c r="F47" s="11" t="s">
        <v>168</v>
      </c>
      <c r="G47" s="11"/>
      <c r="H47" s="11"/>
      <c r="I47" s="11"/>
      <c r="AB47" s="31"/>
      <c r="AC47" s="33"/>
      <c r="AD47" s="33"/>
      <c r="AE47" s="33"/>
      <c r="AF47" s="33"/>
      <c r="AI47" s="31"/>
      <c r="AJ47" s="33"/>
      <c r="AK47" s="33"/>
      <c r="AM47" s="88"/>
      <c r="AN47" s="70"/>
      <c r="AO47" s="70"/>
      <c r="AP47" s="70"/>
      <c r="AQ47" s="70"/>
      <c r="AR47" s="70"/>
    </row>
    <row r="48" spans="1:44" s="26" customFormat="1" hidden="1">
      <c r="A48" s="11" t="s">
        <v>169</v>
      </c>
      <c r="B48" s="11">
        <f t="shared" ref="B48:E48" si="3">B49+B50</f>
        <v>5</v>
      </c>
      <c r="C48" s="11">
        <f t="shared" si="3"/>
        <v>6</v>
      </c>
      <c r="D48" s="11">
        <f t="shared" si="3"/>
        <v>7</v>
      </c>
      <c r="E48" s="11">
        <f t="shared" si="3"/>
        <v>8</v>
      </c>
      <c r="F48" s="11">
        <f>F49+F50</f>
        <v>9</v>
      </c>
      <c r="G48" s="11"/>
      <c r="H48" s="11"/>
      <c r="I48" s="11"/>
      <c r="AB48" s="31"/>
      <c r="AC48" s="33"/>
      <c r="AD48" s="33"/>
      <c r="AE48" s="33"/>
      <c r="AF48" s="33"/>
      <c r="AI48" s="31"/>
      <c r="AJ48" s="33"/>
      <c r="AK48" s="33"/>
      <c r="AM48" s="88"/>
      <c r="AN48" s="70"/>
      <c r="AO48" s="70"/>
      <c r="AP48" s="70"/>
      <c r="AQ48" s="70"/>
      <c r="AR48" s="70"/>
    </row>
    <row r="49" spans="1:44" s="26" customFormat="1" hidden="1">
      <c r="A49" s="11" t="s">
        <v>170</v>
      </c>
      <c r="B49" s="11">
        <v>4</v>
      </c>
      <c r="C49" s="11">
        <v>4</v>
      </c>
      <c r="D49" s="11">
        <v>4</v>
      </c>
      <c r="E49" s="11">
        <v>4</v>
      </c>
      <c r="F49" s="11">
        <v>4</v>
      </c>
      <c r="G49" s="11"/>
      <c r="H49" s="11"/>
      <c r="I49" s="11"/>
      <c r="AB49" s="31"/>
      <c r="AC49" s="33"/>
      <c r="AD49" s="33"/>
      <c r="AE49" s="33"/>
      <c r="AF49" s="33"/>
      <c r="AI49" s="31"/>
      <c r="AJ49" s="33"/>
      <c r="AK49" s="33"/>
      <c r="AM49" s="88"/>
      <c r="AN49" s="70"/>
      <c r="AO49" s="70"/>
      <c r="AP49" s="70"/>
      <c r="AQ49" s="70"/>
      <c r="AR49" s="70"/>
    </row>
    <row r="50" spans="1:44" s="26" customFormat="1" hidden="1">
      <c r="A50" s="11" t="s">
        <v>163</v>
      </c>
      <c r="B50" s="11">
        <v>1</v>
      </c>
      <c r="C50" s="11">
        <v>2</v>
      </c>
      <c r="D50" s="11">
        <v>3</v>
      </c>
      <c r="E50" s="11">
        <v>4</v>
      </c>
      <c r="F50" s="11">
        <v>5</v>
      </c>
      <c r="G50" s="11"/>
      <c r="H50" s="11"/>
      <c r="I50" s="11"/>
      <c r="AB50" s="31"/>
      <c r="AC50" s="33"/>
      <c r="AD50" s="33"/>
      <c r="AE50" s="33"/>
      <c r="AF50" s="33"/>
      <c r="AI50" s="31"/>
      <c r="AJ50" s="33"/>
      <c r="AK50" s="33"/>
      <c r="AM50" s="88"/>
      <c r="AN50" s="70"/>
      <c r="AO50" s="70"/>
      <c r="AP50" s="70"/>
      <c r="AQ50" s="70"/>
      <c r="AR50" s="70"/>
    </row>
    <row r="51" spans="1:44" s="26" customFormat="1" hidden="1">
      <c r="A51" s="11" t="s">
        <v>175</v>
      </c>
      <c r="B51" s="11" t="s">
        <v>176</v>
      </c>
      <c r="C51" s="11"/>
      <c r="D51" s="11"/>
      <c r="E51" s="11"/>
      <c r="F51" s="11"/>
      <c r="G51" s="11"/>
      <c r="H51" s="11"/>
      <c r="I51" s="11"/>
      <c r="AB51" s="31"/>
      <c r="AC51" s="33"/>
      <c r="AD51" s="33"/>
      <c r="AE51" s="33"/>
      <c r="AF51" s="33"/>
      <c r="AI51" s="31"/>
      <c r="AJ51" s="33"/>
      <c r="AK51" s="33"/>
      <c r="AM51" s="88"/>
      <c r="AN51" s="70"/>
      <c r="AO51" s="70"/>
      <c r="AP51" s="70"/>
      <c r="AQ51" s="70"/>
      <c r="AR51" s="70"/>
    </row>
    <row r="52" spans="1:44" s="26" customFormat="1" hidden="1">
      <c r="A52" s="11" t="s">
        <v>177</v>
      </c>
      <c r="B52" s="11">
        <v>1</v>
      </c>
      <c r="C52" s="11">
        <v>2</v>
      </c>
      <c r="D52" s="11">
        <v>3</v>
      </c>
      <c r="E52" s="11">
        <v>4</v>
      </c>
      <c r="F52" s="11">
        <v>5</v>
      </c>
      <c r="G52" s="11"/>
      <c r="H52" s="11"/>
      <c r="I52" s="11"/>
      <c r="AB52" s="31"/>
      <c r="AC52" s="33"/>
      <c r="AD52" s="33"/>
      <c r="AE52" s="33"/>
      <c r="AF52" s="33"/>
      <c r="AI52" s="31"/>
      <c r="AJ52" s="33"/>
      <c r="AK52" s="33"/>
      <c r="AM52" s="88"/>
      <c r="AN52" s="70"/>
      <c r="AO52" s="70"/>
      <c r="AP52" s="70"/>
      <c r="AQ52" s="70"/>
      <c r="AR52" s="70"/>
    </row>
    <row r="53" spans="1:44" ht="178.5">
      <c r="A53" s="9" t="s">
        <v>163</v>
      </c>
      <c r="B53" s="93" t="s">
        <v>23</v>
      </c>
      <c r="C53" s="93" t="s">
        <v>24</v>
      </c>
      <c r="D53" s="93" t="s">
        <v>25</v>
      </c>
      <c r="E53" s="93" t="s">
        <v>26</v>
      </c>
      <c r="F53" s="93" t="s">
        <v>27</v>
      </c>
      <c r="G53" s="63"/>
      <c r="H53" s="63"/>
      <c r="I53" s="63"/>
      <c r="AB53" s="85" t="s">
        <v>178</v>
      </c>
      <c r="AC53" s="87">
        <v>8</v>
      </c>
      <c r="AD53" s="87">
        <v>2.1</v>
      </c>
      <c r="AE53" s="87">
        <v>2.1</v>
      </c>
      <c r="AF53" s="87">
        <v>2.1</v>
      </c>
      <c r="AI53" s="85" t="s">
        <v>179</v>
      </c>
      <c r="AJ53" s="87">
        <v>1.3</v>
      </c>
      <c r="AK53" s="87">
        <v>1.36</v>
      </c>
    </row>
    <row r="54" spans="1:44" s="26" customFormat="1">
      <c r="A54" s="94" t="s">
        <v>180</v>
      </c>
      <c r="B54" s="95">
        <v>1</v>
      </c>
      <c r="C54" s="95">
        <v>2</v>
      </c>
      <c r="D54" s="95">
        <v>3</v>
      </c>
      <c r="E54" s="95">
        <v>4</v>
      </c>
      <c r="F54" s="95">
        <v>5</v>
      </c>
      <c r="G54" s="11"/>
      <c r="H54" s="11"/>
      <c r="I54" s="11"/>
      <c r="AB54" s="31"/>
      <c r="AC54" s="33"/>
      <c r="AD54" s="33"/>
      <c r="AE54" s="33"/>
      <c r="AF54" s="33"/>
      <c r="AI54" s="31"/>
      <c r="AJ54" s="33"/>
      <c r="AK54" s="33"/>
    </row>
    <row r="55" spans="1:44" ht="76.5">
      <c r="A55" s="10" t="s">
        <v>181</v>
      </c>
      <c r="B55" s="96" t="s">
        <v>29</v>
      </c>
      <c r="C55" s="96" t="s">
        <v>30</v>
      </c>
      <c r="D55" s="96" t="s">
        <v>31</v>
      </c>
      <c r="E55" s="96" t="s">
        <v>32</v>
      </c>
      <c r="F55" s="93" t="s">
        <v>33</v>
      </c>
      <c r="G55" s="63"/>
      <c r="H55" s="63"/>
      <c r="I55" s="63"/>
      <c r="AB55" s="79" t="s">
        <v>182</v>
      </c>
      <c r="AC55" s="85" t="s">
        <v>183</v>
      </c>
      <c r="AD55" s="79">
        <v>1.53</v>
      </c>
      <c r="AE55" s="79">
        <v>1.8</v>
      </c>
      <c r="AF55" s="86">
        <v>2.2999999999999998</v>
      </c>
      <c r="AI55" s="85" t="s">
        <v>184</v>
      </c>
      <c r="AJ55" s="87">
        <v>2</v>
      </c>
      <c r="AK55" s="87">
        <v>1.95</v>
      </c>
    </row>
    <row r="56" spans="1:44">
      <c r="A56" s="11" t="s">
        <v>185</v>
      </c>
      <c r="B56" s="13">
        <v>1</v>
      </c>
      <c r="C56" s="13">
        <v>2</v>
      </c>
      <c r="D56" s="13">
        <v>3</v>
      </c>
      <c r="E56" s="13">
        <v>4</v>
      </c>
      <c r="F56" s="97">
        <v>5</v>
      </c>
      <c r="G56" s="63"/>
      <c r="H56" s="63"/>
      <c r="I56" s="63"/>
      <c r="AB56" s="79"/>
      <c r="AC56" s="85"/>
      <c r="AD56" s="79"/>
      <c r="AE56" s="79"/>
      <c r="AF56" s="86"/>
      <c r="AI56" s="85"/>
      <c r="AJ56" s="87"/>
      <c r="AK56" s="87"/>
    </row>
    <row r="57" spans="1:44">
      <c r="A57" s="16" t="s">
        <v>186</v>
      </c>
      <c r="B57" s="299" t="str">
        <f>'I&amp;O'!C25</f>
        <v>Mild</v>
      </c>
      <c r="C57" s="98"/>
      <c r="D57" s="99"/>
      <c r="E57" s="99"/>
      <c r="F57" s="63"/>
      <c r="G57" s="63"/>
      <c r="H57" s="63"/>
      <c r="I57" s="63"/>
      <c r="AB57" s="79" t="s">
        <v>187</v>
      </c>
      <c r="AC57" s="91" t="s">
        <v>183</v>
      </c>
      <c r="AD57" s="91" t="s">
        <v>183</v>
      </c>
      <c r="AE57" s="91" t="s">
        <v>183</v>
      </c>
      <c r="AF57" s="91" t="s">
        <v>183</v>
      </c>
      <c r="AI57" s="85" t="s">
        <v>188</v>
      </c>
      <c r="AJ57" s="87">
        <v>3.6</v>
      </c>
      <c r="AK57" s="87">
        <v>3.5</v>
      </c>
    </row>
    <row r="58" spans="1:44">
      <c r="A58" s="20" t="s">
        <v>189</v>
      </c>
      <c r="B58" s="103">
        <f>IF($B$57=B33,B34,IF($B$57=C33,C34,IF($B$57=D33,D34,IF($B$57=E33,E34,F34))))</f>
        <v>1.55</v>
      </c>
      <c r="D58" s="101"/>
      <c r="E58" s="102"/>
      <c r="F58" s="102"/>
      <c r="AB58" s="85" t="s">
        <v>190</v>
      </c>
      <c r="AC58" s="87">
        <v>1</v>
      </c>
      <c r="AD58" s="87">
        <v>2.2999999999999998</v>
      </c>
      <c r="AE58" s="87">
        <v>2.2999999999999998</v>
      </c>
      <c r="AF58" s="87">
        <v>2.2999999999999998</v>
      </c>
      <c r="AI58" s="85" t="s">
        <v>191</v>
      </c>
      <c r="AJ58" s="87">
        <v>7.4</v>
      </c>
      <c r="AK58" s="87">
        <v>7.5</v>
      </c>
    </row>
    <row r="59" spans="1:44">
      <c r="A59" s="71" t="s">
        <v>192</v>
      </c>
      <c r="B59" s="103"/>
      <c r="C59" s="103"/>
      <c r="D59" s="100" t="s">
        <v>193</v>
      </c>
      <c r="AB59" s="85"/>
      <c r="AC59" s="87"/>
      <c r="AD59" s="87"/>
      <c r="AE59" s="87"/>
      <c r="AF59" s="87"/>
      <c r="AI59" s="85"/>
      <c r="AJ59" s="87"/>
      <c r="AK59" s="87"/>
    </row>
    <row r="60" spans="1:44" ht="31.5">
      <c r="A60" s="11"/>
      <c r="B60" s="104"/>
      <c r="C60" s="105" t="s">
        <v>194</v>
      </c>
      <c r="AB60" s="85"/>
      <c r="AC60" s="87"/>
      <c r="AD60" s="87"/>
      <c r="AE60" s="87"/>
      <c r="AF60" s="87"/>
      <c r="AI60" s="85"/>
      <c r="AJ60" s="87"/>
      <c r="AK60" s="87"/>
    </row>
    <row r="61" spans="1:44" ht="64.5">
      <c r="A61" s="106" t="s">
        <v>475</v>
      </c>
      <c r="B61" s="107">
        <f>ROUND((IF(B13=B14,B63,C63)),0)</f>
        <v>2260</v>
      </c>
      <c r="C61" s="108"/>
      <c r="D61" s="101" t="s">
        <v>195</v>
      </c>
      <c r="AB61" s="85"/>
      <c r="AC61" s="87"/>
      <c r="AD61" s="87"/>
      <c r="AE61" s="87"/>
      <c r="AF61" s="87"/>
      <c r="AI61" s="85"/>
      <c r="AJ61" s="87"/>
      <c r="AK61" s="87"/>
    </row>
    <row r="62" spans="1:44" ht="12.75" customHeight="1">
      <c r="A62" s="11" t="s">
        <v>196</v>
      </c>
      <c r="B62" s="26" t="s">
        <v>4</v>
      </c>
      <c r="C62" s="104" t="s">
        <v>3</v>
      </c>
      <c r="D62" s="101"/>
      <c r="AB62" s="85"/>
      <c r="AC62" s="87"/>
      <c r="AD62" s="87"/>
      <c r="AE62" s="87"/>
      <c r="AF62" s="87"/>
      <c r="AI62" s="85"/>
      <c r="AJ62" s="87"/>
      <c r="AK62" s="87"/>
    </row>
    <row r="63" spans="1:44">
      <c r="A63" s="26"/>
      <c r="B63" s="109">
        <f>B28*$B$58</f>
        <v>2260.4812500000003</v>
      </c>
      <c r="C63" s="109">
        <f>C28*$B$58</f>
        <v>2003.1812500000001</v>
      </c>
      <c r="D63" s="101"/>
      <c r="AB63" s="85" t="s">
        <v>197</v>
      </c>
      <c r="AC63" s="87">
        <v>1</v>
      </c>
      <c r="AD63" s="87">
        <v>1.5</v>
      </c>
      <c r="AE63" s="87">
        <v>1.5</v>
      </c>
      <c r="AF63" s="87">
        <v>1.5</v>
      </c>
      <c r="AI63" s="85" t="s">
        <v>198</v>
      </c>
      <c r="AJ63" s="87">
        <v>1.58</v>
      </c>
      <c r="AK63" s="87">
        <v>1.69</v>
      </c>
    </row>
    <row r="64" spans="1:44">
      <c r="A64" s="292"/>
      <c r="B64" s="293"/>
    </row>
    <row r="65" spans="1:6">
      <c r="A65" s="292"/>
      <c r="B65" s="293"/>
    </row>
    <row r="66" spans="1:6">
      <c r="D66" s="26"/>
      <c r="E66" s="26"/>
      <c r="F66" s="26"/>
    </row>
    <row r="67" spans="1:6">
      <c r="A67" s="292"/>
      <c r="B67" s="292"/>
    </row>
    <row r="68" spans="1:6">
      <c r="A68" s="292"/>
      <c r="B68" s="292"/>
    </row>
    <row r="69" spans="1:6">
      <c r="A69" s="292"/>
      <c r="B69" s="293"/>
      <c r="D69" s="13"/>
      <c r="E6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EZ260"/>
  <sheetViews>
    <sheetView topLeftCell="A141" workbookViewId="0">
      <selection activeCell="B153" sqref="B153"/>
    </sheetView>
  </sheetViews>
  <sheetFormatPr defaultRowHeight="15"/>
  <cols>
    <col min="1" max="1" width="8.140625" style="159" customWidth="1"/>
    <col min="2" max="2" width="5.85546875" style="159" customWidth="1"/>
    <col min="3" max="3" width="8.7109375" style="159" customWidth="1"/>
    <col min="4" max="4" width="26.28515625" style="159" customWidth="1"/>
    <col min="5" max="5" width="10.28515625" style="131" customWidth="1"/>
    <col min="6" max="6" width="6.85546875" style="131" customWidth="1"/>
    <col min="7" max="7" width="10.140625" style="131" customWidth="1"/>
    <col min="8" max="8" width="12.42578125" style="131" customWidth="1"/>
    <col min="9" max="9" width="10.140625" style="131" customWidth="1"/>
    <col min="10" max="10" width="8.42578125" style="131" customWidth="1"/>
    <col min="11" max="16" width="11" style="131" customWidth="1"/>
    <col min="17" max="33" width="11" style="168" customWidth="1"/>
    <col min="34" max="34" width="9" style="168" customWidth="1"/>
    <col min="35" max="35" width="9.140625" style="168" customWidth="1"/>
    <col min="36" max="45" width="9.140625" style="168"/>
    <col min="46" max="16384" width="9.140625" style="131"/>
  </cols>
  <sheetData>
    <row r="1" spans="1:87" ht="45">
      <c r="D1" s="160" t="s">
        <v>281</v>
      </c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  <c r="R1" s="162"/>
      <c r="S1" s="163"/>
      <c r="T1" s="163"/>
      <c r="U1" s="163"/>
      <c r="V1" s="164"/>
      <c r="W1" s="164"/>
      <c r="X1" s="164"/>
      <c r="Y1" s="165"/>
      <c r="Z1" s="166"/>
      <c r="AA1" s="164"/>
      <c r="AB1" s="164"/>
      <c r="AC1" s="164"/>
      <c r="AD1" s="164"/>
      <c r="AE1" s="164"/>
      <c r="AF1" s="164"/>
      <c r="AG1" s="165"/>
      <c r="AH1" s="167"/>
      <c r="AI1" s="167"/>
      <c r="AJ1" s="167"/>
      <c r="BB1" s="168"/>
      <c r="BC1" s="168"/>
      <c r="BD1" s="168"/>
      <c r="BE1" s="168"/>
      <c r="BF1" s="168"/>
      <c r="BG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</row>
    <row r="2" spans="1:87" ht="30">
      <c r="A2" s="119" t="s">
        <v>282</v>
      </c>
      <c r="B2" s="131"/>
      <c r="C2" s="119" t="s">
        <v>61</v>
      </c>
      <c r="D2" s="169"/>
      <c r="E2" s="170" t="s">
        <v>283</v>
      </c>
      <c r="F2" s="170" t="s">
        <v>284</v>
      </c>
      <c r="G2" s="170" t="s">
        <v>285</v>
      </c>
      <c r="H2" s="170" t="s">
        <v>286</v>
      </c>
      <c r="I2" s="170" t="s">
        <v>63</v>
      </c>
      <c r="J2" s="170" t="s">
        <v>66</v>
      </c>
      <c r="K2" s="170" t="s">
        <v>67</v>
      </c>
      <c r="L2" s="170" t="s">
        <v>71</v>
      </c>
      <c r="M2" s="170" t="s">
        <v>72</v>
      </c>
      <c r="N2" s="170" t="s">
        <v>64</v>
      </c>
      <c r="O2" s="170" t="s">
        <v>65</v>
      </c>
      <c r="P2" s="170" t="s">
        <v>70</v>
      </c>
      <c r="Q2" s="170" t="s">
        <v>287</v>
      </c>
      <c r="R2" s="170" t="s">
        <v>68</v>
      </c>
      <c r="S2" s="170" t="s">
        <v>241</v>
      </c>
      <c r="T2" s="170" t="s">
        <v>288</v>
      </c>
      <c r="U2" s="170" t="s">
        <v>289</v>
      </c>
      <c r="V2" s="170" t="s">
        <v>290</v>
      </c>
      <c r="W2" s="170" t="s">
        <v>291</v>
      </c>
      <c r="X2" s="170" t="s">
        <v>292</v>
      </c>
      <c r="Y2" s="170" t="s">
        <v>293</v>
      </c>
      <c r="Z2" s="170" t="s">
        <v>69</v>
      </c>
      <c r="AA2" s="170" t="s">
        <v>294</v>
      </c>
      <c r="AB2" s="170" t="s">
        <v>295</v>
      </c>
      <c r="AC2" s="170" t="s">
        <v>296</v>
      </c>
      <c r="AD2" s="170" t="s">
        <v>297</v>
      </c>
      <c r="AE2" s="170" t="s">
        <v>298</v>
      </c>
      <c r="AF2" s="170" t="s">
        <v>299</v>
      </c>
      <c r="AG2" s="170" t="s">
        <v>300</v>
      </c>
      <c r="AH2" s="171"/>
      <c r="AI2" s="172"/>
      <c r="AJ2" s="172"/>
      <c r="BB2" s="168"/>
      <c r="BC2" s="168"/>
      <c r="BD2" s="168"/>
      <c r="BE2" s="168"/>
      <c r="BF2" s="168"/>
      <c r="BG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</row>
    <row r="3" spans="1:87" s="173" customFormat="1">
      <c r="B3" s="174"/>
      <c r="C3" s="174">
        <f t="shared" ref="C3:C13" si="0">(E3+F3)*4+G3*9</f>
        <v>86.071392000000003</v>
      </c>
      <c r="D3" s="170" t="s">
        <v>257</v>
      </c>
      <c r="E3" s="175">
        <f>E57</f>
        <v>17.598240000000001</v>
      </c>
      <c r="F3" s="175">
        <f t="shared" ref="F3:AG3" si="1">F57</f>
        <v>3.1996799999999999</v>
      </c>
      <c r="G3" s="175">
        <f t="shared" si="1"/>
        <v>0.31996800000000003</v>
      </c>
      <c r="H3" s="175">
        <f t="shared" si="1"/>
        <v>7.9992000000000008E-2</v>
      </c>
      <c r="I3" s="175">
        <f t="shared" si="1"/>
        <v>0</v>
      </c>
      <c r="J3" s="175">
        <f t="shared" si="1"/>
        <v>7.9992000000000008E-2</v>
      </c>
      <c r="K3" s="175">
        <f t="shared" si="1"/>
        <v>0.15998400000000002</v>
      </c>
      <c r="L3" s="175">
        <f t="shared" si="1"/>
        <v>3.1996799999999999</v>
      </c>
      <c r="M3" s="175">
        <f t="shared" si="1"/>
        <v>1.5998399999999999</v>
      </c>
      <c r="N3" s="175">
        <f t="shared" si="1"/>
        <v>36.796319999999994</v>
      </c>
      <c r="O3" s="175">
        <f t="shared" si="1"/>
        <v>708.72911999999997</v>
      </c>
      <c r="P3" s="175">
        <f>P57</f>
        <v>7.9992000000000001</v>
      </c>
      <c r="Q3" s="175">
        <f t="shared" si="1"/>
        <v>0.39995999999999998</v>
      </c>
      <c r="R3" s="175">
        <f t="shared" si="1"/>
        <v>1.5998399999999999</v>
      </c>
      <c r="S3" s="175">
        <f t="shared" si="1"/>
        <v>0</v>
      </c>
      <c r="T3" s="175">
        <f t="shared" si="1"/>
        <v>0</v>
      </c>
      <c r="U3" s="175">
        <f t="shared" si="1"/>
        <v>0</v>
      </c>
      <c r="V3" s="175">
        <f t="shared" si="1"/>
        <v>9.5990400000000003E-2</v>
      </c>
      <c r="W3" s="175">
        <f t="shared" si="1"/>
        <v>3.9996000000000004E-2</v>
      </c>
      <c r="X3" s="175">
        <f t="shared" si="1"/>
        <v>1.5198479999999999</v>
      </c>
      <c r="Y3" s="175">
        <f t="shared" si="1"/>
        <v>0.31996800000000003</v>
      </c>
      <c r="Z3" s="175">
        <f t="shared" si="1"/>
        <v>10.558943999999997</v>
      </c>
      <c r="AA3" s="175">
        <f t="shared" si="1"/>
        <v>0</v>
      </c>
      <c r="AB3" s="175">
        <f t="shared" si="1"/>
        <v>0</v>
      </c>
      <c r="AC3" s="175">
        <f t="shared" si="1"/>
        <v>33.116687999999996</v>
      </c>
      <c r="AD3" s="175">
        <f t="shared" si="1"/>
        <v>97.590239999999994</v>
      </c>
      <c r="AE3" s="175">
        <f t="shared" si="1"/>
        <v>0.7199279999999999</v>
      </c>
      <c r="AF3" s="175">
        <f t="shared" si="1"/>
        <v>0.39995999999999998</v>
      </c>
      <c r="AG3" s="175">
        <f t="shared" si="1"/>
        <v>67.993200000000002</v>
      </c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BB3" s="176"/>
      <c r="BC3" s="176"/>
      <c r="BD3" s="176"/>
      <c r="BE3" s="176"/>
      <c r="BF3" s="176"/>
      <c r="BG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</row>
    <row r="4" spans="1:87">
      <c r="B4" s="177"/>
      <c r="C4" s="177">
        <f t="shared" si="0"/>
        <v>43.659791666666671</v>
      </c>
      <c r="D4" s="170" t="s">
        <v>301</v>
      </c>
      <c r="E4" s="178">
        <f t="shared" ref="E4:AG4" si="2">E212</f>
        <v>8.7895833333333329</v>
      </c>
      <c r="F4" s="178">
        <f t="shared" si="2"/>
        <v>1.7058333333333335</v>
      </c>
      <c r="G4" s="178">
        <f t="shared" si="2"/>
        <v>0.18645833333333336</v>
      </c>
      <c r="H4" s="178">
        <f t="shared" si="2"/>
        <v>3.7983333333333327E-2</v>
      </c>
      <c r="I4" s="178">
        <f t="shared" si="2"/>
        <v>0</v>
      </c>
      <c r="J4" s="178">
        <f t="shared" si="2"/>
        <v>5.3683333333333347E-2</v>
      </c>
      <c r="K4" s="178">
        <f t="shared" si="2"/>
        <v>0.11501500000000002</v>
      </c>
      <c r="L4" s="178">
        <f t="shared" si="2"/>
        <v>1.9987500000000002</v>
      </c>
      <c r="M4" s="178">
        <f t="shared" si="2"/>
        <v>225</v>
      </c>
      <c r="N4" s="178">
        <f t="shared" si="2"/>
        <v>0</v>
      </c>
      <c r="O4" s="178">
        <f t="shared" si="2"/>
        <v>0</v>
      </c>
      <c r="P4" s="178">
        <f t="shared" si="2"/>
        <v>24.910333333333334</v>
      </c>
      <c r="Q4" s="178">
        <f t="shared" si="2"/>
        <v>0</v>
      </c>
      <c r="R4" s="178">
        <f t="shared" si="2"/>
        <v>275.54925000000003</v>
      </c>
      <c r="S4" s="178">
        <f t="shared" si="2"/>
        <v>21.587</v>
      </c>
      <c r="T4" s="178">
        <f t="shared" si="2"/>
        <v>0</v>
      </c>
      <c r="U4" s="178">
        <f t="shared" si="2"/>
        <v>0.37000000000000005</v>
      </c>
      <c r="V4" s="178">
        <f t="shared" si="2"/>
        <v>7.4786666666666682E-2</v>
      </c>
      <c r="W4" s="178">
        <f t="shared" si="2"/>
        <v>4.8360833333333339E-2</v>
      </c>
      <c r="X4" s="178">
        <f t="shared" si="2"/>
        <v>0.72012583333333335</v>
      </c>
      <c r="Y4" s="178">
        <f t="shared" si="2"/>
        <v>4.0000000000000008E-2</v>
      </c>
      <c r="Z4" s="178">
        <f t="shared" si="2"/>
        <v>31.615108333333335</v>
      </c>
      <c r="AA4" s="178">
        <f t="shared" si="2"/>
        <v>0</v>
      </c>
      <c r="AB4" s="178">
        <f t="shared" si="2"/>
        <v>0.63954166666666667</v>
      </c>
      <c r="AC4" s="178">
        <f t="shared" si="2"/>
        <v>0</v>
      </c>
      <c r="AD4" s="178">
        <f t="shared" si="2"/>
        <v>102.96000000000001</v>
      </c>
      <c r="AE4" s="178">
        <f t="shared" si="2"/>
        <v>0.14850000000000002</v>
      </c>
      <c r="AF4" s="178">
        <f t="shared" si="2"/>
        <v>0</v>
      </c>
      <c r="AG4" s="178">
        <f t="shared" si="2"/>
        <v>0</v>
      </c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8"/>
      <c r="CE4" s="168"/>
      <c r="CF4" s="168"/>
      <c r="CG4" s="168"/>
      <c r="CH4" s="168"/>
      <c r="CI4" s="168"/>
    </row>
    <row r="5" spans="1:87">
      <c r="B5" s="177"/>
      <c r="C5" s="177">
        <f t="shared" si="0"/>
        <v>67.483720930232579</v>
      </c>
      <c r="D5" s="170" t="s">
        <v>102</v>
      </c>
      <c r="E5" s="179">
        <f t="shared" ref="E5:AG5" si="3">E154</f>
        <v>13.532558139534888</v>
      </c>
      <c r="F5" s="179">
        <f t="shared" si="3"/>
        <v>1.1093023255813954</v>
      </c>
      <c r="G5" s="179">
        <f t="shared" si="3"/>
        <v>0.99069767441860468</v>
      </c>
      <c r="H5" s="179">
        <f t="shared" si="3"/>
        <v>0</v>
      </c>
      <c r="I5" s="179">
        <f t="shared" si="3"/>
        <v>0</v>
      </c>
      <c r="J5" s="179">
        <f t="shared" si="3"/>
        <v>0</v>
      </c>
      <c r="K5" s="179">
        <f t="shared" si="3"/>
        <v>0</v>
      </c>
      <c r="L5" s="179">
        <f t="shared" si="3"/>
        <v>3.6599999999999993</v>
      </c>
      <c r="M5" s="179">
        <f t="shared" si="3"/>
        <v>10.476744186046513</v>
      </c>
      <c r="N5" s="179">
        <f t="shared" si="3"/>
        <v>0</v>
      </c>
      <c r="O5" s="179">
        <f t="shared" si="3"/>
        <v>0</v>
      </c>
      <c r="P5" s="179">
        <f t="shared" si="3"/>
        <v>43.930232558139537</v>
      </c>
      <c r="Q5" s="179">
        <f t="shared" si="3"/>
        <v>0</v>
      </c>
      <c r="R5" s="179">
        <f t="shared" si="3"/>
        <v>14.145348837209303</v>
      </c>
      <c r="S5" s="179">
        <f t="shared" si="3"/>
        <v>21.476190476190474</v>
      </c>
      <c r="T5" s="179">
        <f t="shared" si="3"/>
        <v>0</v>
      </c>
      <c r="U5" s="179">
        <f t="shared" si="3"/>
        <v>0</v>
      </c>
      <c r="V5" s="179">
        <f t="shared" si="3"/>
        <v>3.8139534883720939E-2</v>
      </c>
      <c r="W5" s="179">
        <f t="shared" si="3"/>
        <v>5.1627906976744194E-2</v>
      </c>
      <c r="X5" s="179">
        <f t="shared" si="3"/>
        <v>0.42325581395348838</v>
      </c>
      <c r="Y5" s="179">
        <f t="shared" si="3"/>
        <v>0</v>
      </c>
      <c r="Z5" s="179">
        <f t="shared" si="3"/>
        <v>0</v>
      </c>
      <c r="AA5" s="179">
        <f t="shared" si="3"/>
        <v>0</v>
      </c>
      <c r="AB5" s="179">
        <f t="shared" si="3"/>
        <v>1.3771428571428577</v>
      </c>
      <c r="AC5" s="179">
        <f t="shared" si="3"/>
        <v>25.666666666666668</v>
      </c>
      <c r="AD5" s="179">
        <f t="shared" si="3"/>
        <v>121.54390243902439</v>
      </c>
      <c r="AE5" s="179">
        <f t="shared" si="3"/>
        <v>0.24399999999999997</v>
      </c>
      <c r="AF5" s="179">
        <f t="shared" si="3"/>
        <v>0.17655172413793105</v>
      </c>
      <c r="AG5" s="179">
        <f t="shared" si="3"/>
        <v>0</v>
      </c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</row>
    <row r="6" spans="1:87">
      <c r="A6" s="131"/>
      <c r="B6" s="177"/>
      <c r="C6" s="177">
        <f t="shared" si="0"/>
        <v>174.82</v>
      </c>
      <c r="D6" s="170" t="s">
        <v>251</v>
      </c>
      <c r="E6" s="180">
        <f t="shared" ref="E6:AG6" si="4">E169</f>
        <v>5.62</v>
      </c>
      <c r="F6" s="180">
        <f t="shared" si="4"/>
        <v>6</v>
      </c>
      <c r="G6" s="180">
        <f t="shared" si="4"/>
        <v>14.26</v>
      </c>
      <c r="H6" s="180">
        <f t="shared" si="4"/>
        <v>1.6479999999999997</v>
      </c>
      <c r="I6" s="180">
        <f t="shared" si="4"/>
        <v>0</v>
      </c>
      <c r="J6" s="180">
        <f t="shared" si="4"/>
        <v>7.1</v>
      </c>
      <c r="K6" s="180">
        <f t="shared" si="4"/>
        <v>4.8800000000000008</v>
      </c>
      <c r="L6" s="180">
        <f t="shared" si="4"/>
        <v>2.2600000000000002</v>
      </c>
      <c r="M6" s="180">
        <f t="shared" si="4"/>
        <v>2.12</v>
      </c>
      <c r="N6" s="180">
        <f t="shared" si="4"/>
        <v>131</v>
      </c>
      <c r="O6" s="180">
        <f t="shared" si="4"/>
        <v>4711</v>
      </c>
      <c r="P6" s="180">
        <f t="shared" si="4"/>
        <v>31.82</v>
      </c>
      <c r="Q6" s="180">
        <f t="shared" si="4"/>
        <v>1.175</v>
      </c>
      <c r="R6" s="180">
        <f t="shared" si="4"/>
        <v>0</v>
      </c>
      <c r="S6" s="180">
        <f t="shared" si="4"/>
        <v>0.2</v>
      </c>
      <c r="T6" s="180">
        <f t="shared" si="4"/>
        <v>0</v>
      </c>
      <c r="U6" s="180">
        <f t="shared" si="4"/>
        <v>4.5999999999999996</v>
      </c>
      <c r="V6" s="180">
        <f t="shared" si="4"/>
        <v>0.1</v>
      </c>
      <c r="W6" s="180">
        <f t="shared" si="4"/>
        <v>0</v>
      </c>
      <c r="X6" s="180">
        <f t="shared" si="4"/>
        <v>3.9</v>
      </c>
      <c r="Y6" s="180">
        <f t="shared" si="4"/>
        <v>0.2</v>
      </c>
      <c r="Z6" s="180">
        <f t="shared" si="4"/>
        <v>20.3</v>
      </c>
      <c r="AA6" s="180">
        <f t="shared" si="4"/>
        <v>0</v>
      </c>
      <c r="AB6" s="180">
        <f t="shared" si="4"/>
        <v>1.3099999999999998</v>
      </c>
      <c r="AC6" s="180">
        <f t="shared" si="4"/>
        <v>58.46</v>
      </c>
      <c r="AD6" s="180">
        <f t="shared" si="4"/>
        <v>203.6</v>
      </c>
      <c r="AE6" s="180">
        <f t="shared" si="4"/>
        <v>0.96</v>
      </c>
      <c r="AF6" s="180">
        <f t="shared" si="4"/>
        <v>0.36</v>
      </c>
      <c r="AG6" s="180">
        <f t="shared" si="4"/>
        <v>2.96</v>
      </c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</row>
    <row r="7" spans="1:87">
      <c r="B7" s="177"/>
      <c r="C7" s="177">
        <f t="shared" si="0"/>
        <v>116.4</v>
      </c>
      <c r="D7" s="170" t="s">
        <v>302</v>
      </c>
      <c r="E7" s="181">
        <f t="shared" ref="E7:AG7" si="5">E142*2</f>
        <v>9.4</v>
      </c>
      <c r="F7" s="181">
        <f t="shared" si="5"/>
        <v>6.2</v>
      </c>
      <c r="G7" s="181">
        <f t="shared" si="5"/>
        <v>6</v>
      </c>
      <c r="H7" s="181">
        <f t="shared" si="5"/>
        <v>3.8</v>
      </c>
      <c r="I7" s="181">
        <f t="shared" si="5"/>
        <v>16</v>
      </c>
      <c r="J7" s="181">
        <f t="shared" si="5"/>
        <v>3.78</v>
      </c>
      <c r="K7" s="181">
        <f t="shared" si="5"/>
        <v>0.2</v>
      </c>
      <c r="L7" s="181">
        <f t="shared" si="5"/>
        <v>0</v>
      </c>
      <c r="M7" s="181">
        <f t="shared" si="5"/>
        <v>88</v>
      </c>
      <c r="N7" s="181">
        <f t="shared" si="5"/>
        <v>150</v>
      </c>
      <c r="O7" s="181">
        <f t="shared" si="5"/>
        <v>240</v>
      </c>
      <c r="P7" s="181">
        <f t="shared" si="5"/>
        <v>240</v>
      </c>
      <c r="Q7" s="181">
        <f t="shared" si="5"/>
        <v>0</v>
      </c>
      <c r="R7" s="181">
        <f t="shared" si="5"/>
        <v>64</v>
      </c>
      <c r="S7" s="181">
        <f t="shared" si="5"/>
        <v>4</v>
      </c>
      <c r="T7" s="181">
        <f t="shared" si="5"/>
        <v>0</v>
      </c>
      <c r="U7" s="181">
        <f t="shared" si="5"/>
        <v>0.08</v>
      </c>
      <c r="V7" s="181">
        <f t="shared" si="5"/>
        <v>0.06</v>
      </c>
      <c r="W7" s="181">
        <f t="shared" si="5"/>
        <v>0.46</v>
      </c>
      <c r="X7" s="181">
        <f t="shared" si="5"/>
        <v>0.2</v>
      </c>
      <c r="Y7" s="181">
        <f t="shared" si="5"/>
        <v>0</v>
      </c>
      <c r="Z7" s="181">
        <f t="shared" si="5"/>
        <v>15</v>
      </c>
      <c r="AA7" s="181">
        <f t="shared" si="5"/>
        <v>0.28000000000000003</v>
      </c>
      <c r="AB7" s="181">
        <f t="shared" si="5"/>
        <v>0.2</v>
      </c>
      <c r="AC7" s="181">
        <f t="shared" si="5"/>
        <v>22</v>
      </c>
      <c r="AD7" s="181">
        <f t="shared" si="5"/>
        <v>322</v>
      </c>
      <c r="AE7" s="181">
        <f t="shared" si="5"/>
        <v>0.8</v>
      </c>
      <c r="AF7" s="181">
        <f t="shared" si="5"/>
        <v>0</v>
      </c>
      <c r="AG7" s="181">
        <f t="shared" si="5"/>
        <v>2</v>
      </c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</row>
    <row r="8" spans="1:87">
      <c r="B8" s="177"/>
      <c r="C8" s="177">
        <f t="shared" si="0"/>
        <v>67.5</v>
      </c>
      <c r="D8" s="170" t="s">
        <v>303</v>
      </c>
      <c r="E8" s="179">
        <f t="shared" ref="E8:AG8" si="6">E76</f>
        <v>1.2</v>
      </c>
      <c r="F8" s="179">
        <f t="shared" si="6"/>
        <v>6</v>
      </c>
      <c r="G8" s="179">
        <f t="shared" si="6"/>
        <v>4.3</v>
      </c>
      <c r="H8" s="179">
        <f t="shared" si="6"/>
        <v>1.6</v>
      </c>
      <c r="I8" s="179">
        <f t="shared" si="6"/>
        <v>212</v>
      </c>
      <c r="J8" s="179">
        <f t="shared" si="6"/>
        <v>2</v>
      </c>
      <c r="K8" s="179">
        <f t="shared" si="6"/>
        <v>0.7</v>
      </c>
      <c r="L8" s="179">
        <f t="shared" si="6"/>
        <v>0</v>
      </c>
      <c r="M8" s="179">
        <f t="shared" si="6"/>
        <v>62</v>
      </c>
      <c r="N8" s="179">
        <f t="shared" si="6"/>
        <v>37</v>
      </c>
      <c r="O8" s="179">
        <f t="shared" si="6"/>
        <v>572</v>
      </c>
      <c r="P8" s="179">
        <f t="shared" si="6"/>
        <v>25</v>
      </c>
      <c r="Q8" s="179">
        <f t="shared" si="6"/>
        <v>0</v>
      </c>
      <c r="R8" s="179">
        <f t="shared" si="6"/>
        <v>85</v>
      </c>
      <c r="S8" s="179">
        <f t="shared" si="6"/>
        <v>0</v>
      </c>
      <c r="T8" s="179">
        <f t="shared" si="6"/>
        <v>17</v>
      </c>
      <c r="U8" s="179">
        <f t="shared" si="6"/>
        <v>0.5</v>
      </c>
      <c r="V8" s="179">
        <f t="shared" si="6"/>
        <v>0.02</v>
      </c>
      <c r="W8" s="179">
        <f t="shared" si="6"/>
        <v>0.25</v>
      </c>
      <c r="X8" s="179">
        <f t="shared" si="6"/>
        <v>0.02</v>
      </c>
      <c r="Y8" s="179">
        <f t="shared" si="6"/>
        <v>0.1</v>
      </c>
      <c r="Z8" s="179">
        <f t="shared" si="6"/>
        <v>18</v>
      </c>
      <c r="AA8" s="179">
        <f t="shared" si="6"/>
        <v>0.6</v>
      </c>
      <c r="AB8" s="179">
        <f t="shared" si="6"/>
        <v>0.6</v>
      </c>
      <c r="AC8" s="179">
        <f t="shared" si="6"/>
        <v>5</v>
      </c>
      <c r="AD8" s="179">
        <f t="shared" si="6"/>
        <v>63</v>
      </c>
      <c r="AE8" s="179">
        <f t="shared" si="6"/>
        <v>0.5</v>
      </c>
      <c r="AF8" s="179">
        <f t="shared" si="6"/>
        <v>26.5</v>
      </c>
      <c r="AG8" s="179">
        <f t="shared" si="6"/>
        <v>16</v>
      </c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</row>
    <row r="9" spans="1:87">
      <c r="B9" s="177"/>
      <c r="C9" s="177">
        <f t="shared" si="0"/>
        <v>100.71642857142858</v>
      </c>
      <c r="D9" s="170" t="s">
        <v>304</v>
      </c>
      <c r="E9" s="179">
        <f t="shared" ref="E9:AG9" si="7">E68</f>
        <v>17.56607142857143</v>
      </c>
      <c r="F9" s="179">
        <f t="shared" si="7"/>
        <v>6.8464285714285724</v>
      </c>
      <c r="G9" s="179">
        <f t="shared" si="7"/>
        <v>0.34071428571428569</v>
      </c>
      <c r="H9" s="179">
        <f t="shared" si="7"/>
        <v>9.1607142857142873E-2</v>
      </c>
      <c r="I9" s="179">
        <f t="shared" si="7"/>
        <v>0</v>
      </c>
      <c r="J9" s="179">
        <f t="shared" si="7"/>
        <v>9.8035714285714309E-2</v>
      </c>
      <c r="K9" s="179">
        <f t="shared" si="7"/>
        <v>0.15107142857142855</v>
      </c>
      <c r="L9" s="179">
        <f t="shared" si="7"/>
        <v>4.0821428571428573</v>
      </c>
      <c r="M9" s="179">
        <f t="shared" si="7"/>
        <v>195.42857142857142</v>
      </c>
      <c r="N9" s="179">
        <f t="shared" si="7"/>
        <v>28.542857142857144</v>
      </c>
      <c r="O9" s="179">
        <f t="shared" si="7"/>
        <v>104.14285714285714</v>
      </c>
      <c r="P9" s="179">
        <f>P68</f>
        <v>50.914285714285718</v>
      </c>
      <c r="Q9" s="179">
        <f t="shared" si="7"/>
        <v>0</v>
      </c>
      <c r="R9" s="179">
        <f t="shared" si="7"/>
        <v>1.4271428571428575</v>
      </c>
      <c r="S9" s="179">
        <f t="shared" si="7"/>
        <v>1.0012500000000002</v>
      </c>
      <c r="T9" s="179">
        <f t="shared" si="7"/>
        <v>0</v>
      </c>
      <c r="U9" s="179">
        <f t="shared" si="7"/>
        <v>0</v>
      </c>
      <c r="V9" s="179">
        <f t="shared" si="7"/>
        <v>0.14962500000000004</v>
      </c>
      <c r="W9" s="179">
        <f t="shared" si="7"/>
        <v>5.0142857142857149E-2</v>
      </c>
      <c r="X9" s="179">
        <f t="shared" si="7"/>
        <v>0.61312499999999992</v>
      </c>
      <c r="Y9" s="179">
        <f t="shared" si="7"/>
        <v>0.1767857142857143</v>
      </c>
      <c r="Z9" s="179">
        <f t="shared" si="7"/>
        <v>147.38142857142856</v>
      </c>
      <c r="AA9" s="179">
        <f t="shared" si="7"/>
        <v>7.7142857142857152E-2</v>
      </c>
      <c r="AB9" s="179">
        <f t="shared" si="7"/>
        <v>1.8316607142857142</v>
      </c>
      <c r="AC9" s="179">
        <f t="shared" si="7"/>
        <v>35.359232142857145</v>
      </c>
      <c r="AD9" s="179">
        <f t="shared" si="7"/>
        <v>277.2</v>
      </c>
      <c r="AE9" s="179">
        <f t="shared" si="7"/>
        <v>0.87910714285714298</v>
      </c>
      <c r="AF9" s="179">
        <f t="shared" si="7"/>
        <v>0.30765117857142865</v>
      </c>
      <c r="AG9" s="179">
        <f t="shared" si="7"/>
        <v>4.6124999999999998</v>
      </c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</row>
    <row r="10" spans="1:87">
      <c r="A10" s="131"/>
      <c r="B10" s="177"/>
      <c r="C10" s="177">
        <f t="shared" si="0"/>
        <v>88</v>
      </c>
      <c r="D10" s="170" t="s">
        <v>305</v>
      </c>
      <c r="E10" s="178">
        <f t="shared" ref="E10:AG10" si="8">E79</f>
        <v>2</v>
      </c>
      <c r="F10" s="178">
        <f t="shared" si="8"/>
        <v>9.1999999999999993</v>
      </c>
      <c r="G10" s="178">
        <f t="shared" si="8"/>
        <v>4.8</v>
      </c>
      <c r="H10" s="178">
        <f t="shared" si="8"/>
        <v>0.8</v>
      </c>
      <c r="I10" s="178">
        <f t="shared" si="8"/>
        <v>0</v>
      </c>
      <c r="J10" s="178">
        <f t="shared" si="8"/>
        <v>1.2</v>
      </c>
      <c r="K10" s="178">
        <f t="shared" si="8"/>
        <v>2</v>
      </c>
      <c r="L10" s="178">
        <f t="shared" si="8"/>
        <v>1.2</v>
      </c>
      <c r="M10" s="178">
        <f t="shared" si="8"/>
        <v>4</v>
      </c>
      <c r="N10" s="178">
        <f t="shared" si="8"/>
        <v>202</v>
      </c>
      <c r="O10" s="178">
        <f t="shared" si="8"/>
        <v>1796</v>
      </c>
      <c r="P10" s="178">
        <f t="shared" si="8"/>
        <v>225</v>
      </c>
      <c r="Q10" s="178">
        <f t="shared" si="8"/>
        <v>0.8</v>
      </c>
      <c r="R10" s="178">
        <f t="shared" si="8"/>
        <v>0</v>
      </c>
      <c r="S10" s="178">
        <f t="shared" si="8"/>
        <v>0.4</v>
      </c>
      <c r="T10" s="178">
        <f t="shared" si="8"/>
        <v>0</v>
      </c>
      <c r="U10" s="178">
        <f t="shared" si="8"/>
        <v>0</v>
      </c>
      <c r="V10" s="178">
        <f t="shared" si="8"/>
        <v>0</v>
      </c>
      <c r="W10" s="178">
        <f t="shared" si="8"/>
        <v>0</v>
      </c>
      <c r="X10" s="178">
        <f t="shared" si="8"/>
        <v>0</v>
      </c>
      <c r="Y10" s="178">
        <f t="shared" si="8"/>
        <v>0</v>
      </c>
      <c r="Z10" s="178">
        <f t="shared" si="8"/>
        <v>21.2</v>
      </c>
      <c r="AA10" s="178">
        <f t="shared" si="8"/>
        <v>0</v>
      </c>
      <c r="AB10" s="178">
        <f t="shared" si="8"/>
        <v>2</v>
      </c>
      <c r="AC10" s="178">
        <f t="shared" si="8"/>
        <v>41.6</v>
      </c>
      <c r="AD10" s="178">
        <f t="shared" si="8"/>
        <v>165.6</v>
      </c>
      <c r="AE10" s="178">
        <f t="shared" si="8"/>
        <v>0.8</v>
      </c>
      <c r="AF10" s="178">
        <f t="shared" si="8"/>
        <v>0.4</v>
      </c>
      <c r="AG10" s="178">
        <f t="shared" si="8"/>
        <v>11.2</v>
      </c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</row>
    <row r="11" spans="1:87">
      <c r="B11" s="177"/>
      <c r="C11" s="177">
        <f t="shared" si="0"/>
        <v>100.88788571428572</v>
      </c>
      <c r="D11" s="170" t="s">
        <v>306</v>
      </c>
      <c r="E11" s="179">
        <f t="shared" ref="E11:AG11" si="9">E121</f>
        <v>0</v>
      </c>
      <c r="F11" s="179">
        <f t="shared" si="9"/>
        <v>15.520742857142858</v>
      </c>
      <c r="G11" s="179">
        <f t="shared" si="9"/>
        <v>4.3116571428571433</v>
      </c>
      <c r="H11" s="179">
        <f t="shared" si="9"/>
        <v>1.4653142857142856</v>
      </c>
      <c r="I11" s="179">
        <f t="shared" si="9"/>
        <v>45.814857142857143</v>
      </c>
      <c r="J11" s="179">
        <f t="shared" si="9"/>
        <v>1.9177142857142857</v>
      </c>
      <c r="K11" s="179">
        <f t="shared" si="9"/>
        <v>0.55177142857142858</v>
      </c>
      <c r="L11" s="179">
        <f t="shared" si="9"/>
        <v>0</v>
      </c>
      <c r="M11" s="179">
        <f t="shared" si="9"/>
        <v>43.420571428571435</v>
      </c>
      <c r="N11" s="179">
        <f t="shared" si="9"/>
        <v>141.95085714285713</v>
      </c>
      <c r="O11" s="179">
        <f t="shared" si="9"/>
        <v>350.14342857142856</v>
      </c>
      <c r="P11" s="179">
        <f>P121</f>
        <v>12.542285714285715</v>
      </c>
      <c r="Q11" s="179">
        <f t="shared" si="9"/>
        <v>0</v>
      </c>
      <c r="R11" s="179">
        <f t="shared" si="9"/>
        <v>38.074285714285715</v>
      </c>
      <c r="S11" s="179">
        <f t="shared" si="9"/>
        <v>0.17097142857142858</v>
      </c>
      <c r="T11" s="179">
        <f t="shared" si="9"/>
        <v>0</v>
      </c>
      <c r="U11" s="179">
        <f t="shared" si="9"/>
        <v>0.13914285714285715</v>
      </c>
      <c r="V11" s="179">
        <f t="shared" si="9"/>
        <v>4.1485714285714285E-2</v>
      </c>
      <c r="W11" s="179">
        <f t="shared" si="9"/>
        <v>0.16531428571428572</v>
      </c>
      <c r="X11" s="179">
        <f t="shared" si="9"/>
        <v>2.4556571428571425</v>
      </c>
      <c r="Y11" s="179">
        <f t="shared" si="9"/>
        <v>0.10708571428571428</v>
      </c>
      <c r="Z11" s="179">
        <f t="shared" si="9"/>
        <v>4.6308571428571437</v>
      </c>
      <c r="AA11" s="179">
        <f t="shared" si="9"/>
        <v>0.72028571428571431</v>
      </c>
      <c r="AB11" s="179">
        <f t="shared" si="9"/>
        <v>1.4623428571428572</v>
      </c>
      <c r="AC11" s="179">
        <f t="shared" si="9"/>
        <v>9.8845714285714283</v>
      </c>
      <c r="AD11" s="179">
        <f t="shared" si="9"/>
        <v>152.71657142857143</v>
      </c>
      <c r="AE11" s="179">
        <f t="shared" si="9"/>
        <v>2.3301714285714286</v>
      </c>
      <c r="AF11" s="179">
        <f t="shared" si="9"/>
        <v>0.10525714285714285</v>
      </c>
      <c r="AG11" s="179">
        <f t="shared" si="9"/>
        <v>9.846857142857143</v>
      </c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</row>
    <row r="12" spans="1:87">
      <c r="B12" s="177"/>
      <c r="C12" s="177">
        <f t="shared" si="0"/>
        <v>0</v>
      </c>
      <c r="D12" s="170" t="s">
        <v>307</v>
      </c>
      <c r="E12" s="181">
        <f t="shared" ref="E12:AG12" si="10">E203/3</f>
        <v>0</v>
      </c>
      <c r="F12" s="181">
        <f t="shared" si="10"/>
        <v>0</v>
      </c>
      <c r="G12" s="181">
        <f t="shared" si="10"/>
        <v>0</v>
      </c>
      <c r="H12" s="181">
        <f t="shared" si="10"/>
        <v>0</v>
      </c>
      <c r="I12" s="181">
        <f t="shared" si="10"/>
        <v>0</v>
      </c>
      <c r="J12" s="181">
        <f t="shared" si="10"/>
        <v>0</v>
      </c>
      <c r="K12" s="181">
        <f t="shared" si="10"/>
        <v>0</v>
      </c>
      <c r="L12" s="181">
        <f t="shared" si="10"/>
        <v>0</v>
      </c>
      <c r="M12" s="181">
        <f t="shared" si="10"/>
        <v>0</v>
      </c>
      <c r="N12" s="181">
        <f t="shared" si="10"/>
        <v>0</v>
      </c>
      <c r="O12" s="181">
        <f t="shared" si="10"/>
        <v>0</v>
      </c>
      <c r="P12" s="181">
        <f t="shared" si="10"/>
        <v>0</v>
      </c>
      <c r="Q12" s="181">
        <f t="shared" si="10"/>
        <v>0</v>
      </c>
      <c r="R12" s="181">
        <f t="shared" si="10"/>
        <v>0</v>
      </c>
      <c r="S12" s="181">
        <f t="shared" si="10"/>
        <v>0</v>
      </c>
      <c r="T12" s="181">
        <f t="shared" si="10"/>
        <v>0</v>
      </c>
      <c r="U12" s="181">
        <f t="shared" si="10"/>
        <v>0</v>
      </c>
      <c r="V12" s="181">
        <f t="shared" si="10"/>
        <v>0</v>
      </c>
      <c r="W12" s="181">
        <f t="shared" si="10"/>
        <v>0</v>
      </c>
      <c r="X12" s="181">
        <f t="shared" si="10"/>
        <v>0</v>
      </c>
      <c r="Y12" s="181">
        <f t="shared" si="10"/>
        <v>0</v>
      </c>
      <c r="Z12" s="181">
        <f t="shared" si="10"/>
        <v>0</v>
      </c>
      <c r="AA12" s="181">
        <f t="shared" si="10"/>
        <v>0</v>
      </c>
      <c r="AB12" s="181">
        <f t="shared" si="10"/>
        <v>0</v>
      </c>
      <c r="AC12" s="181">
        <f t="shared" si="10"/>
        <v>0</v>
      </c>
      <c r="AD12" s="181">
        <f t="shared" si="10"/>
        <v>0</v>
      </c>
      <c r="AE12" s="181">
        <f t="shared" si="10"/>
        <v>0</v>
      </c>
      <c r="AF12" s="181">
        <f t="shared" si="10"/>
        <v>0</v>
      </c>
      <c r="AG12" s="181">
        <f t="shared" si="10"/>
        <v>0</v>
      </c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</row>
    <row r="13" spans="1:87">
      <c r="B13" s="177"/>
      <c r="C13" s="177">
        <f t="shared" si="0"/>
        <v>20</v>
      </c>
      <c r="D13" s="170" t="s">
        <v>308</v>
      </c>
      <c r="E13" s="180">
        <f t="shared" ref="E13:AG13" si="11">E160</f>
        <v>5</v>
      </c>
      <c r="F13" s="180">
        <f t="shared" si="11"/>
        <v>0</v>
      </c>
      <c r="G13" s="180">
        <f t="shared" si="11"/>
        <v>0</v>
      </c>
      <c r="H13" s="180">
        <f t="shared" si="11"/>
        <v>0</v>
      </c>
      <c r="I13" s="180">
        <f t="shared" si="11"/>
        <v>0</v>
      </c>
      <c r="J13" s="180">
        <f t="shared" si="11"/>
        <v>0</v>
      </c>
      <c r="K13" s="180">
        <f t="shared" si="11"/>
        <v>0</v>
      </c>
      <c r="L13" s="180">
        <f t="shared" si="11"/>
        <v>0</v>
      </c>
      <c r="M13" s="180">
        <f t="shared" si="11"/>
        <v>0</v>
      </c>
      <c r="N13" s="180">
        <f t="shared" si="11"/>
        <v>0</v>
      </c>
      <c r="O13" s="180">
        <f t="shared" si="11"/>
        <v>0</v>
      </c>
      <c r="P13" s="180">
        <f t="shared" si="11"/>
        <v>0</v>
      </c>
      <c r="Q13" s="180">
        <f t="shared" si="11"/>
        <v>5</v>
      </c>
      <c r="R13" s="180">
        <f t="shared" si="11"/>
        <v>0</v>
      </c>
      <c r="S13" s="180">
        <f t="shared" si="11"/>
        <v>0</v>
      </c>
      <c r="T13" s="180">
        <f t="shared" si="11"/>
        <v>0</v>
      </c>
      <c r="U13" s="180">
        <f t="shared" si="11"/>
        <v>0</v>
      </c>
      <c r="V13" s="180">
        <f t="shared" si="11"/>
        <v>0</v>
      </c>
      <c r="W13" s="180">
        <f t="shared" si="11"/>
        <v>0</v>
      </c>
      <c r="X13" s="180">
        <f t="shared" si="11"/>
        <v>0</v>
      </c>
      <c r="Y13" s="180">
        <f t="shared" si="11"/>
        <v>0</v>
      </c>
      <c r="Z13" s="180">
        <f t="shared" si="11"/>
        <v>0</v>
      </c>
      <c r="AA13" s="180">
        <f t="shared" si="11"/>
        <v>0</v>
      </c>
      <c r="AB13" s="180">
        <f t="shared" si="11"/>
        <v>0</v>
      </c>
      <c r="AC13" s="180">
        <f t="shared" si="11"/>
        <v>0</v>
      </c>
      <c r="AD13" s="180">
        <f t="shared" si="11"/>
        <v>0</v>
      </c>
      <c r="AE13" s="180">
        <f t="shared" si="11"/>
        <v>0</v>
      </c>
      <c r="AF13" s="180">
        <f t="shared" si="11"/>
        <v>0</v>
      </c>
      <c r="AG13" s="180">
        <f t="shared" si="11"/>
        <v>0</v>
      </c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</row>
    <row r="14" spans="1:87" s="168" customFormat="1">
      <c r="B14" s="182"/>
      <c r="C14" s="182"/>
      <c r="D14" s="183"/>
      <c r="E14" s="183"/>
      <c r="F14" s="184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18"/>
      <c r="R14" s="118"/>
      <c r="S14" s="118"/>
      <c r="T14" s="118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7"/>
      <c r="AF14" s="118"/>
      <c r="AG14" s="118"/>
    </row>
    <row r="15" spans="1:87">
      <c r="A15" s="131"/>
      <c r="D15" s="188" t="s">
        <v>257</v>
      </c>
      <c r="E15" s="189"/>
      <c r="H15" s="189" t="s">
        <v>309</v>
      </c>
      <c r="J15" s="190"/>
      <c r="Q15" s="191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3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</row>
    <row r="16" spans="1:87" s="168" customFormat="1" ht="26.25">
      <c r="B16" s="182"/>
      <c r="C16" s="182"/>
      <c r="D16" s="120" t="s">
        <v>202</v>
      </c>
      <c r="F16" s="118" t="s">
        <v>310</v>
      </c>
      <c r="G16" s="118" t="s">
        <v>311</v>
      </c>
      <c r="H16" t="s">
        <v>272</v>
      </c>
      <c r="I16" t="s">
        <v>312</v>
      </c>
      <c r="J16" t="s">
        <v>313</v>
      </c>
      <c r="K16" t="s">
        <v>314</v>
      </c>
      <c r="Q16" s="194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7"/>
    </row>
    <row r="17" spans="2:16380" s="168" customFormat="1">
      <c r="B17" s="182"/>
      <c r="C17" s="182"/>
      <c r="D17" s="115" t="s">
        <v>204</v>
      </c>
      <c r="E17" s="313" t="str">
        <f>'I&amp;O'!D77</f>
        <v>yes</v>
      </c>
      <c r="H17" s="195">
        <v>0.33329999999999999</v>
      </c>
      <c r="I17" s="195">
        <v>0.33329999999999999</v>
      </c>
      <c r="J17" s="195">
        <v>0.33329999999999999</v>
      </c>
      <c r="K17" s="195">
        <v>0</v>
      </c>
      <c r="Q17" s="194"/>
      <c r="R17" s="186"/>
      <c r="S17" s="186"/>
      <c r="T17" s="186"/>
      <c r="U17" s="196">
        <f>2.4*0.6</f>
        <v>1.44</v>
      </c>
      <c r="V17" s="186"/>
      <c r="W17" s="186"/>
      <c r="X17" s="186"/>
      <c r="Y17" s="186"/>
      <c r="Z17" s="186"/>
      <c r="AA17" s="186"/>
      <c r="AB17" s="186"/>
      <c r="AC17" s="186"/>
      <c r="AD17" s="186"/>
      <c r="AE17" s="187"/>
    </row>
    <row r="18" spans="2:16380" s="168" customFormat="1">
      <c r="B18" s="182"/>
      <c r="C18" s="182"/>
      <c r="D18" s="115" t="s">
        <v>206</v>
      </c>
      <c r="E18" s="314">
        <f>'I&amp;O'!D78</f>
        <v>0</v>
      </c>
      <c r="H18" s="195">
        <v>0</v>
      </c>
      <c r="I18" s="195">
        <v>0.5</v>
      </c>
      <c r="J18" s="195">
        <v>0.5</v>
      </c>
      <c r="K18" s="195">
        <v>0</v>
      </c>
      <c r="Q18" s="194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7"/>
    </row>
    <row r="19" spans="2:16380" s="168" customFormat="1">
      <c r="B19" s="182"/>
      <c r="C19" s="182"/>
      <c r="D19" s="3" t="s">
        <v>315</v>
      </c>
      <c r="E19" s="168">
        <f>IF(E17="yes",3,2)</f>
        <v>3</v>
      </c>
      <c r="H19"/>
      <c r="I19" s="195"/>
      <c r="J19" s="195"/>
      <c r="K19"/>
      <c r="Q19" s="194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7"/>
    </row>
    <row r="20" spans="2:16380" s="168" customFormat="1">
      <c r="B20" s="182"/>
      <c r="C20" s="182"/>
      <c r="D20" s="115" t="s">
        <v>316</v>
      </c>
      <c r="I20" s="195"/>
      <c r="J20" s="195"/>
      <c r="K20"/>
      <c r="Q20" s="194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7"/>
    </row>
    <row r="21" spans="2:16380" s="168" customFormat="1">
      <c r="B21" s="182"/>
      <c r="C21" s="182"/>
      <c r="D21" s="3" t="s">
        <v>272</v>
      </c>
      <c r="E21" t="s">
        <v>312</v>
      </c>
      <c r="F21" t="s">
        <v>313</v>
      </c>
      <c r="G21" t="s">
        <v>314</v>
      </c>
      <c r="H21"/>
      <c r="I21" s="195"/>
      <c r="J21" s="195"/>
      <c r="K21"/>
      <c r="Q21" s="19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7"/>
    </row>
    <row r="22" spans="2:16380" s="168" customFormat="1">
      <c r="B22" s="182"/>
      <c r="C22" s="182"/>
      <c r="D22" s="115">
        <f>IF($E$17="yes",H17,H$18)</f>
        <v>0.33329999999999999</v>
      </c>
      <c r="E22" s="115">
        <f t="shared" ref="E22:G22" si="12">IF($E$17="yes",I17,I$18)</f>
        <v>0.33329999999999999</v>
      </c>
      <c r="F22" s="115">
        <f t="shared" si="12"/>
        <v>0.33329999999999999</v>
      </c>
      <c r="G22" s="115">
        <f t="shared" si="12"/>
        <v>0</v>
      </c>
      <c r="H22"/>
      <c r="I22" s="195"/>
      <c r="J22" s="195"/>
      <c r="K22"/>
      <c r="Q22" s="19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7"/>
    </row>
    <row r="23" spans="2:16380" s="168" customFormat="1">
      <c r="B23" s="182"/>
      <c r="C23" s="182"/>
      <c r="D23" s="120" t="s">
        <v>207</v>
      </c>
      <c r="E23" s="118"/>
      <c r="J23" s="190"/>
      <c r="Q23" s="194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7"/>
    </row>
    <row r="24" spans="2:16380" s="168" customFormat="1">
      <c r="B24" s="182"/>
      <c r="C24" s="182"/>
      <c r="D24" s="197" t="s">
        <v>209</v>
      </c>
      <c r="E24" s="311">
        <f>'I&amp;O'!D82</f>
        <v>0</v>
      </c>
      <c r="F24" s="115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pans="2:16380" s="168" customFormat="1">
      <c r="B25" s="182"/>
      <c r="C25" s="182"/>
      <c r="D25" s="197" t="s">
        <v>210</v>
      </c>
      <c r="E25" s="311">
        <f>'I&amp;O'!D83</f>
        <v>0</v>
      </c>
      <c r="F25" s="11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pans="2:16380" s="168" customFormat="1">
      <c r="B26" s="182"/>
      <c r="C26" s="182"/>
      <c r="D26" s="119" t="s">
        <v>211</v>
      </c>
      <c r="E26" s="311">
        <f>'I&amp;O'!D84</f>
        <v>0</v>
      </c>
      <c r="F26" s="115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2:16380" s="168" customFormat="1">
      <c r="B27" s="182"/>
      <c r="C27" s="182"/>
      <c r="D27" s="197" t="s">
        <v>212</v>
      </c>
      <c r="E27" s="311">
        <f>'I&amp;O'!D85</f>
        <v>0</v>
      </c>
      <c r="F27" s="115"/>
      <c r="G27"/>
      <c r="J27" s="190"/>
      <c r="Q27" s="194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7"/>
    </row>
    <row r="28" spans="2:16380" s="168" customFormat="1">
      <c r="B28" s="182"/>
      <c r="C28" s="182"/>
      <c r="D28" s="197" t="s">
        <v>213</v>
      </c>
      <c r="E28" s="311">
        <f>'I&amp;O'!D86</f>
        <v>0</v>
      </c>
      <c r="F28" s="115"/>
      <c r="G28"/>
      <c r="J28" s="190"/>
      <c r="Q28" s="194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7"/>
    </row>
    <row r="29" spans="2:16380" s="168" customFormat="1">
      <c r="B29" s="182"/>
      <c r="C29" s="182"/>
      <c r="D29" s="197"/>
      <c r="E29" s="311" t="str">
        <f>'I&amp;O'!D87</f>
        <v>yes</v>
      </c>
      <c r="F29" s="115"/>
      <c r="G29"/>
      <c r="J29" s="190"/>
      <c r="Q29" s="194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7"/>
    </row>
    <row r="30" spans="2:16380" s="168" customFormat="1" ht="26.25">
      <c r="B30" s="182"/>
      <c r="C30" s="182"/>
      <c r="D30" s="120" t="s">
        <v>215</v>
      </c>
      <c r="E30"/>
      <c r="H30" t="s">
        <v>317</v>
      </c>
      <c r="J30" s="190"/>
      <c r="Q30" s="194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7"/>
    </row>
    <row r="31" spans="2:16380" s="168" customFormat="1">
      <c r="B31" s="182"/>
      <c r="C31" s="182"/>
      <c r="D31" s="115" t="s">
        <v>216</v>
      </c>
      <c r="E31" s="315">
        <f>'I&amp;O'!D90</f>
        <v>0</v>
      </c>
      <c r="F31" s="118"/>
      <c r="G31" s="118"/>
      <c r="H31" s="195">
        <v>1</v>
      </c>
      <c r="J31" s="190"/>
      <c r="Q31" s="194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7"/>
    </row>
    <row r="32" spans="2:16380" s="168" customFormat="1">
      <c r="B32" s="182"/>
      <c r="C32" s="182"/>
      <c r="D32" s="115" t="s">
        <v>217</v>
      </c>
      <c r="E32" s="315" t="str">
        <f>'I&amp;O'!D91</f>
        <v>yes</v>
      </c>
      <c r="H32" s="195">
        <v>0</v>
      </c>
      <c r="J32" s="190"/>
      <c r="Q32" s="194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7"/>
    </row>
    <row r="33" spans="2:87" s="168" customFormat="1">
      <c r="B33" s="182"/>
      <c r="C33" s="182"/>
      <c r="D33" s="115" t="s">
        <v>218</v>
      </c>
      <c r="E33" s="315">
        <f>'I&amp;O'!D92</f>
        <v>0</v>
      </c>
      <c r="H33" s="195">
        <v>0.5</v>
      </c>
      <c r="J33" s="190"/>
      <c r="Q33" s="194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7"/>
    </row>
    <row r="34" spans="2:87" s="168" customFormat="1">
      <c r="B34" s="182"/>
      <c r="C34" s="182"/>
      <c r="D34" s="124" t="s">
        <v>318</v>
      </c>
      <c r="E34" s="120">
        <f>IF($E$31="yes",$H$31,IF($E$32="yes",$H$32,H33))</f>
        <v>0</v>
      </c>
      <c r="G34"/>
      <c r="J34" s="190"/>
      <c r="Q34" s="194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7"/>
    </row>
    <row r="35" spans="2:87" s="168" customFormat="1">
      <c r="B35" s="182"/>
      <c r="C35" s="182"/>
      <c r="D35" s="124" t="s">
        <v>319</v>
      </c>
      <c r="E35" s="198">
        <f>1-E34</f>
        <v>1</v>
      </c>
      <c r="F35" s="120"/>
      <c r="G35"/>
      <c r="J35" s="190"/>
      <c r="Q35" s="194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7"/>
    </row>
    <row r="36" spans="2:87" s="168" customFormat="1">
      <c r="B36" s="182"/>
      <c r="C36" s="182"/>
      <c r="D36" s="120" t="s">
        <v>219</v>
      </c>
      <c r="E36"/>
      <c r="F36" s="115"/>
      <c r="G36"/>
      <c r="J36" s="190"/>
      <c r="Q36" s="194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7"/>
    </row>
    <row r="37" spans="2:87" s="168" customFormat="1">
      <c r="B37" s="182"/>
      <c r="C37" s="182"/>
      <c r="D37" s="199" t="s">
        <v>221</v>
      </c>
      <c r="E37" s="316">
        <f>'I&amp;O'!D96</f>
        <v>0</v>
      </c>
      <c r="F37"/>
      <c r="G37"/>
      <c r="J37" s="190"/>
      <c r="Q37" s="194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7"/>
    </row>
    <row r="38" spans="2:87" s="168" customFormat="1">
      <c r="B38" s="182"/>
      <c r="C38" s="182"/>
      <c r="D38" s="3" t="s">
        <v>223</v>
      </c>
      <c r="E38" s="316" t="str">
        <f>'I&amp;O'!D97</f>
        <v>yes</v>
      </c>
      <c r="F38" s="115"/>
      <c r="G38"/>
      <c r="J38" s="190"/>
      <c r="Q38" s="194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7"/>
    </row>
    <row r="39" spans="2:87" s="168" customFormat="1">
      <c r="B39" s="182"/>
      <c r="C39" s="182"/>
      <c r="D39" s="3" t="s">
        <v>222</v>
      </c>
      <c r="E39" s="316">
        <f>'I&amp;O'!D98</f>
        <v>0</v>
      </c>
      <c r="F39" s="115"/>
      <c r="G39"/>
      <c r="J39" s="190"/>
      <c r="Q39" s="194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7"/>
    </row>
    <row r="40" spans="2:87" s="168" customFormat="1">
      <c r="B40" s="182"/>
      <c r="C40" s="182"/>
      <c r="D40" s="3" t="s">
        <v>320</v>
      </c>
      <c r="E40" s="316">
        <f>'I&amp;O'!D99</f>
        <v>0</v>
      </c>
      <c r="F40" s="115"/>
      <c r="G40"/>
      <c r="J40" s="190"/>
      <c r="Q40" s="194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7"/>
    </row>
    <row r="41" spans="2:87" s="168" customFormat="1">
      <c r="B41" s="182"/>
      <c r="C41" s="182"/>
      <c r="D41" s="3" t="s">
        <v>321</v>
      </c>
      <c r="E41" s="316">
        <f>'I&amp;O'!D100</f>
        <v>0</v>
      </c>
      <c r="F41" s="115"/>
      <c r="G41"/>
      <c r="J41" s="190"/>
      <c r="Q41" s="194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7"/>
    </row>
    <row r="42" spans="2:87" s="131" customFormat="1">
      <c r="B42" s="159"/>
      <c r="C42" s="159"/>
      <c r="D42" s="159"/>
      <c r="E42" s="118" t="s">
        <v>322</v>
      </c>
      <c r="F42" s="118" t="s">
        <v>323</v>
      </c>
      <c r="G42" s="118" t="s">
        <v>324</v>
      </c>
      <c r="H42" s="118" t="s">
        <v>325</v>
      </c>
      <c r="I42" s="118" t="s">
        <v>326</v>
      </c>
      <c r="J42" s="200" t="s">
        <v>66</v>
      </c>
      <c r="K42" s="189" t="s">
        <v>67</v>
      </c>
      <c r="L42" s="118" t="s">
        <v>327</v>
      </c>
      <c r="M42" s="118" t="s">
        <v>72</v>
      </c>
      <c r="N42" s="118" t="s">
        <v>328</v>
      </c>
      <c r="O42" s="118" t="s">
        <v>329</v>
      </c>
      <c r="P42" s="118" t="s">
        <v>330</v>
      </c>
      <c r="Q42" s="189" t="s">
        <v>287</v>
      </c>
      <c r="R42" s="189" t="s">
        <v>68</v>
      </c>
      <c r="S42" s="189" t="s">
        <v>241</v>
      </c>
      <c r="T42" s="189" t="s">
        <v>288</v>
      </c>
      <c r="U42" s="192" t="s">
        <v>289</v>
      </c>
      <c r="V42" s="192" t="s">
        <v>290</v>
      </c>
      <c r="W42" s="192" t="s">
        <v>291</v>
      </c>
      <c r="X42" s="192" t="s">
        <v>292</v>
      </c>
      <c r="Y42" s="192" t="s">
        <v>293</v>
      </c>
      <c r="Z42" s="192" t="s">
        <v>69</v>
      </c>
      <c r="AA42" s="192" t="s">
        <v>294</v>
      </c>
      <c r="AB42" s="192" t="s">
        <v>295</v>
      </c>
      <c r="AC42" s="192" t="s">
        <v>296</v>
      </c>
      <c r="AD42" s="192" t="s">
        <v>297</v>
      </c>
      <c r="AE42" s="193" t="s">
        <v>298</v>
      </c>
      <c r="AF42" s="118" t="s">
        <v>299</v>
      </c>
      <c r="AG42" s="118" t="s">
        <v>300</v>
      </c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</row>
    <row r="43" spans="2:87" s="131" customFormat="1">
      <c r="B43" s="177"/>
      <c r="C43" s="177">
        <f t="shared" ref="C43:C57" si="13">(E43+F43)*4+G43*9</f>
        <v>90.468000000000004</v>
      </c>
      <c r="D43" s="119" t="s">
        <v>331</v>
      </c>
      <c r="E43" s="201">
        <v>18.815999999999999</v>
      </c>
      <c r="F43" s="201">
        <v>2.1</v>
      </c>
      <c r="G43" s="201">
        <v>0.75600000000000001</v>
      </c>
      <c r="H43" s="201">
        <v>0.16800000000000001</v>
      </c>
      <c r="I43" s="201">
        <v>0</v>
      </c>
      <c r="J43" s="201">
        <v>0.252</v>
      </c>
      <c r="K43" s="201">
        <v>0.252</v>
      </c>
      <c r="L43" s="201">
        <v>1.75</v>
      </c>
      <c r="M43" s="201">
        <v>4.1160000000000005</v>
      </c>
      <c r="N43" s="201">
        <v>11.465999999999999</v>
      </c>
      <c r="O43" s="201">
        <v>253.26</v>
      </c>
      <c r="P43" s="201">
        <v>10</v>
      </c>
      <c r="Q43" s="201">
        <v>0.29399999999999998</v>
      </c>
      <c r="R43" s="201">
        <v>0</v>
      </c>
      <c r="S43" s="201">
        <v>0</v>
      </c>
      <c r="T43" s="201">
        <v>0</v>
      </c>
      <c r="U43" s="201">
        <v>4.2000000000000003E-2</v>
      </c>
      <c r="V43" s="201">
        <v>8.4000000000000005E-2</v>
      </c>
      <c r="W43" s="201">
        <v>0</v>
      </c>
      <c r="X43" s="201">
        <v>1.5</v>
      </c>
      <c r="Y43" s="201">
        <v>0.15</v>
      </c>
      <c r="Z43" s="201">
        <v>4</v>
      </c>
      <c r="AA43" s="201">
        <v>0</v>
      </c>
      <c r="AB43" s="201">
        <v>0.33600000000000002</v>
      </c>
      <c r="AC43" s="201">
        <v>35.28</v>
      </c>
      <c r="AD43" s="201">
        <v>35.28</v>
      </c>
      <c r="AE43" s="201">
        <v>0.504</v>
      </c>
      <c r="AF43" s="201">
        <v>8.4000000000000005E-2</v>
      </c>
      <c r="AG43" s="201">
        <v>8.0220000000000002</v>
      </c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</row>
    <row r="44" spans="2:87" s="131" customFormat="1">
      <c r="B44" s="177"/>
      <c r="C44" s="177">
        <f t="shared" si="13"/>
        <v>105.33599999999998</v>
      </c>
      <c r="D44" s="119" t="s">
        <v>332</v>
      </c>
      <c r="E44" s="201">
        <v>23.939999999999998</v>
      </c>
      <c r="F44" s="201">
        <v>2.016</v>
      </c>
      <c r="G44" s="201">
        <v>0.16800000000000001</v>
      </c>
      <c r="H44" s="201">
        <v>4.2000000000000003E-2</v>
      </c>
      <c r="I44" s="201">
        <v>0</v>
      </c>
      <c r="J44" s="201">
        <v>4.2000000000000003E-2</v>
      </c>
      <c r="K44" s="201">
        <v>4.2000000000000003E-2</v>
      </c>
      <c r="L44" s="201">
        <v>0.2</v>
      </c>
      <c r="M44" s="201">
        <v>0</v>
      </c>
      <c r="N44" s="201">
        <v>7.7279999999999989</v>
      </c>
      <c r="O44" s="201">
        <v>35.28</v>
      </c>
      <c r="P44" s="201">
        <v>0.88200000000000001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1">
        <v>0.03</v>
      </c>
      <c r="W44" s="201">
        <v>0</v>
      </c>
      <c r="X44" s="201">
        <v>0.5</v>
      </c>
      <c r="Y44" s="201">
        <v>4.2000000000000003E-2</v>
      </c>
      <c r="Z44" s="201">
        <v>2</v>
      </c>
      <c r="AA44" s="201">
        <v>0</v>
      </c>
      <c r="AB44" s="201">
        <v>0.16800000000000001</v>
      </c>
      <c r="AC44" s="201">
        <v>6.72</v>
      </c>
      <c r="AD44" s="201">
        <v>22.259999999999998</v>
      </c>
      <c r="AE44" s="201">
        <v>0.33600000000000002</v>
      </c>
      <c r="AF44" s="201">
        <v>4.2000000000000003E-2</v>
      </c>
      <c r="AG44" s="201">
        <v>6</v>
      </c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</row>
    <row r="45" spans="2:87" s="131" customFormat="1">
      <c r="B45" s="177"/>
      <c r="C45" s="177">
        <f t="shared" si="13"/>
        <v>98.28</v>
      </c>
      <c r="D45" s="202" t="s">
        <v>333</v>
      </c>
      <c r="E45" s="201">
        <v>22.344000000000001</v>
      </c>
      <c r="F45" s="201">
        <v>1.8480000000000001</v>
      </c>
      <c r="G45" s="201">
        <v>0.16800000000000001</v>
      </c>
      <c r="H45" s="201">
        <v>4.2000000000000003E-2</v>
      </c>
      <c r="I45" s="201">
        <v>0</v>
      </c>
      <c r="J45" s="201">
        <v>4.2000000000000003E-2</v>
      </c>
      <c r="K45" s="201">
        <v>4.2000000000000003E-2</v>
      </c>
      <c r="L45" s="201">
        <v>0.2</v>
      </c>
      <c r="M45" s="201">
        <v>0</v>
      </c>
      <c r="N45" s="201">
        <v>7.8120000000000003</v>
      </c>
      <c r="O45" s="201">
        <v>35.909999999999997</v>
      </c>
      <c r="P45" s="201">
        <v>2.3519999999999999</v>
      </c>
      <c r="Q45" s="201">
        <v>0</v>
      </c>
      <c r="R45" s="201">
        <v>0</v>
      </c>
      <c r="S45" s="201">
        <v>0</v>
      </c>
      <c r="T45" s="201">
        <v>0</v>
      </c>
      <c r="U45" s="201">
        <v>0</v>
      </c>
      <c r="V45" s="201">
        <v>0.03</v>
      </c>
      <c r="W45" s="201">
        <v>0</v>
      </c>
      <c r="X45" s="201">
        <v>0.5</v>
      </c>
      <c r="Y45" s="201">
        <v>4.2000000000000003E-2</v>
      </c>
      <c r="Z45" s="201">
        <v>1.554</v>
      </c>
      <c r="AA45" s="201">
        <v>0</v>
      </c>
      <c r="AB45" s="201">
        <v>0.16800000000000001</v>
      </c>
      <c r="AC45" s="201">
        <v>10.08</v>
      </c>
      <c r="AD45" s="201">
        <v>22.68</v>
      </c>
      <c r="AE45" s="201">
        <v>0.33600000000000002</v>
      </c>
      <c r="AF45" s="201">
        <v>4.2000000000000003E-2</v>
      </c>
      <c r="AG45" s="201">
        <v>5.88</v>
      </c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</row>
    <row r="46" spans="2:87" s="131" customFormat="1">
      <c r="B46" s="177"/>
      <c r="C46" s="177">
        <f t="shared" si="13"/>
        <v>83.327999999999989</v>
      </c>
      <c r="D46" s="197" t="s">
        <v>320</v>
      </c>
      <c r="E46" s="201">
        <v>18.689999999999998</v>
      </c>
      <c r="F46" s="201">
        <v>1.764</v>
      </c>
      <c r="G46" s="201">
        <v>0.16800000000000001</v>
      </c>
      <c r="H46" s="201">
        <v>4.2000000000000003E-2</v>
      </c>
      <c r="I46" s="201">
        <v>0</v>
      </c>
      <c r="J46" s="201">
        <v>4.2000000000000003E-2</v>
      </c>
      <c r="K46" s="201">
        <v>0.05</v>
      </c>
      <c r="L46" s="201">
        <v>0.3</v>
      </c>
      <c r="M46" s="201">
        <v>0.84</v>
      </c>
      <c r="N46" s="201">
        <v>8.61</v>
      </c>
      <c r="O46" s="201">
        <v>41.16</v>
      </c>
      <c r="P46" s="201">
        <v>6.72</v>
      </c>
      <c r="Q46" s="201">
        <v>4.2000000000000003E-2</v>
      </c>
      <c r="R46" s="201">
        <v>0</v>
      </c>
      <c r="S46" s="201">
        <v>0</v>
      </c>
      <c r="T46" s="201">
        <v>0</v>
      </c>
      <c r="U46" s="201">
        <v>0</v>
      </c>
      <c r="V46" s="201">
        <v>0.03</v>
      </c>
      <c r="W46" s="201">
        <v>0</v>
      </c>
      <c r="X46" s="201">
        <v>0.5</v>
      </c>
      <c r="Y46" s="201">
        <v>4.2000000000000003E-2</v>
      </c>
      <c r="Z46" s="201">
        <v>1.974</v>
      </c>
      <c r="AA46" s="201">
        <v>0</v>
      </c>
      <c r="AB46" s="201">
        <v>0.126</v>
      </c>
      <c r="AC46" s="201">
        <v>7.9799999999999995</v>
      </c>
      <c r="AD46" s="201">
        <v>23.225999999999999</v>
      </c>
      <c r="AE46" s="201">
        <v>0.33600000000000002</v>
      </c>
      <c r="AF46" s="201">
        <v>4.2000000000000003E-2</v>
      </c>
      <c r="AG46" s="201">
        <v>5.04</v>
      </c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8"/>
      <c r="CF46" s="168"/>
      <c r="CG46" s="168"/>
      <c r="CH46" s="168"/>
      <c r="CI46" s="168"/>
    </row>
    <row r="47" spans="2:87" s="131" customFormat="1">
      <c r="B47" s="177"/>
      <c r="C47" s="177">
        <f t="shared" si="13"/>
        <v>88.955999999999989</v>
      </c>
      <c r="D47" s="197" t="s">
        <v>334</v>
      </c>
      <c r="E47" s="201">
        <v>19.739999999999998</v>
      </c>
      <c r="F47" s="201">
        <v>1.9319999999999997</v>
      </c>
      <c r="G47" s="201">
        <v>0.252</v>
      </c>
      <c r="H47" s="201">
        <v>4.2000000000000003E-2</v>
      </c>
      <c r="I47" s="201">
        <v>0</v>
      </c>
      <c r="J47" s="201">
        <v>4.2000000000000003E-2</v>
      </c>
      <c r="K47" s="201">
        <v>0.05</v>
      </c>
      <c r="L47" s="201">
        <v>0.58799999999999997</v>
      </c>
      <c r="M47" s="201">
        <v>1.3440000000000001</v>
      </c>
      <c r="N47" s="201">
        <v>11.34</v>
      </c>
      <c r="O47" s="201">
        <v>49.14</v>
      </c>
      <c r="P47" s="201">
        <v>12.6</v>
      </c>
      <c r="Q47" s="201">
        <v>8.4000000000000005E-2</v>
      </c>
      <c r="R47" s="201">
        <v>0</v>
      </c>
      <c r="S47" s="201">
        <v>0</v>
      </c>
      <c r="T47" s="201">
        <v>0</v>
      </c>
      <c r="U47" s="201">
        <v>0</v>
      </c>
      <c r="V47" s="201">
        <v>0.05</v>
      </c>
      <c r="W47" s="201">
        <v>0</v>
      </c>
      <c r="X47" s="201">
        <v>1.5</v>
      </c>
      <c r="Y47" s="201">
        <v>8.4000000000000005E-2</v>
      </c>
      <c r="Z47" s="201">
        <v>2.4</v>
      </c>
      <c r="AA47" s="201">
        <v>0</v>
      </c>
      <c r="AB47" s="201">
        <v>0.16800000000000001</v>
      </c>
      <c r="AC47" s="201">
        <v>5.9639999999999995</v>
      </c>
      <c r="AD47" s="201">
        <v>22</v>
      </c>
      <c r="AE47" s="201">
        <v>0.252</v>
      </c>
      <c r="AF47" s="201">
        <v>4.2000000000000003E-2</v>
      </c>
      <c r="AG47" s="201">
        <v>8</v>
      </c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</row>
    <row r="48" spans="2:87" s="131" customFormat="1">
      <c r="B48" s="177"/>
      <c r="C48" s="177">
        <f t="shared" si="13"/>
        <v>93.474999999999994</v>
      </c>
      <c r="D48" s="197" t="s">
        <v>335</v>
      </c>
      <c r="E48" s="201">
        <v>19.875</v>
      </c>
      <c r="F48" s="201">
        <v>2.875</v>
      </c>
      <c r="G48" s="201">
        <v>0.27500000000000002</v>
      </c>
      <c r="H48" s="201">
        <v>6.25E-2</v>
      </c>
      <c r="I48" s="201">
        <v>0</v>
      </c>
      <c r="J48" s="201">
        <v>3.7500000000000006E-2</v>
      </c>
      <c r="K48" s="201">
        <v>0.15000000000000002</v>
      </c>
      <c r="L48" s="201">
        <v>1.25</v>
      </c>
      <c r="M48" s="201">
        <v>4.875</v>
      </c>
      <c r="N48" s="201">
        <v>0</v>
      </c>
      <c r="O48" s="201">
        <v>0</v>
      </c>
      <c r="P48" s="201">
        <v>4.5</v>
      </c>
      <c r="Q48" s="201">
        <v>0</v>
      </c>
      <c r="R48" s="201">
        <v>0</v>
      </c>
      <c r="S48" s="201">
        <v>0</v>
      </c>
      <c r="T48" s="201">
        <v>0</v>
      </c>
      <c r="U48" s="201">
        <v>0</v>
      </c>
      <c r="V48" s="201">
        <v>0.05</v>
      </c>
      <c r="W48" s="201">
        <v>4.7500000000000001E-2</v>
      </c>
      <c r="X48" s="201">
        <v>0.83124999999999993</v>
      </c>
      <c r="Y48" s="201">
        <v>0</v>
      </c>
      <c r="Z48" s="201">
        <v>38.674999999999997</v>
      </c>
      <c r="AA48" s="201">
        <v>0</v>
      </c>
      <c r="AB48" s="201">
        <v>0.71750000000000003</v>
      </c>
      <c r="AC48" s="201">
        <v>9.5250000000000004</v>
      </c>
      <c r="AD48" s="201">
        <v>22</v>
      </c>
      <c r="AE48" s="201">
        <v>0.3125</v>
      </c>
      <c r="AF48" s="201">
        <v>0.15</v>
      </c>
      <c r="AG48" s="201">
        <v>18.5</v>
      </c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8"/>
      <c r="CF48" s="168"/>
      <c r="CG48" s="168"/>
      <c r="CH48" s="168"/>
      <c r="CI48" s="168"/>
    </row>
    <row r="49" spans="1:87">
      <c r="B49" s="177"/>
      <c r="C49" s="177">
        <f t="shared" si="13"/>
        <v>86.08</v>
      </c>
      <c r="D49" s="197" t="s">
        <v>336</v>
      </c>
      <c r="E49" s="201">
        <v>17.600000000000001</v>
      </c>
      <c r="F49" s="201">
        <v>3.2</v>
      </c>
      <c r="G49" s="201">
        <v>0.32</v>
      </c>
      <c r="H49" s="201">
        <v>0.08</v>
      </c>
      <c r="I49" s="201">
        <v>0</v>
      </c>
      <c r="J49" s="201">
        <v>0.08</v>
      </c>
      <c r="K49" s="201">
        <v>0.16</v>
      </c>
      <c r="L49" s="201">
        <v>3.2</v>
      </c>
      <c r="M49" s="201">
        <v>1.6</v>
      </c>
      <c r="N49" s="201">
        <v>36.799999999999997</v>
      </c>
      <c r="O49" s="201">
        <v>708.8</v>
      </c>
      <c r="P49" s="201">
        <v>8</v>
      </c>
      <c r="Q49" s="201">
        <v>0.4</v>
      </c>
      <c r="R49" s="201">
        <v>1.6</v>
      </c>
      <c r="S49" s="201">
        <v>0</v>
      </c>
      <c r="T49" s="201">
        <v>0</v>
      </c>
      <c r="U49" s="201">
        <v>0</v>
      </c>
      <c r="V49" s="201">
        <v>9.6000000000000002E-2</v>
      </c>
      <c r="W49" s="201">
        <v>0.04</v>
      </c>
      <c r="X49" s="201">
        <v>1.52</v>
      </c>
      <c r="Y49" s="201">
        <v>0.32</v>
      </c>
      <c r="Z49" s="201">
        <v>10.559999999999999</v>
      </c>
      <c r="AA49" s="201">
        <v>0</v>
      </c>
      <c r="AB49" s="201">
        <v>0.91999999999999993</v>
      </c>
      <c r="AC49" s="201">
        <v>33.119999999999997</v>
      </c>
      <c r="AD49" s="201">
        <v>97.6</v>
      </c>
      <c r="AE49" s="201">
        <v>0.72</v>
      </c>
      <c r="AF49" s="201">
        <v>0.4</v>
      </c>
      <c r="AG49" s="201">
        <v>68</v>
      </c>
      <c r="BR49" s="168"/>
      <c r="BS49" s="168"/>
      <c r="BT49" s="168"/>
      <c r="BU49" s="168"/>
      <c r="BV49" s="168"/>
      <c r="BW49" s="168"/>
      <c r="BX49" s="168" t="s">
        <v>337</v>
      </c>
      <c r="BY49" s="168" t="s">
        <v>338</v>
      </c>
      <c r="BZ49" s="168"/>
      <c r="CA49" s="168"/>
      <c r="CB49" s="168"/>
      <c r="CC49" s="168"/>
      <c r="CD49" s="168"/>
      <c r="CE49" s="168"/>
      <c r="CF49" s="168"/>
      <c r="CG49" s="168"/>
      <c r="CH49" s="168"/>
      <c r="CI49" s="168"/>
    </row>
    <row r="50" spans="1:87">
      <c r="B50" s="177"/>
      <c r="C50" s="177">
        <f t="shared" si="13"/>
        <v>83.724999999999994</v>
      </c>
      <c r="D50" s="197" t="s">
        <v>209</v>
      </c>
      <c r="E50" s="203">
        <v>15.13</v>
      </c>
      <c r="F50" s="203">
        <v>2.5499999999999998</v>
      </c>
      <c r="G50" s="203">
        <v>1.4449999999999998</v>
      </c>
      <c r="H50" s="203">
        <v>0.34</v>
      </c>
      <c r="I50" s="203">
        <v>0</v>
      </c>
      <c r="J50" s="203">
        <v>0.255</v>
      </c>
      <c r="K50" s="203">
        <v>0.68</v>
      </c>
      <c r="L50" s="203">
        <v>2.5499999999999998</v>
      </c>
      <c r="M50" s="203">
        <v>146.19999999999999</v>
      </c>
      <c r="N50" s="203">
        <v>71.399999999999991</v>
      </c>
      <c r="O50" s="203">
        <v>751.4</v>
      </c>
      <c r="P50" s="203">
        <v>35.699999999999996</v>
      </c>
      <c r="Q50" s="203">
        <v>2.21</v>
      </c>
      <c r="R50" s="203">
        <v>0</v>
      </c>
      <c r="S50" s="203">
        <v>0</v>
      </c>
      <c r="T50" s="203">
        <v>0</v>
      </c>
      <c r="U50" s="203">
        <v>0.17</v>
      </c>
      <c r="V50" s="203">
        <v>8.5000000000000006E-2</v>
      </c>
      <c r="W50" s="203">
        <v>8.5000000000000006E-2</v>
      </c>
      <c r="X50" s="203">
        <v>1.4449999999999998</v>
      </c>
      <c r="Y50" s="203">
        <v>8.5000000000000006E-2</v>
      </c>
      <c r="Z50" s="203">
        <v>26.094999999999999</v>
      </c>
      <c r="AA50" s="203">
        <v>0</v>
      </c>
      <c r="AB50" s="203">
        <v>0.85</v>
      </c>
      <c r="AC50" s="203">
        <v>27.2</v>
      </c>
      <c r="AD50" s="203">
        <v>79.899999999999991</v>
      </c>
      <c r="AE50" s="203">
        <v>0.59499999999999997</v>
      </c>
      <c r="AF50" s="203">
        <v>8.5000000000000006E-2</v>
      </c>
      <c r="AG50" s="203">
        <v>11.475</v>
      </c>
      <c r="BR50" s="168"/>
      <c r="BS50" s="168"/>
      <c r="BT50" s="168"/>
      <c r="BU50" s="168"/>
      <c r="BV50" s="168"/>
      <c r="BW50" s="168"/>
      <c r="BX50" s="168" t="s">
        <v>339</v>
      </c>
      <c r="BY50" s="204" t="s">
        <v>340</v>
      </c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</row>
    <row r="51" spans="1:87">
      <c r="B51" s="177"/>
      <c r="C51" s="177">
        <f t="shared" si="13"/>
        <v>79</v>
      </c>
      <c r="D51" s="197" t="s">
        <v>210</v>
      </c>
      <c r="E51" s="203">
        <v>15.2</v>
      </c>
      <c r="F51" s="203">
        <v>2.2999999999999998</v>
      </c>
      <c r="G51" s="203">
        <v>1</v>
      </c>
      <c r="H51" s="203">
        <v>0.2</v>
      </c>
      <c r="I51" s="203">
        <v>0</v>
      </c>
      <c r="J51" s="203">
        <v>0.2</v>
      </c>
      <c r="K51" s="203">
        <v>0.4</v>
      </c>
      <c r="L51" s="203">
        <v>0.7</v>
      </c>
      <c r="M51" s="203">
        <v>204</v>
      </c>
      <c r="N51" s="203">
        <v>42</v>
      </c>
      <c r="O51" s="203">
        <v>365</v>
      </c>
      <c r="P51" s="203">
        <v>45</v>
      </c>
      <c r="Q51" s="203">
        <v>1.3</v>
      </c>
      <c r="R51" s="203">
        <v>0</v>
      </c>
      <c r="S51" s="203">
        <v>0</v>
      </c>
      <c r="T51" s="203">
        <v>0</v>
      </c>
      <c r="U51" s="203">
        <v>0.1</v>
      </c>
      <c r="V51" s="203">
        <v>0.1</v>
      </c>
      <c r="W51" s="203">
        <v>0.1</v>
      </c>
      <c r="X51" s="203">
        <v>1.3</v>
      </c>
      <c r="Y51" s="203">
        <v>0</v>
      </c>
      <c r="Z51" s="203">
        <v>33.299999999999997</v>
      </c>
      <c r="AA51" s="203">
        <v>0</v>
      </c>
      <c r="AB51" s="203">
        <v>1.1000000000000001</v>
      </c>
      <c r="AC51" s="203">
        <v>6.9</v>
      </c>
      <c r="AD51" s="203">
        <v>30</v>
      </c>
      <c r="AE51" s="203">
        <v>0.2</v>
      </c>
      <c r="AF51" s="203">
        <v>0.1</v>
      </c>
      <c r="AG51" s="203">
        <v>0.5</v>
      </c>
      <c r="BR51" s="168"/>
      <c r="BS51" s="168"/>
      <c r="BT51" s="168"/>
      <c r="BU51" s="168"/>
      <c r="BV51" s="168"/>
      <c r="BW51" s="168"/>
      <c r="BX51" s="168" t="s">
        <v>341</v>
      </c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</row>
    <row r="52" spans="1:87">
      <c r="B52" s="177"/>
      <c r="C52" s="177">
        <f t="shared" si="13"/>
        <v>115.1</v>
      </c>
      <c r="D52" s="119" t="s">
        <v>211</v>
      </c>
      <c r="E52" s="203">
        <v>25.7</v>
      </c>
      <c r="F52" s="203">
        <v>2.4</v>
      </c>
      <c r="G52" s="203">
        <v>0.3</v>
      </c>
      <c r="H52" s="203">
        <v>0.1</v>
      </c>
      <c r="I52" s="203">
        <v>0</v>
      </c>
      <c r="J52" s="203">
        <v>0</v>
      </c>
      <c r="K52" s="203">
        <v>0.1</v>
      </c>
      <c r="L52" s="203">
        <v>0.8</v>
      </c>
      <c r="M52" s="203">
        <v>230</v>
      </c>
      <c r="N52" s="203">
        <v>5.6</v>
      </c>
      <c r="O52" s="203">
        <v>84</v>
      </c>
      <c r="P52" s="203">
        <v>1.3</v>
      </c>
      <c r="Q52" s="203">
        <v>2.5</v>
      </c>
      <c r="R52" s="203">
        <v>30</v>
      </c>
      <c r="S52" s="203">
        <v>9.9</v>
      </c>
      <c r="T52" s="203">
        <v>0</v>
      </c>
      <c r="U52" s="203">
        <v>0</v>
      </c>
      <c r="V52" s="203">
        <v>0.3</v>
      </c>
      <c r="W52" s="203">
        <v>0.4</v>
      </c>
      <c r="X52" s="203">
        <v>4</v>
      </c>
      <c r="Y52" s="203">
        <v>0.5</v>
      </c>
      <c r="Z52" s="203">
        <v>0</v>
      </c>
      <c r="AA52" s="203">
        <v>0.1</v>
      </c>
      <c r="AB52" s="203">
        <v>5.3</v>
      </c>
      <c r="AC52" s="203">
        <v>2.7</v>
      </c>
      <c r="AD52" s="203">
        <v>20</v>
      </c>
      <c r="AE52" s="203">
        <v>0.13</v>
      </c>
      <c r="AF52" s="203">
        <v>0</v>
      </c>
      <c r="AG52" s="203">
        <v>2.2999999999999998</v>
      </c>
      <c r="BR52" s="168"/>
      <c r="BS52" s="168"/>
      <c r="BT52" s="168"/>
      <c r="BU52" s="168"/>
      <c r="BV52" s="168"/>
      <c r="BW52" s="168"/>
      <c r="BX52" s="168" t="s">
        <v>342</v>
      </c>
      <c r="BY52" s="168" t="s">
        <v>343</v>
      </c>
      <c r="BZ52" s="168"/>
      <c r="CA52" s="168"/>
      <c r="CB52" s="168"/>
      <c r="CC52" s="168"/>
      <c r="CD52" s="168"/>
      <c r="CE52" s="168"/>
      <c r="CF52" s="168"/>
      <c r="CG52" s="168"/>
      <c r="CH52" s="168"/>
      <c r="CI52" s="168"/>
    </row>
    <row r="53" spans="1:87">
      <c r="A53" s="131"/>
      <c r="B53" s="177"/>
      <c r="C53" s="177">
        <f t="shared" si="13"/>
        <v>117.37499999999999</v>
      </c>
      <c r="D53" s="197" t="s">
        <v>212</v>
      </c>
      <c r="E53" s="203">
        <v>23.4</v>
      </c>
      <c r="F53" s="203">
        <v>2.4000000000000004</v>
      </c>
      <c r="G53" s="203">
        <v>1.5750000000000002</v>
      </c>
      <c r="H53" s="203">
        <v>0.22499999999999998</v>
      </c>
      <c r="I53" s="203">
        <v>0</v>
      </c>
      <c r="J53" s="203">
        <v>0.89999999999999991</v>
      </c>
      <c r="K53" s="203">
        <v>0.44999999999999996</v>
      </c>
      <c r="L53" s="203">
        <v>2.1749999999999998</v>
      </c>
      <c r="M53" s="203">
        <v>120</v>
      </c>
      <c r="N53" s="203">
        <v>39</v>
      </c>
      <c r="O53" s="203">
        <v>792</v>
      </c>
      <c r="P53" s="203">
        <v>22.5</v>
      </c>
      <c r="Q53" s="203">
        <v>2.25</v>
      </c>
      <c r="R53" s="203">
        <v>30</v>
      </c>
      <c r="S53" s="203">
        <v>7.5</v>
      </c>
      <c r="T53" s="203">
        <v>0</v>
      </c>
      <c r="U53" s="203">
        <v>0</v>
      </c>
      <c r="V53" s="203">
        <v>0.22499999999999998</v>
      </c>
      <c r="W53" s="203">
        <v>0.30000000000000004</v>
      </c>
      <c r="X53" s="203">
        <v>3</v>
      </c>
      <c r="Y53" s="203">
        <v>0.375</v>
      </c>
      <c r="Z53" s="203">
        <v>73.800000000000011</v>
      </c>
      <c r="AA53" s="203">
        <v>7.5000000000000011E-2</v>
      </c>
      <c r="AB53" s="203">
        <v>4.1999999999999993</v>
      </c>
      <c r="AC53" s="203">
        <v>30.75</v>
      </c>
      <c r="AD53" s="203">
        <v>165</v>
      </c>
      <c r="AE53" s="203">
        <v>2.7750000000000004</v>
      </c>
      <c r="AF53" s="203">
        <v>0.15</v>
      </c>
      <c r="AG53" s="203">
        <v>8</v>
      </c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</row>
    <row r="54" spans="1:87">
      <c r="A54" s="131"/>
      <c r="B54" s="177"/>
      <c r="C54" s="177">
        <f t="shared" si="13"/>
        <v>108.96000000000001</v>
      </c>
      <c r="D54" s="197" t="s">
        <v>213</v>
      </c>
      <c r="E54" s="203">
        <v>17.600000000000001</v>
      </c>
      <c r="F54" s="203">
        <v>4.24</v>
      </c>
      <c r="G54" s="203">
        <v>2.4</v>
      </c>
      <c r="H54" s="203">
        <v>0.48000000000000004</v>
      </c>
      <c r="I54" s="203">
        <v>0</v>
      </c>
      <c r="J54" s="203">
        <v>1.28</v>
      </c>
      <c r="K54" s="203">
        <v>0.96000000000000008</v>
      </c>
      <c r="L54" s="203">
        <v>2.9600000000000004</v>
      </c>
      <c r="M54" s="203">
        <v>1.04</v>
      </c>
      <c r="N54" s="203">
        <v>0.1</v>
      </c>
      <c r="O54" s="203">
        <v>0.86</v>
      </c>
      <c r="P54" s="203">
        <v>13.299999999999999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3">
        <v>0.14699999999999999</v>
      </c>
      <c r="W54" s="203">
        <v>3.4999999999999996E-2</v>
      </c>
      <c r="X54" s="203">
        <v>0.23099999999999998</v>
      </c>
      <c r="Y54" s="203">
        <v>0</v>
      </c>
      <c r="Z54" s="203">
        <v>13.649999999999999</v>
      </c>
      <c r="AA54" s="203">
        <v>0</v>
      </c>
      <c r="AB54" s="203">
        <v>1.302</v>
      </c>
      <c r="AC54" s="203">
        <v>75.53</v>
      </c>
      <c r="AD54" s="203">
        <v>100.1</v>
      </c>
      <c r="AE54" s="203">
        <v>0.55999999999999994</v>
      </c>
      <c r="AF54" s="203">
        <v>0</v>
      </c>
      <c r="AG54" s="203">
        <v>0</v>
      </c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8"/>
      <c r="CE54" s="168"/>
      <c r="CF54" s="168"/>
      <c r="CG54" s="168"/>
      <c r="CH54" s="168"/>
      <c r="CI54" s="168"/>
    </row>
    <row r="55" spans="1:87">
      <c r="B55" s="177"/>
      <c r="C55" s="177">
        <f t="shared" si="13"/>
        <v>86.08</v>
      </c>
      <c r="D55" s="205" t="s">
        <v>344</v>
      </c>
      <c r="E55" s="173">
        <f>$E$34*IF($E$37="yes",E43,IF($E$38="yes",E44,IF($E$39="yes",E45,IF($E$40="yes",E46,E47))))+$E$35*E49</f>
        <v>17.600000000000001</v>
      </c>
      <c r="F55" s="173">
        <f>$E$34*IF($E$37="yes",F43,IF($E$38="yes",F44,IF($E$39="yes",F45,IF($E$40="yes",F46,F47))))+$E$35*F49</f>
        <v>3.2</v>
      </c>
      <c r="G55" s="173">
        <f t="shared" ref="G55:AG55" si="14">$E$34*IF($E$37="yes",G43,IF($E$38="yes",G44,IF($E$39="yes",G45,IF($E$40="yes",G46,G47))))+$E$35*G49</f>
        <v>0.32</v>
      </c>
      <c r="H55" s="173">
        <f t="shared" si="14"/>
        <v>0.08</v>
      </c>
      <c r="I55" s="173">
        <f t="shared" si="14"/>
        <v>0</v>
      </c>
      <c r="J55" s="173">
        <f t="shared" si="14"/>
        <v>0.08</v>
      </c>
      <c r="K55" s="173">
        <f t="shared" si="14"/>
        <v>0.16</v>
      </c>
      <c r="L55" s="173">
        <f t="shared" si="14"/>
        <v>3.2</v>
      </c>
      <c r="M55" s="173">
        <f t="shared" si="14"/>
        <v>1.6</v>
      </c>
      <c r="N55" s="173">
        <f t="shared" si="14"/>
        <v>36.799999999999997</v>
      </c>
      <c r="O55" s="173">
        <f t="shared" si="14"/>
        <v>708.8</v>
      </c>
      <c r="P55" s="173">
        <f t="shared" si="14"/>
        <v>8</v>
      </c>
      <c r="Q55" s="173">
        <f t="shared" si="14"/>
        <v>0.4</v>
      </c>
      <c r="R55" s="173">
        <f t="shared" si="14"/>
        <v>1.6</v>
      </c>
      <c r="S55" s="173">
        <f t="shared" si="14"/>
        <v>0</v>
      </c>
      <c r="T55" s="173">
        <f t="shared" si="14"/>
        <v>0</v>
      </c>
      <c r="U55" s="173">
        <f t="shared" si="14"/>
        <v>0</v>
      </c>
      <c r="V55" s="173">
        <f t="shared" si="14"/>
        <v>9.6000000000000002E-2</v>
      </c>
      <c r="W55" s="173">
        <f t="shared" si="14"/>
        <v>0.04</v>
      </c>
      <c r="X55" s="173">
        <f t="shared" si="14"/>
        <v>1.52</v>
      </c>
      <c r="Y55" s="173">
        <f t="shared" si="14"/>
        <v>0.32</v>
      </c>
      <c r="Z55" s="173">
        <f t="shared" si="14"/>
        <v>10.559999999999999</v>
      </c>
      <c r="AA55" s="173">
        <f t="shared" si="14"/>
        <v>0</v>
      </c>
      <c r="AB55" s="173">
        <f>$E$34*IF($E$37="yes",AB43,IF($E$38="yes",AB44,IF($E$39="yes",AB25,IF($E$40="yes",AB26,AB27))))+$E$35*AB29</f>
        <v>0</v>
      </c>
      <c r="AC55" s="173">
        <f t="shared" si="14"/>
        <v>33.119999999999997</v>
      </c>
      <c r="AD55" s="173">
        <f t="shared" si="14"/>
        <v>97.6</v>
      </c>
      <c r="AE55" s="173">
        <f t="shared" si="14"/>
        <v>0.72</v>
      </c>
      <c r="AF55" s="173">
        <f t="shared" si="14"/>
        <v>0.4</v>
      </c>
      <c r="AG55" s="173">
        <f t="shared" si="14"/>
        <v>68</v>
      </c>
      <c r="BR55" s="168"/>
      <c r="BS55" s="168"/>
      <c r="BT55" s="168"/>
      <c r="BU55" s="168"/>
      <c r="BV55" s="168"/>
      <c r="BW55" s="168"/>
      <c r="BX55" s="168" t="s">
        <v>345</v>
      </c>
      <c r="BY55" s="168" t="s">
        <v>346</v>
      </c>
      <c r="BZ55" s="168"/>
      <c r="CA55" s="168"/>
      <c r="CB55" s="168"/>
      <c r="CC55" s="168"/>
      <c r="CD55" s="168"/>
      <c r="CE55" s="168"/>
      <c r="CF55" s="168"/>
      <c r="CG55" s="168"/>
      <c r="CH55" s="168"/>
      <c r="CI55" s="168"/>
    </row>
    <row r="56" spans="1:87">
      <c r="B56" s="177"/>
      <c r="C56" s="177">
        <f t="shared" si="13"/>
        <v>86.08</v>
      </c>
      <c r="D56" s="119" t="s">
        <v>347</v>
      </c>
      <c r="E56" s="173">
        <f>IF($E$24="yes",E50,IF($E$25="yes",E51,IF($E$26="yes",E52,IF($E$27="yes",E53,IF($E$28="yes",E54,E49)))))</f>
        <v>17.600000000000001</v>
      </c>
      <c r="F56" s="173">
        <f t="shared" ref="F56:AG56" si="15">IF($E$24="yes",F50,IF($E$25="yes",F51,IF($E$26="yes",F52,IF($E$27="yes",F53,IF($E$28="yes",F54,F49)))))</f>
        <v>3.2</v>
      </c>
      <c r="G56" s="173">
        <f>IF($E$24="yes",G50,IF($E$25="yes",G51,IF($E$26="yes",G52,IF($E$27="yes",G53,IF($E$28="yes",G54,G49)))))</f>
        <v>0.32</v>
      </c>
      <c r="H56" s="173">
        <f t="shared" si="15"/>
        <v>0.08</v>
      </c>
      <c r="I56" s="173">
        <f t="shared" si="15"/>
        <v>0</v>
      </c>
      <c r="J56" s="173">
        <f t="shared" si="15"/>
        <v>0.08</v>
      </c>
      <c r="K56" s="173">
        <f t="shared" si="15"/>
        <v>0.16</v>
      </c>
      <c r="L56" s="173">
        <f t="shared" si="15"/>
        <v>3.2</v>
      </c>
      <c r="M56" s="173">
        <f t="shared" si="15"/>
        <v>1.6</v>
      </c>
      <c r="N56" s="173">
        <f t="shared" si="15"/>
        <v>36.799999999999997</v>
      </c>
      <c r="O56" s="173">
        <f t="shared" si="15"/>
        <v>708.8</v>
      </c>
      <c r="P56" s="173">
        <f t="shared" si="15"/>
        <v>8</v>
      </c>
      <c r="Q56" s="173">
        <f t="shared" si="15"/>
        <v>0.4</v>
      </c>
      <c r="R56" s="173">
        <f t="shared" si="15"/>
        <v>1.6</v>
      </c>
      <c r="S56" s="173">
        <f t="shared" si="15"/>
        <v>0</v>
      </c>
      <c r="T56" s="173">
        <f t="shared" si="15"/>
        <v>0</v>
      </c>
      <c r="U56" s="173">
        <f t="shared" si="15"/>
        <v>0</v>
      </c>
      <c r="V56" s="173">
        <f t="shared" si="15"/>
        <v>9.6000000000000002E-2</v>
      </c>
      <c r="W56" s="173">
        <f t="shared" si="15"/>
        <v>0.04</v>
      </c>
      <c r="X56" s="173">
        <f t="shared" si="15"/>
        <v>1.52</v>
      </c>
      <c r="Y56" s="173">
        <f t="shared" si="15"/>
        <v>0.32</v>
      </c>
      <c r="Z56" s="173">
        <f t="shared" si="15"/>
        <v>10.559999999999999</v>
      </c>
      <c r="AA56" s="173">
        <f t="shared" si="15"/>
        <v>0</v>
      </c>
      <c r="AB56" s="173">
        <f>IF($E$24="yes",AB30,IF($E$25="yes",AB31,IF($E$26="yes",AB32,IF($E$27="yes",AB33,IF($E$28="yes",AB34,AB29)))))</f>
        <v>0</v>
      </c>
      <c r="AC56" s="173">
        <f t="shared" si="15"/>
        <v>33.119999999999997</v>
      </c>
      <c r="AD56" s="173">
        <f t="shared" si="15"/>
        <v>97.6</v>
      </c>
      <c r="AE56" s="173">
        <f t="shared" si="15"/>
        <v>0.72</v>
      </c>
      <c r="AF56" s="173">
        <f t="shared" si="15"/>
        <v>0.4</v>
      </c>
      <c r="AG56" s="173">
        <f t="shared" si="15"/>
        <v>68</v>
      </c>
      <c r="BR56" s="168"/>
      <c r="BS56" s="168"/>
      <c r="BT56" s="168"/>
      <c r="BU56" s="168"/>
      <c r="BV56" s="168"/>
      <c r="BW56" s="168"/>
      <c r="BX56" s="168" t="s">
        <v>348</v>
      </c>
      <c r="BY56" s="168" t="s">
        <v>349</v>
      </c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</row>
    <row r="57" spans="1:87" s="206" customFormat="1">
      <c r="B57" s="177"/>
      <c r="C57" s="177">
        <f t="shared" si="13"/>
        <v>86.071392000000003</v>
      </c>
      <c r="D57" s="207" t="s">
        <v>350</v>
      </c>
      <c r="E57" s="208">
        <f t="shared" ref="E57:AG57" si="16">E55*($E$22+$F$22)+E56*$D$22</f>
        <v>17.598240000000001</v>
      </c>
      <c r="F57" s="208">
        <f t="shared" si="16"/>
        <v>3.1996799999999999</v>
      </c>
      <c r="G57" s="208">
        <f t="shared" si="16"/>
        <v>0.31996800000000003</v>
      </c>
      <c r="H57" s="208">
        <f t="shared" si="16"/>
        <v>7.9992000000000008E-2</v>
      </c>
      <c r="I57" s="208">
        <f t="shared" si="16"/>
        <v>0</v>
      </c>
      <c r="J57" s="208">
        <f t="shared" si="16"/>
        <v>7.9992000000000008E-2</v>
      </c>
      <c r="K57" s="208">
        <f t="shared" si="16"/>
        <v>0.15998400000000002</v>
      </c>
      <c r="L57" s="208">
        <f t="shared" si="16"/>
        <v>3.1996799999999999</v>
      </c>
      <c r="M57" s="208">
        <f>M55*($E$22+$F$22)+M56*$D$22</f>
        <v>1.5998399999999999</v>
      </c>
      <c r="N57" s="208">
        <f t="shared" si="16"/>
        <v>36.796319999999994</v>
      </c>
      <c r="O57" s="208">
        <f t="shared" si="16"/>
        <v>708.72911999999997</v>
      </c>
      <c r="P57" s="208">
        <f t="shared" si="16"/>
        <v>7.9992000000000001</v>
      </c>
      <c r="Q57" s="208">
        <f t="shared" si="16"/>
        <v>0.39995999999999998</v>
      </c>
      <c r="R57" s="208">
        <f t="shared" si="16"/>
        <v>1.5998399999999999</v>
      </c>
      <c r="S57" s="208">
        <f t="shared" si="16"/>
        <v>0</v>
      </c>
      <c r="T57" s="208">
        <f t="shared" si="16"/>
        <v>0</v>
      </c>
      <c r="U57" s="208">
        <f t="shared" si="16"/>
        <v>0</v>
      </c>
      <c r="V57" s="208">
        <f t="shared" si="16"/>
        <v>9.5990400000000003E-2</v>
      </c>
      <c r="W57" s="208">
        <f t="shared" si="16"/>
        <v>3.9996000000000004E-2</v>
      </c>
      <c r="X57" s="208">
        <f t="shared" si="16"/>
        <v>1.5198479999999999</v>
      </c>
      <c r="Y57" s="208">
        <f t="shared" si="16"/>
        <v>0.31996800000000003</v>
      </c>
      <c r="Z57" s="208">
        <f t="shared" si="16"/>
        <v>10.558943999999997</v>
      </c>
      <c r="AA57" s="208">
        <f t="shared" si="16"/>
        <v>0</v>
      </c>
      <c r="AB57" s="208">
        <f t="shared" si="16"/>
        <v>0</v>
      </c>
      <c r="AC57" s="208">
        <f t="shared" si="16"/>
        <v>33.116687999999996</v>
      </c>
      <c r="AD57" s="208">
        <f t="shared" si="16"/>
        <v>97.590239999999994</v>
      </c>
      <c r="AE57" s="208">
        <f t="shared" si="16"/>
        <v>0.7199279999999999</v>
      </c>
      <c r="AF57" s="208">
        <f t="shared" si="16"/>
        <v>0.39995999999999998</v>
      </c>
      <c r="AG57" s="208">
        <f t="shared" si="16"/>
        <v>67.993200000000002</v>
      </c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</row>
    <row r="58" spans="1:87">
      <c r="D58" s="209" t="s">
        <v>351</v>
      </c>
      <c r="J58" s="168"/>
      <c r="BR58" s="168"/>
      <c r="BS58" s="168"/>
      <c r="BT58" s="168"/>
      <c r="BU58" s="168"/>
      <c r="BV58" s="168"/>
      <c r="BW58" s="168"/>
      <c r="BX58" s="168"/>
      <c r="BY58" s="168"/>
      <c r="BZ58" s="168"/>
      <c r="CA58" s="168"/>
      <c r="CB58" s="168"/>
      <c r="CC58" s="168"/>
      <c r="CD58" s="168"/>
      <c r="CE58" s="168"/>
      <c r="CF58" s="168"/>
      <c r="CG58" s="168"/>
      <c r="CH58" s="168"/>
      <c r="CI58" s="168"/>
    </row>
    <row r="59" spans="1:87">
      <c r="D59" s="119" t="s">
        <v>352</v>
      </c>
      <c r="J59" s="168"/>
      <c r="BR59" s="168"/>
      <c r="BS59" s="168"/>
      <c r="BT59" s="168"/>
      <c r="BU59" s="168"/>
      <c r="BV59" s="168"/>
      <c r="BW59" s="168"/>
      <c r="BX59" s="168"/>
      <c r="BY59" s="168"/>
      <c r="BZ59" s="168"/>
      <c r="CA59" s="168"/>
      <c r="CB59" s="168"/>
      <c r="CC59" s="168"/>
      <c r="CD59" s="168"/>
      <c r="CE59" s="168"/>
      <c r="CF59" s="168"/>
      <c r="CG59" s="168"/>
      <c r="CH59" s="168"/>
      <c r="CI59" s="168"/>
    </row>
    <row r="60" spans="1:87">
      <c r="D60" s="119" t="s">
        <v>353</v>
      </c>
      <c r="J60" s="168"/>
      <c r="BR60" s="168"/>
      <c r="BS60" s="168"/>
      <c r="BT60" s="168"/>
      <c r="BU60" s="168"/>
      <c r="BV60" s="168"/>
      <c r="BW60" s="168"/>
      <c r="BX60" s="168"/>
      <c r="BY60" s="168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</row>
    <row r="61" spans="1:87">
      <c r="D61" s="119" t="s">
        <v>230</v>
      </c>
      <c r="E61" s="131">
        <v>2</v>
      </c>
      <c r="J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</row>
    <row r="62" spans="1:87">
      <c r="D62" s="119" t="s">
        <v>354</v>
      </c>
      <c r="E62" s="131">
        <v>2</v>
      </c>
      <c r="J62" s="168"/>
      <c r="BR62" s="168"/>
      <c r="BS62" s="168"/>
      <c r="BT62" s="168"/>
      <c r="BU62" s="168"/>
      <c r="BV62" s="168"/>
      <c r="BW62" s="168"/>
      <c r="BX62" s="168" t="s">
        <v>355</v>
      </c>
      <c r="BY62" s="168" t="s">
        <v>356</v>
      </c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</row>
    <row r="63" spans="1:87">
      <c r="D63" s="119" t="s">
        <v>357</v>
      </c>
      <c r="E63" s="131">
        <v>10</v>
      </c>
      <c r="J63" s="168"/>
      <c r="BR63" s="168"/>
      <c r="BS63" s="168"/>
      <c r="BT63" s="168"/>
      <c r="BU63" s="168"/>
      <c r="BV63" s="168"/>
      <c r="BW63" s="168"/>
      <c r="BX63" s="168"/>
      <c r="BY63" s="168" t="s">
        <v>358</v>
      </c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</row>
    <row r="64" spans="1:87">
      <c r="E64" s="131" t="s">
        <v>359</v>
      </c>
      <c r="F64" s="131" t="s">
        <v>323</v>
      </c>
      <c r="G64" s="131" t="s">
        <v>324</v>
      </c>
      <c r="H64" s="131" t="s">
        <v>325</v>
      </c>
      <c r="I64" s="168" t="s">
        <v>326</v>
      </c>
      <c r="J64" s="168" t="s">
        <v>66</v>
      </c>
      <c r="K64" s="168" t="s">
        <v>67</v>
      </c>
      <c r="L64" s="168" t="s">
        <v>71</v>
      </c>
      <c r="M64" s="168" t="s">
        <v>72</v>
      </c>
      <c r="N64" s="168" t="s">
        <v>328</v>
      </c>
      <c r="O64" s="168" t="s">
        <v>329</v>
      </c>
      <c r="P64" s="168" t="s">
        <v>330</v>
      </c>
      <c r="Q64" s="168" t="s">
        <v>287</v>
      </c>
      <c r="R64" s="168" t="s">
        <v>68</v>
      </c>
      <c r="S64" s="168" t="s">
        <v>241</v>
      </c>
      <c r="T64" s="168" t="s">
        <v>288</v>
      </c>
      <c r="U64" s="168" t="s">
        <v>289</v>
      </c>
      <c r="V64" s="168" t="s">
        <v>290</v>
      </c>
      <c r="W64" s="168" t="s">
        <v>291</v>
      </c>
      <c r="X64" s="168" t="s">
        <v>292</v>
      </c>
      <c r="Y64" s="168" t="s">
        <v>293</v>
      </c>
      <c r="Z64" s="168" t="s">
        <v>69</v>
      </c>
      <c r="AA64" s="168" t="s">
        <v>294</v>
      </c>
      <c r="AB64" s="168" t="s">
        <v>295</v>
      </c>
      <c r="AC64" s="168" t="s">
        <v>296</v>
      </c>
      <c r="AD64" s="168" t="s">
        <v>297</v>
      </c>
      <c r="AE64" s="168" t="s">
        <v>298</v>
      </c>
      <c r="AF64" s="168" t="s">
        <v>299</v>
      </c>
      <c r="AG64" s="168" t="s">
        <v>300</v>
      </c>
      <c r="BR64" s="168"/>
      <c r="BS64" s="168"/>
      <c r="BT64" s="168"/>
      <c r="BU64" s="168"/>
      <c r="BV64" s="168"/>
      <c r="BW64" s="168"/>
      <c r="BX64" s="168" t="s">
        <v>360</v>
      </c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</row>
    <row r="65" spans="1:87">
      <c r="D65" s="119" t="s">
        <v>361</v>
      </c>
      <c r="E65" s="210">
        <v>20.625</v>
      </c>
      <c r="F65" s="210">
        <v>7.25</v>
      </c>
      <c r="G65" s="210">
        <v>0.65</v>
      </c>
      <c r="H65" s="210">
        <v>0.1125</v>
      </c>
      <c r="I65" s="210">
        <v>0</v>
      </c>
      <c r="J65" s="210">
        <v>0.16250000000000001</v>
      </c>
      <c r="K65" s="210">
        <v>0.375</v>
      </c>
      <c r="L65" s="210">
        <v>7.5</v>
      </c>
      <c r="M65" s="210">
        <v>200</v>
      </c>
      <c r="N65" s="210">
        <v>0</v>
      </c>
      <c r="O65" s="210">
        <v>0</v>
      </c>
      <c r="P65" s="210">
        <v>250</v>
      </c>
      <c r="Q65" s="210">
        <v>0</v>
      </c>
      <c r="R65" s="210">
        <v>1.1000000000000001</v>
      </c>
      <c r="S65" s="210">
        <v>0.78749999999999998</v>
      </c>
      <c r="T65" s="210">
        <v>0</v>
      </c>
      <c r="U65" s="210">
        <v>0</v>
      </c>
      <c r="V65" s="210">
        <v>0.14375000000000002</v>
      </c>
      <c r="W65" s="210">
        <v>0.05</v>
      </c>
      <c r="X65" s="210">
        <v>0.40875</v>
      </c>
      <c r="Y65" s="210">
        <v>0.17500000000000002</v>
      </c>
      <c r="Z65" s="210">
        <v>145.5</v>
      </c>
      <c r="AA65" s="210">
        <v>0</v>
      </c>
      <c r="AB65" s="210">
        <v>2.0662500000000001</v>
      </c>
      <c r="AC65" s="210">
        <v>41.5</v>
      </c>
      <c r="AD65" s="210">
        <v>350</v>
      </c>
      <c r="AE65" s="210">
        <v>1.0375000000000001</v>
      </c>
      <c r="AF65" s="210">
        <v>0.23749999999999999</v>
      </c>
      <c r="AG65" s="210">
        <v>2.875</v>
      </c>
      <c r="BR65" s="168"/>
      <c r="BS65" s="168"/>
      <c r="BT65" s="168"/>
      <c r="BU65" s="168"/>
      <c r="BV65" s="168"/>
      <c r="BW65" s="168"/>
      <c r="BX65" s="168" t="s">
        <v>362</v>
      </c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</row>
    <row r="66" spans="1:87">
      <c r="D66" s="119" t="s">
        <v>363</v>
      </c>
      <c r="E66" s="210">
        <v>19.333333333333332</v>
      </c>
      <c r="F66" s="210">
        <v>7.666666666666667</v>
      </c>
      <c r="G66" s="210">
        <v>0.33333333333333331</v>
      </c>
      <c r="H66" s="210">
        <v>0.10000000000000002</v>
      </c>
      <c r="I66" s="210">
        <v>0</v>
      </c>
      <c r="J66" s="210">
        <v>0.10000000000000002</v>
      </c>
      <c r="K66" s="210">
        <v>0.13333333333333333</v>
      </c>
      <c r="L66" s="210">
        <v>8</v>
      </c>
      <c r="M66" s="210">
        <v>220</v>
      </c>
      <c r="N66" s="210">
        <v>37</v>
      </c>
      <c r="O66" s="210">
        <v>135</v>
      </c>
      <c r="P66" s="210">
        <v>24.333333333333332</v>
      </c>
      <c r="Q66" s="210">
        <v>0</v>
      </c>
      <c r="R66" s="210">
        <v>1.6666666666666667</v>
      </c>
      <c r="S66" s="210">
        <v>1.1666666666666667</v>
      </c>
      <c r="T66" s="210">
        <v>0</v>
      </c>
      <c r="U66" s="210">
        <v>0</v>
      </c>
      <c r="V66" s="210">
        <v>0.17</v>
      </c>
      <c r="W66" s="210">
        <v>5.6666666666666671E-2</v>
      </c>
      <c r="X66" s="210">
        <v>0.72666666666666657</v>
      </c>
      <c r="Y66" s="210">
        <v>0.2</v>
      </c>
      <c r="Z66" s="210">
        <v>166.79999999999998</v>
      </c>
      <c r="AA66" s="210">
        <v>0.1</v>
      </c>
      <c r="AB66" s="210">
        <v>2.0299999999999998</v>
      </c>
      <c r="AC66" s="210">
        <v>38.919375000000002</v>
      </c>
      <c r="AD66" s="210">
        <v>301</v>
      </c>
      <c r="AE66" s="210">
        <v>0.96666666666666679</v>
      </c>
      <c r="AF66" s="210">
        <v>0.35922375000000006</v>
      </c>
      <c r="AG66" s="210">
        <v>5.5</v>
      </c>
      <c r="BR66" s="168"/>
      <c r="BS66" s="168"/>
      <c r="BT66" s="168"/>
      <c r="BU66" s="168"/>
      <c r="BV66" s="168"/>
      <c r="BW66" s="168"/>
      <c r="BX66" s="168" t="s">
        <v>364</v>
      </c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</row>
    <row r="67" spans="1:87">
      <c r="D67" s="119" t="s">
        <v>365</v>
      </c>
      <c r="E67" s="210">
        <v>19.333333333333332</v>
      </c>
      <c r="F67" s="210">
        <v>7.666666666666667</v>
      </c>
      <c r="G67" s="210">
        <v>0.33333333333333331</v>
      </c>
      <c r="H67" s="210">
        <v>0.10000000000000002</v>
      </c>
      <c r="I67" s="210">
        <v>0</v>
      </c>
      <c r="J67" s="210">
        <v>0.10000000000000002</v>
      </c>
      <c r="K67" s="210">
        <v>0.13333333333333333</v>
      </c>
      <c r="L67" s="210">
        <v>3.25</v>
      </c>
      <c r="M67" s="210">
        <v>220</v>
      </c>
      <c r="N67" s="210">
        <v>37</v>
      </c>
      <c r="O67" s="210">
        <v>135</v>
      </c>
      <c r="P67" s="210">
        <v>24.333333333333332</v>
      </c>
      <c r="Q67" s="210">
        <v>0</v>
      </c>
      <c r="R67" s="210">
        <v>1.6666666666666667</v>
      </c>
      <c r="S67" s="210">
        <v>1.1666666666666667</v>
      </c>
      <c r="T67" s="210">
        <v>0</v>
      </c>
      <c r="U67" s="210">
        <v>0</v>
      </c>
      <c r="V67" s="210">
        <v>0.17</v>
      </c>
      <c r="W67" s="210">
        <v>5.6666666666666671E-2</v>
      </c>
      <c r="X67" s="210">
        <v>0.72666666666666657</v>
      </c>
      <c r="Y67" s="210">
        <v>0.2</v>
      </c>
      <c r="Z67" s="210">
        <v>166.79999999999998</v>
      </c>
      <c r="AA67" s="210">
        <v>0.1</v>
      </c>
      <c r="AB67" s="210">
        <v>2.0299999999999998</v>
      </c>
      <c r="AC67" s="210">
        <v>38.919375000000002</v>
      </c>
      <c r="AD67" s="210">
        <v>301</v>
      </c>
      <c r="AE67" s="210">
        <v>0.96666666666666679</v>
      </c>
      <c r="AF67" s="210">
        <v>0.35922375000000006</v>
      </c>
      <c r="AG67" s="210">
        <v>5.5</v>
      </c>
      <c r="BR67" s="168"/>
      <c r="BS67" s="168"/>
      <c r="BT67" s="168"/>
      <c r="BU67" s="168"/>
      <c r="BV67" s="168"/>
      <c r="BW67" s="168"/>
      <c r="BX67" s="168" t="s">
        <v>240</v>
      </c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</row>
    <row r="68" spans="1:87" s="206" customFormat="1">
      <c r="B68" s="207"/>
      <c r="C68" s="207"/>
      <c r="D68" s="207" t="s">
        <v>350</v>
      </c>
      <c r="E68" s="208">
        <f>SUMPRODUCT($E$61:$E$63,E65:E67)*0.9/SUM($E$61:E63)</f>
        <v>17.56607142857143</v>
      </c>
      <c r="F68" s="208">
        <f>SUMPRODUCT($E$61:$E$63,F65:F67)*0.9/SUM($E$61:F63)</f>
        <v>6.8464285714285724</v>
      </c>
      <c r="G68" s="208">
        <f>SUMPRODUCT($E$61:$E$63,G65:G67)*0.9/SUM($E$61:G63)</f>
        <v>0.34071428571428569</v>
      </c>
      <c r="H68" s="208">
        <f>SUMPRODUCT($E$61:$E$63,H65:H67)*0.9/SUM($E$61:H63)</f>
        <v>9.1607142857142873E-2</v>
      </c>
      <c r="I68" s="208">
        <f>SUMPRODUCT($E$61:$E$63,I65:I67)*0.9/SUM($E$61:I63)</f>
        <v>0</v>
      </c>
      <c r="J68" s="208">
        <f>SUMPRODUCT($E$61:$E$63,J65:J67)*0.9/SUM($E$61:J63)</f>
        <v>9.8035714285714309E-2</v>
      </c>
      <c r="K68" s="208">
        <f>SUMPRODUCT($E$61:$E$63,K65:K67)*0.9/SUM($E$61:K63)</f>
        <v>0.15107142857142855</v>
      </c>
      <c r="L68" s="208">
        <f>SUMPRODUCT($E$61:$E$63,L65:L67)*0.9/SUM($E$61:L63)</f>
        <v>4.0821428571428573</v>
      </c>
      <c r="M68" s="208">
        <f>SUMPRODUCT($E$61:$E$63,M65:M67)*0.9/SUM($E$61:M63)</f>
        <v>195.42857142857142</v>
      </c>
      <c r="N68" s="208">
        <f>SUMPRODUCT($E$61:$E$63,N65:N67)*0.9/SUM($E$61:N63)</f>
        <v>28.542857142857144</v>
      </c>
      <c r="O68" s="208">
        <f>SUMPRODUCT($E$61:$E$63,O65:O67)*0.9/SUM($E$61:O63)</f>
        <v>104.14285714285714</v>
      </c>
      <c r="P68" s="208">
        <f>SUMPRODUCT($E$61:$E$63,P65:P67)*0.9/SUM($E$61:P63)</f>
        <v>50.914285714285718</v>
      </c>
      <c r="Q68" s="208">
        <f>SUMPRODUCT($E$61:$E$63,Q65:Q67)*0.9/SUM($E$61:Q63)</f>
        <v>0</v>
      </c>
      <c r="R68" s="208">
        <f>SUMPRODUCT($E$61:$E$63,R65:R67)*0.9/SUM($E$61:R63)</f>
        <v>1.4271428571428575</v>
      </c>
      <c r="S68" s="208">
        <f>SUMPRODUCT($E$61:$E$63,S65:S67)*0.9/SUM($E$61:S63)</f>
        <v>1.0012500000000002</v>
      </c>
      <c r="T68" s="208">
        <f>SUMPRODUCT($E$61:$E$63,T65:T67)*0.9/SUM($E$61:T63)</f>
        <v>0</v>
      </c>
      <c r="U68" s="208">
        <f>SUMPRODUCT($E$61:$E$63,U65:U67)*0.9/SUM($E$61:U63)</f>
        <v>0</v>
      </c>
      <c r="V68" s="208">
        <f>SUMPRODUCT($E$61:$E$63,V65:V67)*0.9/SUM($E$61:V63)</f>
        <v>0.14962500000000004</v>
      </c>
      <c r="W68" s="208">
        <f>SUMPRODUCT($E$61:$E$63,W65:W67)*0.9/SUM($E$61:W63)</f>
        <v>5.0142857142857149E-2</v>
      </c>
      <c r="X68" s="208">
        <f>SUMPRODUCT($E$61:$E$63,X65:X67)*0.9/SUM($E$61:X63)</f>
        <v>0.61312499999999992</v>
      </c>
      <c r="Y68" s="208">
        <f>SUMPRODUCT($E$61:$E$63,Y65:Y67)*0.9/SUM($E$61:Y63)</f>
        <v>0.1767857142857143</v>
      </c>
      <c r="Z68" s="208">
        <f>SUMPRODUCT($E$61:$E$63,Z65:Z67)*0.9/SUM($E$61:Z63)</f>
        <v>147.38142857142856</v>
      </c>
      <c r="AA68" s="208">
        <f>SUMPRODUCT($E$61:$E$63,AA65:AA67)*0.9/SUM($E$61:AA63)</f>
        <v>7.7142857142857152E-2</v>
      </c>
      <c r="AB68" s="208">
        <f>SUMPRODUCT($E$61:$E$63,AB65:AB67)*0.9/SUM($E$61:AB63)</f>
        <v>1.8316607142857142</v>
      </c>
      <c r="AC68" s="208">
        <f>SUMPRODUCT($E$61:$E$63,AC65:AC67)*0.9/SUM($E$61:AC63)</f>
        <v>35.359232142857145</v>
      </c>
      <c r="AD68" s="208">
        <f>SUMPRODUCT($E$61:$E$63,AD65:AD67)*0.9/SUM($E$61:AD63)</f>
        <v>277.2</v>
      </c>
      <c r="AE68" s="208">
        <f>SUMPRODUCT($E$61:$E$63,AE65:AE67)*0.9/SUM($E$61:AE63)</f>
        <v>0.87910714285714298</v>
      </c>
      <c r="AF68" s="208">
        <f>SUMPRODUCT($E$61:$E$63,AF65:AF67)*0.9/SUM($E$61:AF63)</f>
        <v>0.30765117857142865</v>
      </c>
      <c r="AG68" s="208">
        <f>SUMPRODUCT($E$61:$E$63,AG65:AG67)*0.9/SUM($E$61:AG63)</f>
        <v>4.6124999999999998</v>
      </c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BR68" s="130"/>
      <c r="BS68" s="130"/>
      <c r="BT68" s="130"/>
      <c r="BU68" s="130"/>
      <c r="BV68" s="130"/>
      <c r="BW68" s="130"/>
      <c r="BX68" s="130">
        <v>6</v>
      </c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</row>
    <row r="69" spans="1:87">
      <c r="A69" s="131"/>
      <c r="D69" s="207"/>
      <c r="J69" s="168"/>
      <c r="K69" s="168"/>
      <c r="L69" s="168"/>
      <c r="M69" s="168"/>
      <c r="N69" s="168"/>
      <c r="O69" s="168"/>
      <c r="P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</row>
    <row r="70" spans="1:87">
      <c r="A70" s="131"/>
      <c r="D70" s="207"/>
      <c r="E70" s="131" t="s">
        <v>359</v>
      </c>
      <c r="F70" s="131" t="s">
        <v>323</v>
      </c>
      <c r="G70" s="131" t="s">
        <v>324</v>
      </c>
      <c r="H70" s="131" t="s">
        <v>325</v>
      </c>
      <c r="I70" s="168" t="s">
        <v>326</v>
      </c>
      <c r="J70" s="168" t="s">
        <v>66</v>
      </c>
      <c r="K70" s="168" t="s">
        <v>67</v>
      </c>
      <c r="L70" s="168" t="s">
        <v>71</v>
      </c>
      <c r="M70" s="168" t="s">
        <v>72</v>
      </c>
      <c r="N70" s="168" t="s">
        <v>328</v>
      </c>
      <c r="O70" s="168" t="s">
        <v>329</v>
      </c>
      <c r="P70" s="168" t="s">
        <v>330</v>
      </c>
      <c r="Q70" s="168" t="s">
        <v>287</v>
      </c>
      <c r="R70" s="168" t="s">
        <v>68</v>
      </c>
      <c r="S70" s="168" t="s">
        <v>241</v>
      </c>
      <c r="T70" s="168" t="s">
        <v>288</v>
      </c>
      <c r="U70" s="168" t="s">
        <v>289</v>
      </c>
      <c r="V70" s="168" t="s">
        <v>290</v>
      </c>
      <c r="W70" s="168" t="s">
        <v>291</v>
      </c>
      <c r="X70" s="168" t="s">
        <v>292</v>
      </c>
      <c r="Y70" s="168" t="s">
        <v>293</v>
      </c>
      <c r="Z70" s="168" t="s">
        <v>69</v>
      </c>
      <c r="AA70" s="168" t="s">
        <v>294</v>
      </c>
      <c r="AB70" s="168" t="s">
        <v>295</v>
      </c>
      <c r="AC70" s="168" t="s">
        <v>296</v>
      </c>
      <c r="AD70" s="168" t="s">
        <v>297</v>
      </c>
      <c r="AE70" s="168" t="s">
        <v>298</v>
      </c>
      <c r="AF70" s="168" t="s">
        <v>299</v>
      </c>
      <c r="AG70" s="168" t="s">
        <v>300</v>
      </c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</row>
    <row r="71" spans="1:87">
      <c r="A71" s="131"/>
      <c r="D71" s="209" t="s">
        <v>275</v>
      </c>
      <c r="I71" s="168"/>
      <c r="J71" s="168"/>
      <c r="K71" s="168"/>
      <c r="L71" s="168"/>
      <c r="M71" s="168"/>
      <c r="N71" s="168"/>
      <c r="O71" s="168"/>
      <c r="P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</row>
    <row r="72" spans="1:87">
      <c r="A72" s="131"/>
      <c r="D72" s="211" t="s">
        <v>366</v>
      </c>
      <c r="E72" s="131">
        <v>0.2</v>
      </c>
      <c r="F72" s="131">
        <v>3.6</v>
      </c>
      <c r="G72" s="131">
        <v>0.1</v>
      </c>
      <c r="H72" s="131">
        <v>0</v>
      </c>
      <c r="I72" s="168">
        <v>0</v>
      </c>
      <c r="J72" s="168">
        <v>0</v>
      </c>
      <c r="K72" s="168">
        <v>0</v>
      </c>
      <c r="L72" s="168">
        <v>0</v>
      </c>
      <c r="M72" s="168">
        <v>55</v>
      </c>
      <c r="N72" s="212">
        <v>0</v>
      </c>
      <c r="O72" s="212">
        <v>0</v>
      </c>
      <c r="P72" s="168">
        <v>2.2999999999999998</v>
      </c>
      <c r="Q72" s="168">
        <v>0.2</v>
      </c>
      <c r="R72" s="168">
        <v>0</v>
      </c>
      <c r="S72" s="168">
        <v>0</v>
      </c>
      <c r="T72" s="168">
        <v>0</v>
      </c>
      <c r="U72" s="168">
        <v>0</v>
      </c>
      <c r="V72" s="168">
        <v>0</v>
      </c>
      <c r="W72" s="168">
        <v>0.1</v>
      </c>
      <c r="X72" s="168">
        <v>0</v>
      </c>
      <c r="Y72" s="168">
        <v>0</v>
      </c>
      <c r="Z72" s="168">
        <v>1.3</v>
      </c>
      <c r="AA72" s="168">
        <v>0</v>
      </c>
      <c r="AB72" s="168">
        <v>0</v>
      </c>
      <c r="AC72" s="168">
        <v>3.6</v>
      </c>
      <c r="AD72" s="168">
        <v>54</v>
      </c>
      <c r="AE72" s="168">
        <v>0</v>
      </c>
      <c r="AF72" s="168">
        <v>0</v>
      </c>
      <c r="AG72" s="168">
        <v>6.6</v>
      </c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</row>
    <row r="73" spans="1:87">
      <c r="A73" s="131"/>
      <c r="D73" s="211" t="s">
        <v>367</v>
      </c>
      <c r="E73" s="131">
        <v>0.6</v>
      </c>
      <c r="F73" s="131">
        <v>2.7</v>
      </c>
      <c r="G73" s="131">
        <v>4.5</v>
      </c>
      <c r="H73" s="131">
        <v>1.6</v>
      </c>
      <c r="I73" s="168">
        <v>210</v>
      </c>
      <c r="J73" s="168">
        <v>2</v>
      </c>
      <c r="K73" s="168">
        <v>0.7</v>
      </c>
      <c r="L73" s="168">
        <v>0</v>
      </c>
      <c r="M73" s="168">
        <v>8</v>
      </c>
      <c r="N73" s="212">
        <v>39</v>
      </c>
      <c r="O73" s="212">
        <v>601</v>
      </c>
      <c r="P73" s="168">
        <v>21.9</v>
      </c>
      <c r="Q73" s="168">
        <v>0.1</v>
      </c>
      <c r="R73" s="168">
        <v>245</v>
      </c>
      <c r="S73" s="168">
        <v>0</v>
      </c>
      <c r="T73" s="168">
        <v>18</v>
      </c>
      <c r="U73" s="168">
        <v>0.4</v>
      </c>
      <c r="V73" s="168">
        <v>0</v>
      </c>
      <c r="W73" s="168">
        <v>0.1</v>
      </c>
      <c r="X73" s="168">
        <v>0.1</v>
      </c>
      <c r="Y73" s="168">
        <v>0.1</v>
      </c>
      <c r="Z73" s="168">
        <v>25</v>
      </c>
      <c r="AA73" s="168">
        <v>0.3</v>
      </c>
      <c r="AB73" s="168">
        <v>0.5</v>
      </c>
      <c r="AC73" s="168">
        <v>0</v>
      </c>
      <c r="AD73" s="168">
        <v>18</v>
      </c>
      <c r="AE73" s="168">
        <v>0.4</v>
      </c>
      <c r="AF73" s="168">
        <v>0</v>
      </c>
      <c r="AG73" s="168">
        <v>9.5</v>
      </c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</row>
    <row r="74" spans="1:87">
      <c r="A74" s="131"/>
      <c r="D74" s="211" t="s">
        <v>368</v>
      </c>
      <c r="E74" s="131">
        <v>1.2</v>
      </c>
      <c r="F74" s="131">
        <v>6</v>
      </c>
      <c r="G74" s="131">
        <v>4.3</v>
      </c>
      <c r="H74" s="131">
        <v>1.6</v>
      </c>
      <c r="I74" s="131">
        <v>212</v>
      </c>
      <c r="J74" s="131">
        <v>2</v>
      </c>
      <c r="K74" s="131">
        <v>0.7</v>
      </c>
      <c r="L74" s="131">
        <v>0</v>
      </c>
      <c r="M74" s="131">
        <v>62</v>
      </c>
      <c r="N74" s="131">
        <v>37</v>
      </c>
      <c r="O74" s="131">
        <v>572</v>
      </c>
      <c r="P74" s="131">
        <v>25</v>
      </c>
      <c r="Q74" s="131">
        <v>0</v>
      </c>
      <c r="R74" s="131">
        <v>85</v>
      </c>
      <c r="S74" s="131">
        <v>0</v>
      </c>
      <c r="T74" s="131">
        <v>17</v>
      </c>
      <c r="U74" s="131">
        <v>0.5</v>
      </c>
      <c r="V74" s="131">
        <v>0.02</v>
      </c>
      <c r="W74" s="131">
        <v>0.25</v>
      </c>
      <c r="X74" s="131">
        <v>0.02</v>
      </c>
      <c r="Y74" s="131">
        <v>0.1</v>
      </c>
      <c r="Z74" s="131">
        <v>18</v>
      </c>
      <c r="AA74" s="131">
        <v>0.6</v>
      </c>
      <c r="AB74" s="131">
        <v>0.6</v>
      </c>
      <c r="AC74" s="131">
        <v>5</v>
      </c>
      <c r="AD74" s="131">
        <v>63</v>
      </c>
      <c r="AE74" s="131">
        <v>0.5</v>
      </c>
      <c r="AF74" s="131">
        <v>26.5</v>
      </c>
      <c r="AG74" s="131">
        <v>16</v>
      </c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</row>
    <row r="75" spans="1:87">
      <c r="A75" s="131"/>
      <c r="D75" s="211" t="s">
        <v>369</v>
      </c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</row>
    <row r="76" spans="1:87">
      <c r="A76" s="131"/>
      <c r="D76" s="207" t="s">
        <v>350</v>
      </c>
      <c r="E76" s="131">
        <v>1.2</v>
      </c>
      <c r="F76" s="131">
        <v>6</v>
      </c>
      <c r="G76" s="131">
        <v>4.3</v>
      </c>
      <c r="H76" s="131">
        <v>1.6</v>
      </c>
      <c r="I76" s="131">
        <v>212</v>
      </c>
      <c r="J76" s="131">
        <v>2</v>
      </c>
      <c r="K76" s="131">
        <v>0.7</v>
      </c>
      <c r="L76" s="131">
        <v>0</v>
      </c>
      <c r="M76" s="131">
        <v>62</v>
      </c>
      <c r="N76" s="131">
        <v>37</v>
      </c>
      <c r="O76" s="131">
        <v>572</v>
      </c>
      <c r="P76" s="131">
        <v>25</v>
      </c>
      <c r="Q76" s="131">
        <v>0</v>
      </c>
      <c r="R76" s="131">
        <v>85</v>
      </c>
      <c r="S76" s="131">
        <v>0</v>
      </c>
      <c r="T76" s="131">
        <v>17</v>
      </c>
      <c r="U76" s="131">
        <v>0.5</v>
      </c>
      <c r="V76" s="131">
        <v>0.02</v>
      </c>
      <c r="W76" s="131">
        <v>0.25</v>
      </c>
      <c r="X76" s="131">
        <v>0.02</v>
      </c>
      <c r="Y76" s="131">
        <v>0.1</v>
      </c>
      <c r="Z76" s="131">
        <v>18</v>
      </c>
      <c r="AA76" s="131">
        <v>0.6</v>
      </c>
      <c r="AB76" s="131">
        <v>0.6</v>
      </c>
      <c r="AC76" s="131">
        <v>5</v>
      </c>
      <c r="AD76" s="131">
        <v>63</v>
      </c>
      <c r="AE76" s="131">
        <v>0.5</v>
      </c>
      <c r="AF76" s="131">
        <v>26.5</v>
      </c>
      <c r="AG76" s="131">
        <v>16</v>
      </c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</row>
    <row r="77" spans="1:87">
      <c r="A77" s="131"/>
      <c r="D77" s="207"/>
      <c r="I77" s="168"/>
      <c r="J77" s="168"/>
      <c r="K77" s="168"/>
      <c r="L77" s="168"/>
      <c r="M77" s="168"/>
      <c r="N77" s="212"/>
      <c r="O77" s="212"/>
      <c r="P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</row>
    <row r="78" spans="1:87">
      <c r="A78" s="131"/>
      <c r="D78" s="209" t="s">
        <v>370</v>
      </c>
      <c r="E78" s="131" t="s">
        <v>359</v>
      </c>
      <c r="F78" s="131" t="s">
        <v>323</v>
      </c>
      <c r="G78" s="131" t="s">
        <v>324</v>
      </c>
      <c r="H78" s="131" t="s">
        <v>325</v>
      </c>
      <c r="I78" s="168" t="s">
        <v>326</v>
      </c>
      <c r="J78" s="168" t="s">
        <v>66</v>
      </c>
      <c r="K78" s="168" t="s">
        <v>67</v>
      </c>
      <c r="L78" s="168" t="s">
        <v>71</v>
      </c>
      <c r="M78" s="168" t="s">
        <v>72</v>
      </c>
      <c r="N78" s="168" t="s">
        <v>328</v>
      </c>
      <c r="O78" s="168" t="s">
        <v>329</v>
      </c>
      <c r="P78" s="168" t="s">
        <v>330</v>
      </c>
      <c r="Q78" s="168" t="s">
        <v>287</v>
      </c>
      <c r="R78" s="168" t="s">
        <v>68</v>
      </c>
      <c r="S78" s="168" t="s">
        <v>241</v>
      </c>
      <c r="T78" s="168" t="s">
        <v>288</v>
      </c>
      <c r="U78" s="168" t="s">
        <v>289</v>
      </c>
      <c r="V78" s="168" t="s">
        <v>290</v>
      </c>
      <c r="W78" s="168" t="s">
        <v>291</v>
      </c>
      <c r="X78" s="168" t="s">
        <v>292</v>
      </c>
      <c r="Y78" s="168" t="s">
        <v>293</v>
      </c>
      <c r="Z78" s="168" t="s">
        <v>69</v>
      </c>
      <c r="AA78" s="168" t="s">
        <v>294</v>
      </c>
      <c r="AB78" s="168" t="s">
        <v>295</v>
      </c>
      <c r="AC78" s="168" t="s">
        <v>296</v>
      </c>
      <c r="AD78" s="168" t="s">
        <v>297</v>
      </c>
      <c r="AE78" s="168" t="s">
        <v>298</v>
      </c>
      <c r="AF78" s="168" t="s">
        <v>299</v>
      </c>
      <c r="AG78" s="168" t="s">
        <v>300</v>
      </c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8"/>
      <c r="CC78" s="168"/>
      <c r="CD78" s="168"/>
      <c r="CE78" s="168"/>
      <c r="CF78" s="168"/>
      <c r="CG78" s="168"/>
      <c r="CH78" s="168"/>
      <c r="CI78" s="168"/>
    </row>
    <row r="79" spans="1:87">
      <c r="A79" s="131"/>
      <c r="D79" s="119" t="s">
        <v>371</v>
      </c>
      <c r="E79" s="131">
        <v>2</v>
      </c>
      <c r="F79" s="131">
        <v>9.1999999999999993</v>
      </c>
      <c r="G79" s="131">
        <v>4.8</v>
      </c>
      <c r="H79" s="131">
        <v>0.8</v>
      </c>
      <c r="J79" s="131">
        <v>1.2</v>
      </c>
      <c r="K79" s="190">
        <v>2</v>
      </c>
      <c r="L79" s="131">
        <v>1.2</v>
      </c>
      <c r="M79" s="131">
        <v>4</v>
      </c>
      <c r="N79" s="131">
        <v>202</v>
      </c>
      <c r="O79" s="131">
        <v>1796</v>
      </c>
      <c r="P79" s="131">
        <v>225</v>
      </c>
      <c r="Q79" s="131">
        <v>0.8</v>
      </c>
      <c r="R79" s="131">
        <v>0</v>
      </c>
      <c r="S79" s="131">
        <v>0.4</v>
      </c>
      <c r="T79" s="131">
        <v>0</v>
      </c>
      <c r="U79" s="131">
        <v>0</v>
      </c>
      <c r="V79" s="192">
        <v>0</v>
      </c>
      <c r="W79" s="192">
        <v>0</v>
      </c>
      <c r="X79" s="192">
        <v>0</v>
      </c>
      <c r="Y79" s="192">
        <v>0</v>
      </c>
      <c r="Z79" s="192">
        <v>21.2</v>
      </c>
      <c r="AA79" s="192">
        <v>0</v>
      </c>
      <c r="AB79" s="192">
        <v>2</v>
      </c>
      <c r="AC79" s="192">
        <v>41.6</v>
      </c>
      <c r="AD79" s="192">
        <v>165.6</v>
      </c>
      <c r="AE79" s="193">
        <v>0.8</v>
      </c>
      <c r="AF79" s="168">
        <v>0.4</v>
      </c>
      <c r="AG79" s="168">
        <v>11.2</v>
      </c>
      <c r="BR79" s="168"/>
      <c r="BS79" s="168"/>
      <c r="BT79" s="168"/>
      <c r="BU79" s="168"/>
      <c r="BV79" s="168"/>
      <c r="BW79" s="168"/>
      <c r="BX79" s="168"/>
      <c r="BY79" s="168"/>
      <c r="BZ79" s="168"/>
      <c r="CA79" s="168"/>
      <c r="CB79" s="168"/>
      <c r="CC79" s="168"/>
      <c r="CD79" s="168"/>
      <c r="CE79" s="168"/>
      <c r="CF79" s="168"/>
      <c r="CG79" s="168"/>
      <c r="CH79" s="168"/>
      <c r="CI79" s="168"/>
    </row>
    <row r="80" spans="1:87">
      <c r="A80" s="131"/>
      <c r="D80" s="119" t="s">
        <v>372</v>
      </c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</row>
    <row r="81" spans="1:87">
      <c r="A81" s="131"/>
      <c r="D81" s="119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</row>
    <row r="82" spans="1:87">
      <c r="D82" s="209" t="s">
        <v>373</v>
      </c>
      <c r="F82" s="125"/>
      <c r="J82" s="213"/>
      <c r="K82" s="168"/>
      <c r="L82" s="168"/>
      <c r="M82" s="168"/>
      <c r="N82" s="168"/>
      <c r="O82" s="168"/>
      <c r="P82" s="168"/>
      <c r="BR82" s="168"/>
      <c r="BS82" s="168"/>
      <c r="BT82" s="168"/>
      <c r="BU82" s="168"/>
      <c r="BV82" s="168"/>
      <c r="BW82" s="168"/>
      <c r="BX82" s="168" t="s">
        <v>374</v>
      </c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</row>
    <row r="83" spans="1:87" s="168" customFormat="1">
      <c r="B83" s="182"/>
      <c r="C83" s="182"/>
      <c r="D83" s="124" t="s">
        <v>375</v>
      </c>
      <c r="E83" s="1">
        <f>E19</f>
        <v>3</v>
      </c>
      <c r="F83" s="214"/>
    </row>
    <row r="84" spans="1:87" s="168" customFormat="1">
      <c r="B84" s="182"/>
      <c r="C84" s="182"/>
      <c r="D84" s="120" t="s">
        <v>376</v>
      </c>
      <c r="E84" s="1">
        <f>E83*7</f>
        <v>21</v>
      </c>
      <c r="F84" s="214"/>
    </row>
    <row r="85" spans="1:87" s="168" customFormat="1" ht="60">
      <c r="B85" s="182"/>
      <c r="C85" s="182"/>
      <c r="D85" s="124" t="s">
        <v>377</v>
      </c>
      <c r="E85" s="312">
        <f>'I&amp;O'!E103</f>
        <v>21</v>
      </c>
      <c r="F85" s="12"/>
    </row>
    <row r="86" spans="1:87" s="168" customFormat="1">
      <c r="B86" s="182"/>
      <c r="C86" s="182"/>
      <c r="D86" s="215" t="s">
        <v>378</v>
      </c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216"/>
      <c r="AD86" s="216"/>
      <c r="AE86" s="190"/>
      <c r="AF86" s="216"/>
      <c r="AG86" s="216"/>
      <c r="AH86" s="190"/>
      <c r="AI86" s="217"/>
      <c r="AJ86" s="190"/>
      <c r="AK86" s="190"/>
    </row>
    <row r="87" spans="1:87" s="168" customFormat="1">
      <c r="B87" s="182"/>
      <c r="C87" s="182"/>
      <c r="D87" s="218"/>
      <c r="E87" s="219">
        <v>1000</v>
      </c>
      <c r="F87" s="220">
        <v>1200</v>
      </c>
      <c r="G87" s="221">
        <v>1400</v>
      </c>
      <c r="H87" s="221">
        <v>1600</v>
      </c>
      <c r="I87" s="221">
        <v>1800</v>
      </c>
      <c r="J87" s="221">
        <v>2000</v>
      </c>
      <c r="K87" s="221">
        <v>2200</v>
      </c>
      <c r="L87" s="221">
        <v>2400</v>
      </c>
      <c r="M87" s="221">
        <v>2600</v>
      </c>
      <c r="N87" s="221">
        <v>2800</v>
      </c>
      <c r="O87" s="221">
        <v>3000</v>
      </c>
      <c r="P87" s="221">
        <v>3200</v>
      </c>
      <c r="Q87" s="221"/>
      <c r="R87" s="222"/>
      <c r="S87" s="223"/>
      <c r="T87" s="223"/>
      <c r="U87" s="223"/>
      <c r="V87" s="223"/>
      <c r="W87" s="223"/>
      <c r="X87" s="223"/>
      <c r="Y87" s="223"/>
      <c r="Z87" s="223"/>
      <c r="AA87" s="223"/>
      <c r="AB87" s="223"/>
      <c r="AC87" s="223"/>
      <c r="AD87" s="223"/>
      <c r="AE87" s="223"/>
      <c r="AF87" s="223"/>
      <c r="AG87" s="223"/>
      <c r="AH87" s="223"/>
      <c r="AI87" s="223"/>
      <c r="AJ87" s="223"/>
      <c r="AK87" s="223"/>
    </row>
    <row r="88" spans="1:87" s="168" customFormat="1">
      <c r="B88" s="182"/>
      <c r="C88" s="182"/>
      <c r="D88" s="218" t="s">
        <v>39</v>
      </c>
      <c r="E88" s="219">
        <v>3</v>
      </c>
      <c r="F88" s="220">
        <v>3</v>
      </c>
      <c r="G88" s="221">
        <v>3</v>
      </c>
      <c r="H88" s="221">
        <v>8</v>
      </c>
      <c r="I88" s="221">
        <v>8</v>
      </c>
      <c r="J88" s="221">
        <v>8</v>
      </c>
      <c r="K88" s="221">
        <v>8</v>
      </c>
      <c r="L88" s="221">
        <v>8</v>
      </c>
      <c r="M88" s="221">
        <v>8</v>
      </c>
      <c r="N88" s="221">
        <v>8</v>
      </c>
      <c r="O88" s="221">
        <v>8</v>
      </c>
      <c r="P88" s="221">
        <v>8</v>
      </c>
      <c r="Q88" s="221"/>
      <c r="R88" s="221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223"/>
      <c r="AE88" s="223"/>
      <c r="AF88" s="223"/>
      <c r="AG88" s="223"/>
      <c r="AH88" s="223"/>
      <c r="AI88" s="223"/>
      <c r="AJ88" s="223"/>
      <c r="AK88" s="223"/>
    </row>
    <row r="89" spans="1:87" s="168" customFormat="1">
      <c r="B89" s="182"/>
      <c r="C89" s="182"/>
      <c r="D89" s="218" t="s">
        <v>59</v>
      </c>
      <c r="E89" s="219">
        <v>3</v>
      </c>
      <c r="F89" s="220">
        <v>5</v>
      </c>
      <c r="G89" s="221">
        <v>6</v>
      </c>
      <c r="H89" s="221">
        <v>8</v>
      </c>
      <c r="I89" s="221">
        <v>8</v>
      </c>
      <c r="J89" s="221">
        <v>8</v>
      </c>
      <c r="K89" s="221">
        <v>8</v>
      </c>
      <c r="L89" s="221">
        <v>9</v>
      </c>
      <c r="M89" s="221">
        <v>10</v>
      </c>
      <c r="N89" s="221">
        <v>11</v>
      </c>
      <c r="O89" s="221">
        <v>11</v>
      </c>
      <c r="P89" s="221">
        <v>11</v>
      </c>
      <c r="Q89" s="221"/>
      <c r="R89" s="221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23"/>
      <c r="AD89" s="223"/>
      <c r="AE89" s="223"/>
      <c r="AF89" s="223"/>
      <c r="AG89" s="223"/>
      <c r="AH89" s="223"/>
      <c r="AI89" s="223"/>
      <c r="AJ89" s="223"/>
      <c r="AK89" s="223"/>
    </row>
    <row r="90" spans="1:87" s="168" customFormat="1">
      <c r="B90" s="182"/>
      <c r="C90" s="182"/>
      <c r="D90" s="218" t="s">
        <v>60</v>
      </c>
      <c r="E90" s="219">
        <v>5</v>
      </c>
      <c r="F90" s="220">
        <v>5</v>
      </c>
      <c r="G90" s="221">
        <v>6</v>
      </c>
      <c r="H90" s="221">
        <v>8</v>
      </c>
      <c r="I90" s="221">
        <v>8</v>
      </c>
      <c r="J90" s="221">
        <v>8</v>
      </c>
      <c r="K90" s="221">
        <v>9</v>
      </c>
      <c r="L90" s="221">
        <v>9</v>
      </c>
      <c r="M90" s="221">
        <v>10</v>
      </c>
      <c r="N90" s="221">
        <v>10</v>
      </c>
      <c r="O90" s="221">
        <v>10</v>
      </c>
      <c r="P90" s="221">
        <v>11</v>
      </c>
      <c r="Q90" s="221"/>
      <c r="R90" s="221"/>
      <c r="S90" s="223"/>
      <c r="T90" s="223"/>
      <c r="U90" s="223"/>
      <c r="V90" s="223"/>
      <c r="W90" s="223"/>
      <c r="X90" s="223"/>
      <c r="Y90" s="223"/>
      <c r="Z90" s="223"/>
      <c r="AA90" s="223"/>
      <c r="AB90" s="223"/>
      <c r="AC90" s="223"/>
      <c r="AD90" s="223"/>
      <c r="AE90" s="223"/>
      <c r="AF90" s="223"/>
      <c r="AG90" s="223"/>
      <c r="AH90" s="223"/>
      <c r="AI90" s="223"/>
      <c r="AJ90" s="223"/>
      <c r="AK90" s="223"/>
    </row>
    <row r="91" spans="1:87" s="168" customFormat="1">
      <c r="B91" s="182"/>
      <c r="C91" s="182"/>
      <c r="D91" s="215" t="s">
        <v>379</v>
      </c>
      <c r="E91" s="219">
        <v>1000</v>
      </c>
      <c r="F91" s="220">
        <v>1200</v>
      </c>
      <c r="G91" s="221">
        <v>1400</v>
      </c>
      <c r="H91" s="221">
        <v>1600</v>
      </c>
      <c r="I91" s="221">
        <v>1800</v>
      </c>
      <c r="J91" s="221">
        <v>2000</v>
      </c>
      <c r="K91" s="221">
        <v>2200</v>
      </c>
      <c r="L91" s="221">
        <v>2400</v>
      </c>
      <c r="M91" s="221">
        <v>2600</v>
      </c>
      <c r="N91" s="221">
        <v>2800</v>
      </c>
      <c r="O91" s="221">
        <v>3000</v>
      </c>
      <c r="P91" s="221">
        <v>3200</v>
      </c>
      <c r="Q91" s="221"/>
      <c r="R91" s="221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  <c r="AF91" s="223"/>
      <c r="AG91" s="223"/>
      <c r="AH91" s="223"/>
      <c r="AI91" s="223"/>
      <c r="AJ91" s="223"/>
      <c r="AK91" s="223"/>
    </row>
    <row r="92" spans="1:87" s="168" customFormat="1">
      <c r="B92" s="182"/>
      <c r="C92" s="182"/>
      <c r="D92" s="224" t="s">
        <v>39</v>
      </c>
      <c r="E92" s="225">
        <v>1</v>
      </c>
      <c r="F92" s="225">
        <v>2</v>
      </c>
      <c r="G92" s="225">
        <v>3</v>
      </c>
      <c r="H92" s="225">
        <v>3</v>
      </c>
      <c r="I92" s="225">
        <v>4</v>
      </c>
      <c r="J92" s="225">
        <v>4</v>
      </c>
      <c r="K92" s="225">
        <v>4</v>
      </c>
      <c r="L92" s="225">
        <v>4</v>
      </c>
      <c r="M92" s="225">
        <v>4</v>
      </c>
      <c r="N92" s="225">
        <v>4</v>
      </c>
      <c r="O92" s="225">
        <v>4</v>
      </c>
      <c r="P92" s="225">
        <v>4</v>
      </c>
      <c r="Q92" s="221"/>
      <c r="R92" s="221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</row>
    <row r="93" spans="1:87" s="168" customFormat="1">
      <c r="B93" s="182"/>
      <c r="C93" s="182"/>
      <c r="D93" s="218" t="s">
        <v>59</v>
      </c>
      <c r="E93" s="219">
        <v>1</v>
      </c>
      <c r="F93" s="219">
        <v>2</v>
      </c>
      <c r="G93" s="219">
        <v>3</v>
      </c>
      <c r="H93" s="219">
        <v>3</v>
      </c>
      <c r="I93" s="219">
        <v>3</v>
      </c>
      <c r="J93" s="219">
        <v>3</v>
      </c>
      <c r="K93" s="219">
        <v>4</v>
      </c>
      <c r="L93" s="219">
        <v>4</v>
      </c>
      <c r="M93" s="219">
        <v>5</v>
      </c>
      <c r="N93" s="219">
        <v>5</v>
      </c>
      <c r="O93" s="219">
        <v>6</v>
      </c>
      <c r="P93" s="219">
        <v>6</v>
      </c>
      <c r="Q93" s="221"/>
      <c r="R93" s="221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</row>
    <row r="94" spans="1:87" s="168" customFormat="1">
      <c r="B94" s="182"/>
      <c r="C94" s="182"/>
      <c r="D94" s="218" t="s">
        <v>60</v>
      </c>
      <c r="E94" s="219">
        <v>1</v>
      </c>
      <c r="F94" s="219">
        <v>2</v>
      </c>
      <c r="G94" s="219">
        <v>3</v>
      </c>
      <c r="H94" s="219">
        <v>3</v>
      </c>
      <c r="I94" s="219">
        <v>3</v>
      </c>
      <c r="J94" s="219">
        <v>3</v>
      </c>
      <c r="K94" s="219">
        <v>3.5</v>
      </c>
      <c r="L94" s="219">
        <v>3.5</v>
      </c>
      <c r="M94" s="219">
        <v>4</v>
      </c>
      <c r="N94" s="219">
        <v>4</v>
      </c>
      <c r="O94" s="219">
        <v>4.5</v>
      </c>
      <c r="P94" s="219">
        <v>4.5</v>
      </c>
      <c r="Q94" s="221"/>
      <c r="R94" s="221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</row>
    <row r="95" spans="1:87" s="168" customFormat="1">
      <c r="B95" s="182"/>
      <c r="C95" s="182"/>
      <c r="D95" s="218" t="s">
        <v>465</v>
      </c>
      <c r="E95" s="230">
        <f>LOOKUP('I&amp;O'!$C$28,$E$87:$P$87,E88:P88)/2</f>
        <v>4</v>
      </c>
      <c r="F95" s="230">
        <f>LOOKUP('I&amp;O'!$C$28,$E$87:$P$87,E89:P89)/2</f>
        <v>5.5</v>
      </c>
      <c r="G95" s="230">
        <f>LOOKUP('I&amp;O'!$C$28,$E$87:$P$87,E90:P90)/2</f>
        <v>5</v>
      </c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</row>
    <row r="96" spans="1:87" s="168" customFormat="1">
      <c r="B96" s="182"/>
      <c r="C96" s="182"/>
      <c r="D96" s="115"/>
      <c r="E96" s="115" t="s">
        <v>39</v>
      </c>
      <c r="F96" s="3" t="s">
        <v>59</v>
      </c>
      <c r="G96" t="s">
        <v>60</v>
      </c>
    </row>
    <row r="97" spans="1:87" s="168" customFormat="1">
      <c r="B97" s="182"/>
      <c r="C97" s="182"/>
      <c r="D97" s="199" t="s">
        <v>380</v>
      </c>
      <c r="E97">
        <f>E84</f>
        <v>21</v>
      </c>
      <c r="F97" s="3">
        <f>E84</f>
        <v>21</v>
      </c>
      <c r="G97" s="226">
        <f>E84</f>
        <v>21</v>
      </c>
      <c r="H97" s="115"/>
      <c r="I97" s="115"/>
      <c r="J97" s="115"/>
    </row>
    <row r="98" spans="1:87" s="168" customFormat="1">
      <c r="B98" s="182"/>
      <c r="C98" s="182"/>
      <c r="D98" s="227" t="s">
        <v>381</v>
      </c>
      <c r="E98" s="317">
        <f>'I&amp;O'!E111</f>
        <v>6</v>
      </c>
      <c r="F98" s="317">
        <f>'I&amp;O'!F111</f>
        <v>5.5714285714285712</v>
      </c>
      <c r="G98" s="317">
        <f>'I&amp;O'!G111</f>
        <v>5.7142857142857135</v>
      </c>
      <c r="H98" s="228"/>
      <c r="I98" s="229"/>
      <c r="J98" s="229"/>
    </row>
    <row r="99" spans="1:87" s="168" customFormat="1">
      <c r="B99" s="182"/>
      <c r="C99" s="182"/>
      <c r="D99" s="197" t="s">
        <v>228</v>
      </c>
      <c r="E99" s="262">
        <f>'I&amp;O'!E112</f>
        <v>4</v>
      </c>
      <c r="F99" s="262">
        <f>'I&amp;O'!F112</f>
        <v>5.5</v>
      </c>
      <c r="G99" s="262">
        <f>'I&amp;O'!G112</f>
        <v>5</v>
      </c>
      <c r="H99" s="231"/>
      <c r="I99" s="231"/>
      <c r="J99" s="231"/>
    </row>
    <row r="100" spans="1:87" s="168" customFormat="1">
      <c r="B100" s="182"/>
      <c r="C100" s="182"/>
      <c r="D100" s="197" t="s">
        <v>229</v>
      </c>
      <c r="E100" s="317">
        <f>'I&amp;O'!E113</f>
        <v>4</v>
      </c>
      <c r="F100" s="317">
        <f>'I&amp;O'!F113</f>
        <v>3.7142857142857144</v>
      </c>
      <c r="G100" s="317">
        <f>'I&amp;O'!G113</f>
        <v>3.8095238095238093</v>
      </c>
      <c r="H100" s="229"/>
      <c r="I100" s="232"/>
      <c r="J100" s="232"/>
    </row>
    <row r="101" spans="1:87" s="168" customFormat="1">
      <c r="B101" s="182"/>
      <c r="C101" s="182"/>
      <c r="D101" s="197" t="s">
        <v>382</v>
      </c>
      <c r="E101" s="317">
        <f>'I&amp;O'!E114</f>
        <v>7</v>
      </c>
      <c r="F101" s="317">
        <f>'I&amp;O'!F114</f>
        <v>6.2142857142857144</v>
      </c>
      <c r="G101" s="317">
        <f>'I&amp;O'!G114</f>
        <v>6.4761904761904772</v>
      </c>
      <c r="H101" s="229"/>
      <c r="I101" s="232"/>
      <c r="J101" s="232"/>
    </row>
    <row r="102" spans="1:87" s="168" customFormat="1">
      <c r="B102" s="182"/>
      <c r="C102" s="182"/>
      <c r="D102" s="119" t="s">
        <v>383</v>
      </c>
      <c r="E102" s="317">
        <f>'I&amp;O'!E115</f>
        <v>0</v>
      </c>
      <c r="F102" s="317">
        <f>'I&amp;O'!F115</f>
        <v>0</v>
      </c>
      <c r="G102" s="317">
        <f>'I&amp;O'!G115</f>
        <v>0</v>
      </c>
      <c r="H102" s="229"/>
      <c r="I102" s="232"/>
      <c r="J102" s="232"/>
    </row>
    <row r="103" spans="1:87" s="168" customFormat="1">
      <c r="B103" s="182"/>
      <c r="C103" s="182"/>
      <c r="D103" s="119" t="s">
        <v>384</v>
      </c>
      <c r="E103" s="317">
        <f>'I&amp;O'!E116</f>
        <v>0</v>
      </c>
      <c r="F103" s="317">
        <f>'I&amp;O'!F116</f>
        <v>0</v>
      </c>
      <c r="G103" s="317">
        <f>'I&amp;O'!G116</f>
        <v>0</v>
      </c>
      <c r="H103" s="229"/>
      <c r="I103" s="232"/>
      <c r="J103" s="232"/>
    </row>
    <row r="104" spans="1:87" s="168" customFormat="1">
      <c r="B104" s="182"/>
      <c r="C104" s="182"/>
      <c r="D104" s="197" t="s">
        <v>385</v>
      </c>
      <c r="E104" s="281">
        <f>E97-SUM(E98:E103)</f>
        <v>0</v>
      </c>
      <c r="F104" s="281">
        <f t="shared" ref="F104:G104" si="17">F97-SUM(F98:F103)</f>
        <v>0</v>
      </c>
      <c r="G104" s="281">
        <f t="shared" si="17"/>
        <v>0</v>
      </c>
    </row>
    <row r="105" spans="1:87" s="168" customFormat="1">
      <c r="B105" s="182"/>
      <c r="C105" s="182"/>
      <c r="D105" s="197" t="s">
        <v>466</v>
      </c>
      <c r="E105" s="318">
        <f>LOOKUP('I&amp;O'!$C$28,'Basic diet cal'!$E$91:$P$91,'Basic diet cal'!E92:P92)</f>
        <v>4</v>
      </c>
      <c r="F105" s="318">
        <f>LOOKUP('I&amp;O'!$C$28,'Basic diet cal'!$E$91:$P$91,'Basic diet cal'!E93:P93)</f>
        <v>6</v>
      </c>
      <c r="G105" s="318">
        <f>LOOKUP('I&amp;O'!$C$28,'Basic diet cal'!$E$91:$P$91,'Basic diet cal'!E94:P94)</f>
        <v>4.5</v>
      </c>
    </row>
    <row r="106" spans="1:87">
      <c r="D106" s="227" t="s">
        <v>381</v>
      </c>
      <c r="E106" s="229">
        <f t="shared" ref="E106:G112" si="18">E98/E$97</f>
        <v>0.2857142857142857</v>
      </c>
      <c r="F106" s="229">
        <f t="shared" si="18"/>
        <v>0.26530612244897955</v>
      </c>
      <c r="G106" s="229">
        <f t="shared" si="18"/>
        <v>0.27210884353741494</v>
      </c>
      <c r="H106" s="125"/>
      <c r="I106" s="229"/>
      <c r="K106" s="168"/>
      <c r="L106" s="168"/>
      <c r="M106" s="168"/>
      <c r="N106" s="168"/>
      <c r="O106" s="168"/>
      <c r="P106" s="168"/>
      <c r="BR106" s="168"/>
      <c r="BS106" s="168"/>
      <c r="BT106" s="168"/>
      <c r="BU106" s="168"/>
      <c r="BV106" s="168"/>
      <c r="BW106" s="168"/>
      <c r="BX106" s="168"/>
      <c r="BY106" s="168" t="s">
        <v>386</v>
      </c>
      <c r="BZ106" s="168"/>
      <c r="CA106" s="168"/>
      <c r="CB106" s="168"/>
      <c r="CC106" s="168"/>
      <c r="CD106" s="168"/>
      <c r="CE106" s="168"/>
      <c r="CF106" s="168"/>
      <c r="CG106" s="168"/>
      <c r="CH106" s="168"/>
      <c r="CI106" s="168"/>
    </row>
    <row r="107" spans="1:87">
      <c r="D107" s="197" t="s">
        <v>228</v>
      </c>
      <c r="E107" s="229">
        <f t="shared" ref="E107:G107" si="19">E99/E$97</f>
        <v>0.19047619047619047</v>
      </c>
      <c r="F107" s="229">
        <f t="shared" si="19"/>
        <v>0.26190476190476192</v>
      </c>
      <c r="G107" s="229">
        <f t="shared" si="19"/>
        <v>0.23809523809523808</v>
      </c>
      <c r="H107" s="233"/>
      <c r="I107" s="229"/>
      <c r="K107" s="168"/>
      <c r="L107" s="168"/>
      <c r="M107" s="168"/>
      <c r="N107" s="168"/>
      <c r="O107" s="168"/>
      <c r="P107" s="168"/>
      <c r="BR107" s="168"/>
      <c r="BS107" s="168"/>
      <c r="BT107" s="168"/>
      <c r="BU107" s="168"/>
      <c r="BV107" s="168"/>
      <c r="BW107" s="168"/>
      <c r="BX107" s="168"/>
      <c r="BY107" s="168" t="s">
        <v>387</v>
      </c>
      <c r="BZ107" s="168"/>
      <c r="CA107" s="168"/>
      <c r="CB107" s="168"/>
      <c r="CC107" s="168"/>
      <c r="CD107" s="168"/>
      <c r="CE107" s="168"/>
      <c r="CF107" s="168"/>
      <c r="CG107" s="168"/>
      <c r="CH107" s="168"/>
      <c r="CI107" s="168"/>
    </row>
    <row r="108" spans="1:87">
      <c r="D108" s="197" t="s">
        <v>229</v>
      </c>
      <c r="E108" s="229">
        <f t="shared" ref="E108:G108" si="20">E100/E$97</f>
        <v>0.19047619047619047</v>
      </c>
      <c r="F108" s="229">
        <f t="shared" si="20"/>
        <v>0.17687074829931973</v>
      </c>
      <c r="G108" s="229">
        <f t="shared" si="20"/>
        <v>0.18140589569160998</v>
      </c>
      <c r="H108" s="233"/>
      <c r="I108" s="234"/>
      <c r="K108" s="168"/>
      <c r="L108" s="168"/>
      <c r="M108" s="168"/>
      <c r="N108" s="168"/>
      <c r="O108" s="168"/>
      <c r="P108" s="168"/>
      <c r="BR108" s="168"/>
      <c r="BS108" s="168"/>
      <c r="BT108" s="168"/>
      <c r="BU108" s="168"/>
      <c r="BV108" s="168"/>
      <c r="BW108" s="168"/>
      <c r="BX108" s="168"/>
      <c r="BY108" s="168" t="s">
        <v>388</v>
      </c>
      <c r="BZ108" s="168"/>
      <c r="CA108" s="168"/>
      <c r="CB108" s="168"/>
      <c r="CC108" s="168"/>
      <c r="CD108" s="168"/>
      <c r="CE108" s="168"/>
      <c r="CF108" s="168"/>
      <c r="CG108" s="168"/>
      <c r="CH108" s="168"/>
      <c r="CI108" s="168"/>
    </row>
    <row r="109" spans="1:87">
      <c r="D109" s="197" t="s">
        <v>382</v>
      </c>
      <c r="E109" s="229">
        <f t="shared" ref="E109:G109" si="21">E101/E$97</f>
        <v>0.33333333333333331</v>
      </c>
      <c r="F109" s="229">
        <f t="shared" si="21"/>
        <v>0.29591836734693877</v>
      </c>
      <c r="G109" s="229">
        <f t="shared" si="21"/>
        <v>0.30839002267573701</v>
      </c>
      <c r="H109" s="233"/>
      <c r="I109" s="235"/>
      <c r="K109" s="168"/>
      <c r="L109" s="168"/>
      <c r="M109" s="168"/>
      <c r="N109" s="168"/>
      <c r="O109" s="168"/>
      <c r="P109" s="168"/>
      <c r="BR109" s="168"/>
      <c r="BS109" s="168"/>
      <c r="BT109" s="168"/>
      <c r="BU109" s="168"/>
      <c r="BV109" s="168"/>
      <c r="BW109" s="168"/>
      <c r="BX109" s="168"/>
      <c r="BY109" s="168" t="s">
        <v>389</v>
      </c>
      <c r="BZ109" s="168"/>
      <c r="CA109" s="168"/>
      <c r="CB109" s="168"/>
      <c r="CC109" s="168"/>
      <c r="CD109" s="168"/>
      <c r="CE109" s="168"/>
      <c r="CF109" s="168"/>
      <c r="CG109" s="168"/>
      <c r="CH109" s="168"/>
      <c r="CI109" s="168"/>
    </row>
    <row r="110" spans="1:87">
      <c r="D110" s="119" t="s">
        <v>383</v>
      </c>
      <c r="E110" s="229">
        <f t="shared" ref="E110:G110" si="22">E102/E$97</f>
        <v>0</v>
      </c>
      <c r="F110" s="229">
        <f t="shared" si="22"/>
        <v>0</v>
      </c>
      <c r="G110" s="229">
        <f t="shared" si="22"/>
        <v>0</v>
      </c>
      <c r="J110" s="168"/>
      <c r="K110" s="168"/>
      <c r="L110" s="168"/>
      <c r="M110" s="168"/>
      <c r="N110" s="168"/>
      <c r="O110" s="168"/>
      <c r="P110" s="168"/>
      <c r="BR110" s="168"/>
      <c r="BS110" s="168"/>
      <c r="BT110" s="168"/>
      <c r="BU110" s="168"/>
      <c r="BV110" s="168"/>
      <c r="BW110" s="168"/>
      <c r="BX110" s="168"/>
      <c r="BY110" s="168" t="s">
        <v>390</v>
      </c>
      <c r="BZ110" s="168"/>
      <c r="CA110" s="168"/>
      <c r="CB110" s="168"/>
      <c r="CC110" s="168"/>
      <c r="CD110" s="168"/>
      <c r="CE110" s="168"/>
      <c r="CF110" s="168"/>
      <c r="CG110" s="168"/>
      <c r="CH110" s="168"/>
      <c r="CI110" s="168"/>
    </row>
    <row r="111" spans="1:87">
      <c r="A111" s="131"/>
      <c r="D111" s="119" t="s">
        <v>384</v>
      </c>
      <c r="E111" s="229">
        <f t="shared" ref="E111:G111" si="23">E103/E$97</f>
        <v>0</v>
      </c>
      <c r="F111" s="229">
        <f t="shared" si="23"/>
        <v>0</v>
      </c>
      <c r="G111" s="229">
        <f t="shared" si="23"/>
        <v>0</v>
      </c>
      <c r="J111" s="168"/>
      <c r="K111" s="168"/>
      <c r="L111" s="168"/>
      <c r="M111" s="168"/>
      <c r="N111" s="168"/>
      <c r="O111" s="168"/>
      <c r="P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</row>
    <row r="112" spans="1:87">
      <c r="A112" s="131"/>
      <c r="D112" s="119" t="s">
        <v>385</v>
      </c>
      <c r="E112" s="229">
        <f t="shared" si="18"/>
        <v>0</v>
      </c>
      <c r="F112" s="229">
        <f t="shared" ref="F112:G112" si="24">F104/F$97</f>
        <v>0</v>
      </c>
      <c r="G112" s="229">
        <f t="shared" si="24"/>
        <v>0</v>
      </c>
      <c r="J112" s="168"/>
      <c r="K112" s="168"/>
      <c r="L112" s="168"/>
      <c r="M112" s="168"/>
      <c r="N112" s="168"/>
      <c r="O112" s="168"/>
      <c r="P112" s="168"/>
      <c r="BR112" s="168"/>
      <c r="BS112" s="168"/>
      <c r="BT112" s="168"/>
      <c r="BU112" s="168"/>
      <c r="BV112" s="168"/>
      <c r="BW112" s="168"/>
      <c r="BX112" s="168"/>
      <c r="BY112" s="168"/>
      <c r="BZ112" s="168"/>
      <c r="CA112" s="168"/>
      <c r="CB112" s="168"/>
      <c r="CC112" s="168"/>
      <c r="CD112" s="168"/>
      <c r="CE112" s="168"/>
      <c r="CF112" s="168"/>
      <c r="CG112" s="168"/>
      <c r="CH112" s="168"/>
      <c r="CI112" s="168"/>
    </row>
    <row r="113" spans="1:89">
      <c r="D113" s="236"/>
      <c r="E113" s="189" t="s">
        <v>322</v>
      </c>
      <c r="F113" s="118" t="s">
        <v>323</v>
      </c>
      <c r="G113" s="118" t="s">
        <v>324</v>
      </c>
      <c r="H113" s="118" t="s">
        <v>325</v>
      </c>
      <c r="I113" s="118" t="s">
        <v>326</v>
      </c>
      <c r="J113" s="118" t="s">
        <v>66</v>
      </c>
      <c r="K113" s="118" t="s">
        <v>67</v>
      </c>
      <c r="L113" s="189" t="s">
        <v>327</v>
      </c>
      <c r="M113" s="189" t="s">
        <v>72</v>
      </c>
      <c r="N113" s="118" t="s">
        <v>64</v>
      </c>
      <c r="O113" s="118" t="s">
        <v>391</v>
      </c>
      <c r="P113" s="118" t="s">
        <v>70</v>
      </c>
      <c r="Q113" s="189" t="s">
        <v>287</v>
      </c>
      <c r="R113" s="189" t="s">
        <v>68</v>
      </c>
      <c r="S113" s="189" t="s">
        <v>241</v>
      </c>
      <c r="T113" s="189" t="s">
        <v>288</v>
      </c>
      <c r="U113" s="192" t="s">
        <v>289</v>
      </c>
      <c r="V113" s="192" t="s">
        <v>290</v>
      </c>
      <c r="W113" s="192" t="s">
        <v>291</v>
      </c>
      <c r="X113" s="192" t="s">
        <v>292</v>
      </c>
      <c r="Y113" s="192" t="s">
        <v>293</v>
      </c>
      <c r="Z113" s="192" t="s">
        <v>69</v>
      </c>
      <c r="AA113" s="192" t="s">
        <v>294</v>
      </c>
      <c r="AB113" s="192" t="s">
        <v>295</v>
      </c>
      <c r="AC113" s="192" t="s">
        <v>296</v>
      </c>
      <c r="AD113" s="192" t="s">
        <v>297</v>
      </c>
      <c r="AE113" s="193" t="s">
        <v>298</v>
      </c>
      <c r="AF113" s="118" t="s">
        <v>299</v>
      </c>
      <c r="AG113" s="118" t="s">
        <v>300</v>
      </c>
      <c r="BR113" s="168"/>
      <c r="BS113" s="168"/>
      <c r="BT113" s="168"/>
      <c r="BU113" s="168"/>
      <c r="BV113" s="168"/>
      <c r="BW113" s="168"/>
      <c r="BX113" s="168"/>
      <c r="BY113" s="168" t="s">
        <v>392</v>
      </c>
      <c r="BZ113" s="168"/>
      <c r="CA113" s="168"/>
      <c r="CB113" s="168"/>
      <c r="CC113" s="168"/>
      <c r="CD113" s="168"/>
      <c r="CE113" s="168"/>
      <c r="CF113" s="168"/>
      <c r="CG113" s="168"/>
      <c r="CH113" s="168"/>
      <c r="CI113" s="168"/>
    </row>
    <row r="114" spans="1:89">
      <c r="D114" s="197" t="s">
        <v>381</v>
      </c>
      <c r="E114" s="237">
        <v>0</v>
      </c>
      <c r="F114" s="237">
        <v>15.288000000000002</v>
      </c>
      <c r="G114" s="237">
        <v>3.7520000000000007</v>
      </c>
      <c r="H114" s="237">
        <v>1.0080000000000002</v>
      </c>
      <c r="I114" s="237">
        <v>46.480000000000004</v>
      </c>
      <c r="J114" s="237">
        <v>1.3440000000000001</v>
      </c>
      <c r="K114" s="237">
        <v>0.84000000000000008</v>
      </c>
      <c r="L114" s="237">
        <v>0</v>
      </c>
      <c r="M114" s="237">
        <v>39.200000000000003</v>
      </c>
      <c r="N114" s="237">
        <v>72.800000000000011</v>
      </c>
      <c r="O114" s="237">
        <v>694.40000000000009</v>
      </c>
      <c r="P114" s="237">
        <v>7.8400000000000007</v>
      </c>
      <c r="Q114" s="237">
        <v>0</v>
      </c>
      <c r="R114" s="237">
        <v>93.352000000000004</v>
      </c>
      <c r="S114" s="237">
        <v>0</v>
      </c>
      <c r="T114" s="237">
        <v>0</v>
      </c>
      <c r="U114" s="237">
        <v>0.16800000000000001</v>
      </c>
      <c r="V114" s="237">
        <v>0</v>
      </c>
      <c r="W114" s="237">
        <v>0</v>
      </c>
      <c r="X114" s="237">
        <v>3.4159999999999999</v>
      </c>
      <c r="Y114" s="237">
        <v>0.16800000000000001</v>
      </c>
      <c r="Z114" s="237">
        <v>3.3600000000000003</v>
      </c>
      <c r="AA114" s="237">
        <v>0.11200000000000002</v>
      </c>
      <c r="AB114" s="237">
        <v>0.67200000000000004</v>
      </c>
      <c r="AC114" s="237">
        <v>11.760000000000002</v>
      </c>
      <c r="AD114" s="237">
        <v>100.80000000000001</v>
      </c>
      <c r="AE114" s="237">
        <v>1.1200000000000001</v>
      </c>
      <c r="AF114" s="237">
        <v>5.6000000000000008E-2</v>
      </c>
      <c r="AG114" s="237">
        <v>11.760000000000002</v>
      </c>
      <c r="BR114" s="168"/>
      <c r="BS114" s="168"/>
      <c r="BT114" s="168"/>
      <c r="BU114" s="168"/>
      <c r="BV114" s="168"/>
      <c r="BW114" s="168"/>
      <c r="BX114" s="168"/>
      <c r="BY114" s="168" t="s">
        <v>393</v>
      </c>
      <c r="BZ114" s="168"/>
      <c r="CA114" s="168"/>
      <c r="CB114" s="168"/>
      <c r="CC114" s="168"/>
      <c r="CD114" s="168"/>
      <c r="CE114" s="168"/>
      <c r="CF114" s="168"/>
      <c r="CG114" s="168"/>
      <c r="CH114" s="168"/>
      <c r="CI114" s="168"/>
    </row>
    <row r="115" spans="1:89">
      <c r="D115" s="197" t="s">
        <v>394</v>
      </c>
      <c r="E115" s="237">
        <v>0</v>
      </c>
      <c r="F115" s="237">
        <v>12.8469</v>
      </c>
      <c r="G115" s="237">
        <v>4.0392000000000001</v>
      </c>
      <c r="H115" s="237">
        <v>0.78539999999999999</v>
      </c>
      <c r="I115" s="237">
        <v>35.342999999999996</v>
      </c>
      <c r="J115" s="237">
        <v>1.6830000000000001</v>
      </c>
      <c r="K115" s="237">
        <v>1.0098</v>
      </c>
      <c r="L115" s="237">
        <v>0</v>
      </c>
      <c r="M115" s="237">
        <v>35.342999999999996</v>
      </c>
      <c r="N115" s="237">
        <v>506.02199999999999</v>
      </c>
      <c r="O115" s="237">
        <v>371.94299999999998</v>
      </c>
      <c r="P115" s="237">
        <v>29.171999999999997</v>
      </c>
      <c r="Q115" s="237">
        <v>0</v>
      </c>
      <c r="R115" s="237">
        <v>59.862000000000002</v>
      </c>
      <c r="S115" s="237">
        <v>0.89760000000000006</v>
      </c>
      <c r="T115" s="237">
        <v>0</v>
      </c>
      <c r="U115" s="237">
        <v>0</v>
      </c>
      <c r="V115" s="237">
        <v>5.6100000000000004E-2</v>
      </c>
      <c r="W115" s="237">
        <v>5.6100000000000004E-2</v>
      </c>
      <c r="X115" s="237">
        <v>1.1780999999999999</v>
      </c>
      <c r="Y115" s="237">
        <v>0.11220000000000001</v>
      </c>
      <c r="Z115" s="237">
        <v>9.5370000000000008</v>
      </c>
      <c r="AA115" s="237">
        <v>0.84150000000000003</v>
      </c>
      <c r="AB115" s="237">
        <v>0.89760000000000006</v>
      </c>
      <c r="AC115" s="237">
        <v>21.317999999999998</v>
      </c>
      <c r="AD115" s="237">
        <v>239.547</v>
      </c>
      <c r="AE115" s="237">
        <v>1.0659000000000001</v>
      </c>
      <c r="AF115" s="237">
        <v>5.6100000000000004E-2</v>
      </c>
      <c r="AG115" s="237">
        <v>8.9760000000000009</v>
      </c>
      <c r="BR115" s="168"/>
      <c r="BS115" s="168"/>
      <c r="BT115" s="168"/>
      <c r="BU115" s="168"/>
      <c r="BV115" s="168"/>
      <c r="BW115" s="168"/>
      <c r="BX115" s="168"/>
      <c r="BY115" s="168" t="s">
        <v>395</v>
      </c>
      <c r="BZ115" s="168"/>
      <c r="CA115" s="168"/>
      <c r="CB115" s="168"/>
      <c r="CC115" s="168"/>
      <c r="CD115" s="168"/>
      <c r="CE115" s="168"/>
      <c r="CF115" s="168"/>
      <c r="CG115" s="168"/>
      <c r="CH115" s="168"/>
      <c r="CI115" s="168"/>
    </row>
    <row r="116" spans="1:89">
      <c r="D116" s="197" t="s">
        <v>396</v>
      </c>
      <c r="E116" s="237">
        <v>0</v>
      </c>
      <c r="F116" s="237">
        <v>14.520000000000001</v>
      </c>
      <c r="G116" s="237">
        <v>9.5040000000000013</v>
      </c>
      <c r="H116" s="237">
        <v>4.3559999999999999</v>
      </c>
      <c r="I116" s="237">
        <v>48.84</v>
      </c>
      <c r="J116" s="237">
        <v>4.7520000000000007</v>
      </c>
      <c r="K116" s="237">
        <v>0.39600000000000002</v>
      </c>
      <c r="L116" s="237">
        <v>0</v>
      </c>
      <c r="M116" s="237">
        <v>35.64</v>
      </c>
      <c r="N116" s="237">
        <v>106.92</v>
      </c>
      <c r="O116" s="237">
        <v>274.56</v>
      </c>
      <c r="P116" s="237">
        <v>5.28</v>
      </c>
      <c r="Q116" s="237">
        <v>0</v>
      </c>
      <c r="R116" s="237">
        <v>0</v>
      </c>
      <c r="S116" s="237">
        <v>0</v>
      </c>
      <c r="T116" s="237">
        <v>0</v>
      </c>
      <c r="U116" s="237">
        <v>0.13200000000000001</v>
      </c>
      <c r="V116" s="237">
        <v>4.6200000000000005E-2</v>
      </c>
      <c r="W116" s="237">
        <v>0.1188</v>
      </c>
      <c r="X116" s="237">
        <v>2.0856000000000003</v>
      </c>
      <c r="Y116" s="237">
        <v>0.19800000000000001</v>
      </c>
      <c r="Z116" s="237">
        <v>3.96</v>
      </c>
      <c r="AA116" s="237">
        <v>1.3860000000000001</v>
      </c>
      <c r="AB116" s="237">
        <v>1.4982</v>
      </c>
      <c r="AC116" s="237">
        <v>12.936000000000002</v>
      </c>
      <c r="AD116" s="237">
        <v>178.86</v>
      </c>
      <c r="AE116" s="237">
        <v>3.3660000000000001</v>
      </c>
      <c r="AF116" s="237">
        <v>6.6000000000000003E-2</v>
      </c>
      <c r="AG116" s="237">
        <v>11.22</v>
      </c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  <c r="CC116" s="168"/>
      <c r="CD116" s="168"/>
      <c r="CE116" s="168"/>
      <c r="CF116" s="168"/>
      <c r="CG116" s="168"/>
      <c r="CH116" s="168"/>
      <c r="CI116" s="168"/>
    </row>
    <row r="117" spans="1:89">
      <c r="D117" s="197" t="s">
        <v>382</v>
      </c>
      <c r="E117" s="237">
        <v>0</v>
      </c>
      <c r="F117" s="237">
        <v>17.82</v>
      </c>
      <c r="G117" s="237">
        <v>1.98</v>
      </c>
      <c r="H117" s="237">
        <v>0.59400000000000008</v>
      </c>
      <c r="I117" s="237">
        <v>49.5</v>
      </c>
      <c r="J117" s="237">
        <v>0.92399999999999993</v>
      </c>
      <c r="K117" s="237">
        <v>0.13200000000000001</v>
      </c>
      <c r="L117" s="237">
        <v>0</v>
      </c>
      <c r="M117" s="237">
        <v>56.1</v>
      </c>
      <c r="N117" s="237">
        <v>13.200000000000001</v>
      </c>
      <c r="O117" s="237">
        <v>85.8</v>
      </c>
      <c r="P117" s="237">
        <v>11.22</v>
      </c>
      <c r="Q117" s="237">
        <v>0</v>
      </c>
      <c r="R117" s="237">
        <v>0</v>
      </c>
      <c r="S117" s="237">
        <v>0</v>
      </c>
      <c r="T117" s="237">
        <v>0</v>
      </c>
      <c r="U117" s="237">
        <v>0.19800000000000001</v>
      </c>
      <c r="V117" s="237">
        <v>6.6000000000000003E-2</v>
      </c>
      <c r="W117" s="237">
        <v>0.39600000000000002</v>
      </c>
      <c r="X117" s="237">
        <v>2.5739999999999998</v>
      </c>
      <c r="Y117" s="237">
        <v>0</v>
      </c>
      <c r="Z117" s="237">
        <v>3.3000000000000003</v>
      </c>
      <c r="AA117" s="237">
        <v>0.79200000000000004</v>
      </c>
      <c r="AB117" s="237">
        <v>2.4420000000000002</v>
      </c>
      <c r="AC117" s="237">
        <v>0</v>
      </c>
      <c r="AD117" s="237">
        <v>132.66</v>
      </c>
      <c r="AE117" s="237">
        <v>3.4980000000000002</v>
      </c>
      <c r="AF117" s="237">
        <v>0.19800000000000001</v>
      </c>
      <c r="AG117" s="237">
        <v>7.92</v>
      </c>
      <c r="BR117" s="168"/>
      <c r="BS117" s="168"/>
      <c r="BT117" s="168"/>
      <c r="BU117" s="168"/>
      <c r="BV117" s="168"/>
      <c r="BW117" s="168"/>
      <c r="BX117" s="168"/>
      <c r="BY117" s="168"/>
      <c r="BZ117" s="168"/>
      <c r="CA117" s="168"/>
      <c r="CB117" s="168"/>
      <c r="CC117" s="168"/>
      <c r="CD117" s="168"/>
      <c r="CE117" s="168"/>
      <c r="CF117" s="168"/>
      <c r="CG117" s="168"/>
      <c r="CH117" s="168"/>
      <c r="CI117" s="168"/>
    </row>
    <row r="118" spans="1:89">
      <c r="D118" s="197" t="s">
        <v>397</v>
      </c>
      <c r="E118" s="237">
        <v>0</v>
      </c>
      <c r="F118" s="237">
        <v>14.952000000000002</v>
      </c>
      <c r="G118" s="237">
        <v>5.3760000000000003</v>
      </c>
      <c r="H118" s="237">
        <v>2.2400000000000002</v>
      </c>
      <c r="I118" s="237">
        <v>0</v>
      </c>
      <c r="J118" s="237">
        <v>2.1840000000000002</v>
      </c>
      <c r="K118" s="237">
        <v>0.22400000000000003</v>
      </c>
      <c r="L118" s="237">
        <v>0</v>
      </c>
      <c r="M118" s="237">
        <v>44.800000000000004</v>
      </c>
      <c r="N118" s="237">
        <v>64.960000000000008</v>
      </c>
      <c r="O118" s="237">
        <v>0</v>
      </c>
      <c r="P118" s="237">
        <v>8.9600000000000009</v>
      </c>
      <c r="Q118" s="237">
        <v>0</v>
      </c>
      <c r="R118" s="237">
        <v>0</v>
      </c>
      <c r="S118" s="237">
        <v>0</v>
      </c>
      <c r="T118" s="237">
        <v>0</v>
      </c>
      <c r="U118" s="237">
        <v>0</v>
      </c>
      <c r="V118" s="237">
        <v>5.6000000000000008E-2</v>
      </c>
      <c r="W118" s="237">
        <v>0.22400000000000003</v>
      </c>
      <c r="X118" s="237">
        <v>3.2480000000000002</v>
      </c>
      <c r="Y118" s="237">
        <v>0.22400000000000003</v>
      </c>
      <c r="Z118" s="237">
        <v>0</v>
      </c>
      <c r="AA118" s="237">
        <v>1.6800000000000002</v>
      </c>
      <c r="AB118" s="237">
        <v>1.1760000000000002</v>
      </c>
      <c r="AC118" s="237">
        <v>13.440000000000001</v>
      </c>
      <c r="AD118" s="237">
        <v>178.08</v>
      </c>
      <c r="AE118" s="237">
        <v>2.8000000000000003</v>
      </c>
      <c r="AF118" s="237">
        <v>0.11200000000000002</v>
      </c>
      <c r="AG118" s="237">
        <v>6.16</v>
      </c>
      <c r="BR118" s="168"/>
      <c r="BS118" s="168"/>
      <c r="BT118" s="168"/>
      <c r="BU118" s="168"/>
      <c r="BV118" s="168"/>
      <c r="BW118" s="168"/>
      <c r="BX118" s="168"/>
      <c r="BY118" s="168"/>
      <c r="BZ118" s="168"/>
      <c r="CA118" s="168"/>
      <c r="CB118" s="168"/>
      <c r="CC118" s="168"/>
      <c r="CD118" s="168"/>
      <c r="CE118" s="168"/>
      <c r="CF118" s="168"/>
      <c r="CG118" s="168"/>
      <c r="CH118" s="168"/>
      <c r="CI118" s="168"/>
    </row>
    <row r="119" spans="1:89">
      <c r="D119" s="197" t="s">
        <v>398</v>
      </c>
      <c r="E119" s="237">
        <v>0</v>
      </c>
      <c r="F119" s="237">
        <v>15.84</v>
      </c>
      <c r="G119" s="237">
        <v>7.3260000000000005</v>
      </c>
      <c r="H119" s="237">
        <v>2.97</v>
      </c>
      <c r="I119" s="237">
        <v>9.24</v>
      </c>
      <c r="J119" s="237">
        <v>3.6959999999999997</v>
      </c>
      <c r="K119" s="237">
        <v>0.66</v>
      </c>
      <c r="L119" s="237">
        <v>0</v>
      </c>
      <c r="M119" s="237">
        <v>31.68</v>
      </c>
      <c r="N119" s="237">
        <v>0</v>
      </c>
      <c r="O119" s="237">
        <v>0</v>
      </c>
      <c r="P119" s="237">
        <v>13.200000000000001</v>
      </c>
      <c r="Q119" s="237">
        <v>0</v>
      </c>
      <c r="R119" s="237">
        <v>1.32</v>
      </c>
      <c r="S119" s="237">
        <v>0.19800000000000001</v>
      </c>
      <c r="T119" s="237">
        <v>0</v>
      </c>
      <c r="U119" s="237">
        <v>0</v>
      </c>
      <c r="V119" s="237">
        <v>0.47520000000000001</v>
      </c>
      <c r="W119" s="237">
        <v>0.18480000000000002</v>
      </c>
      <c r="X119" s="237">
        <v>2.7786</v>
      </c>
      <c r="Y119" s="237">
        <v>0</v>
      </c>
      <c r="Z119" s="237">
        <v>3.3660000000000001</v>
      </c>
      <c r="AA119" s="237">
        <v>0</v>
      </c>
      <c r="AB119" s="237">
        <v>0.54779999999999995</v>
      </c>
      <c r="AC119" s="237">
        <v>13.464</v>
      </c>
      <c r="AD119" s="237">
        <v>203.28</v>
      </c>
      <c r="AE119" s="237">
        <v>1.4520000000000002</v>
      </c>
      <c r="AF119" s="237">
        <v>0</v>
      </c>
      <c r="AG119" s="237">
        <v>0</v>
      </c>
      <c r="BR119" s="168"/>
      <c r="BS119" s="168"/>
      <c r="BT119" s="168"/>
      <c r="BU119" s="168"/>
      <c r="BV119" s="168"/>
      <c r="BW119" s="168"/>
      <c r="BX119" s="168"/>
      <c r="BY119" s="168"/>
      <c r="BZ119" s="168"/>
      <c r="CA119" s="168"/>
      <c r="CB119" s="168"/>
      <c r="CC119" s="168"/>
      <c r="CD119" s="168"/>
      <c r="CE119" s="168"/>
      <c r="CF119" s="168"/>
      <c r="CG119" s="168"/>
      <c r="CH119" s="168"/>
      <c r="CI119" s="168"/>
    </row>
    <row r="120" spans="1:89">
      <c r="A120" s="131"/>
      <c r="D120" s="119" t="s">
        <v>385</v>
      </c>
      <c r="E120" s="237">
        <v>17.566071428571426</v>
      </c>
      <c r="F120" s="237">
        <v>6.8464285714285706</v>
      </c>
      <c r="G120" s="237">
        <v>0.34071428571428569</v>
      </c>
      <c r="H120" s="237">
        <v>9.1607142857142859E-2</v>
      </c>
      <c r="I120" s="237">
        <v>0</v>
      </c>
      <c r="J120" s="237">
        <v>9.8035714285714295E-2</v>
      </c>
      <c r="K120" s="237">
        <v>0.15107142857142855</v>
      </c>
      <c r="L120" s="237">
        <v>4.6928571428571422</v>
      </c>
      <c r="M120" s="237">
        <v>1.8964285714285711</v>
      </c>
      <c r="N120" s="237">
        <v>28.542857142857144</v>
      </c>
      <c r="O120" s="237">
        <v>104.14285714285714</v>
      </c>
      <c r="P120" s="237">
        <v>50.914285714285711</v>
      </c>
      <c r="Q120" s="237">
        <v>0</v>
      </c>
      <c r="R120" s="237">
        <v>1.427142857142857</v>
      </c>
      <c r="S120" s="237">
        <v>1.00125</v>
      </c>
      <c r="T120" s="237">
        <v>0</v>
      </c>
      <c r="U120" s="237">
        <v>0</v>
      </c>
      <c r="V120" s="237">
        <v>0.14962500000000001</v>
      </c>
      <c r="W120" s="237">
        <v>5.0142857142857142E-2</v>
      </c>
      <c r="X120" s="237">
        <v>0.61312499999999992</v>
      </c>
      <c r="Y120" s="237">
        <v>0.1767857142857143</v>
      </c>
      <c r="Z120" s="237">
        <v>147.38142857142856</v>
      </c>
      <c r="AA120" s="237">
        <v>7.7142857142857152E-2</v>
      </c>
      <c r="AB120" s="237">
        <v>1.8316607142857142</v>
      </c>
      <c r="AC120" s="237">
        <v>35.359232142857145</v>
      </c>
      <c r="AD120" s="237">
        <v>277.2</v>
      </c>
      <c r="AE120" s="237">
        <v>0.87910714285714298</v>
      </c>
      <c r="AF120" s="237">
        <v>0.3076511785714286</v>
      </c>
      <c r="AG120" s="237">
        <v>4.6124999999999998</v>
      </c>
      <c r="BR120" s="168"/>
      <c r="BS120" s="168"/>
      <c r="BT120" s="168"/>
      <c r="BU120" s="168"/>
      <c r="BV120" s="168"/>
      <c r="BW120" s="168"/>
      <c r="BX120" s="466"/>
      <c r="BY120" s="238"/>
      <c r="BZ120" s="466"/>
      <c r="CA120" s="466"/>
      <c r="CB120" s="466"/>
      <c r="CC120" s="239"/>
      <c r="CD120" s="168"/>
      <c r="CE120" s="168"/>
      <c r="CF120" s="168"/>
      <c r="CG120" s="168"/>
      <c r="CH120" s="168"/>
      <c r="CI120" s="168"/>
    </row>
    <row r="121" spans="1:89">
      <c r="A121" s="131"/>
      <c r="D121" s="207" t="s">
        <v>350</v>
      </c>
      <c r="E121" s="210">
        <f t="shared" ref="E121:AG121" si="25">SUMPRODUCT($E$106:$E$112,E114:E120)</f>
        <v>0</v>
      </c>
      <c r="F121" s="210">
        <f t="shared" si="25"/>
        <v>15.520742857142858</v>
      </c>
      <c r="G121" s="210">
        <f t="shared" si="25"/>
        <v>4.3116571428571433</v>
      </c>
      <c r="H121" s="210">
        <f t="shared" si="25"/>
        <v>1.4653142857142856</v>
      </c>
      <c r="I121" s="210">
        <f t="shared" si="25"/>
        <v>45.814857142857143</v>
      </c>
      <c r="J121" s="210">
        <f t="shared" si="25"/>
        <v>1.9177142857142857</v>
      </c>
      <c r="K121" s="210">
        <f t="shared" si="25"/>
        <v>0.55177142857142858</v>
      </c>
      <c r="L121" s="210">
        <f t="shared" si="25"/>
        <v>0</v>
      </c>
      <c r="M121" s="210">
        <f t="shared" si="25"/>
        <v>43.420571428571435</v>
      </c>
      <c r="N121" s="210">
        <f t="shared" si="25"/>
        <v>141.95085714285713</v>
      </c>
      <c r="O121" s="210">
        <f t="shared" si="25"/>
        <v>350.14342857142856</v>
      </c>
      <c r="P121" s="210">
        <f t="shared" si="25"/>
        <v>12.542285714285715</v>
      </c>
      <c r="Q121" s="210">
        <f t="shared" si="25"/>
        <v>0</v>
      </c>
      <c r="R121" s="210">
        <f t="shared" si="25"/>
        <v>38.074285714285715</v>
      </c>
      <c r="S121" s="210">
        <f t="shared" si="25"/>
        <v>0.17097142857142858</v>
      </c>
      <c r="T121" s="210">
        <f t="shared" si="25"/>
        <v>0</v>
      </c>
      <c r="U121" s="210">
        <f t="shared" si="25"/>
        <v>0.13914285714285715</v>
      </c>
      <c r="V121" s="210">
        <f t="shared" si="25"/>
        <v>4.1485714285714285E-2</v>
      </c>
      <c r="W121" s="210">
        <f t="shared" si="25"/>
        <v>0.16531428571428572</v>
      </c>
      <c r="X121" s="210">
        <f t="shared" si="25"/>
        <v>2.4556571428571425</v>
      </c>
      <c r="Y121" s="210">
        <f t="shared" si="25"/>
        <v>0.10708571428571428</v>
      </c>
      <c r="Z121" s="210">
        <f t="shared" si="25"/>
        <v>4.6308571428571437</v>
      </c>
      <c r="AA121" s="210">
        <f t="shared" si="25"/>
        <v>0.72028571428571431</v>
      </c>
      <c r="AB121" s="210">
        <f t="shared" si="25"/>
        <v>1.4623428571428572</v>
      </c>
      <c r="AC121" s="210">
        <f t="shared" si="25"/>
        <v>9.8845714285714283</v>
      </c>
      <c r="AD121" s="210">
        <f t="shared" si="25"/>
        <v>152.71657142857143</v>
      </c>
      <c r="AE121" s="210">
        <f t="shared" si="25"/>
        <v>2.3301714285714286</v>
      </c>
      <c r="AF121" s="210">
        <f t="shared" si="25"/>
        <v>0.10525714285714285</v>
      </c>
      <c r="AG121" s="210">
        <f t="shared" si="25"/>
        <v>9.846857142857143</v>
      </c>
      <c r="BR121" s="168"/>
      <c r="BS121" s="168"/>
      <c r="BT121" s="168"/>
      <c r="BU121" s="168"/>
      <c r="BV121" s="168"/>
      <c r="BW121" s="168"/>
      <c r="BX121" s="466"/>
      <c r="BY121" s="238"/>
      <c r="BZ121" s="466"/>
      <c r="CA121" s="466"/>
      <c r="CB121" s="466"/>
      <c r="CC121" s="239"/>
      <c r="CD121" s="168"/>
      <c r="CE121" s="168"/>
      <c r="CF121" s="168"/>
      <c r="CG121" s="168"/>
      <c r="CH121" s="168"/>
      <c r="CI121" s="168"/>
    </row>
    <row r="122" spans="1:89">
      <c r="A122" s="131"/>
      <c r="D122" s="189"/>
      <c r="E122" s="210"/>
      <c r="F122" s="210"/>
      <c r="G122" s="210"/>
      <c r="H122" s="222"/>
      <c r="I122" s="210"/>
      <c r="J122" s="210"/>
      <c r="K122" s="210"/>
      <c r="L122" s="210"/>
      <c r="M122" s="210"/>
      <c r="N122" s="240"/>
      <c r="O122" s="240"/>
      <c r="P122" s="240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T122" s="168"/>
      <c r="AU122" s="168"/>
      <c r="BT122" s="168"/>
      <c r="BU122" s="168"/>
      <c r="BV122" s="168"/>
      <c r="BW122" s="168"/>
      <c r="BX122" s="168"/>
      <c r="BY122" s="168"/>
      <c r="BZ122" s="168"/>
      <c r="CA122" s="168"/>
      <c r="CB122" s="168"/>
      <c r="CC122" s="168"/>
      <c r="CD122" s="168"/>
      <c r="CE122" s="168"/>
      <c r="CF122" s="168"/>
      <c r="CG122" s="168"/>
      <c r="CH122" s="168"/>
      <c r="CI122" s="168"/>
      <c r="CJ122" s="168"/>
      <c r="CK122" s="168"/>
    </row>
    <row r="123" spans="1:89">
      <c r="A123" s="131"/>
      <c r="D123" s="209" t="s">
        <v>99</v>
      </c>
      <c r="F123" s="176"/>
      <c r="G123" s="176"/>
      <c r="H123" s="176"/>
      <c r="I123" s="176"/>
      <c r="J123" s="176"/>
      <c r="K123" s="176"/>
      <c r="L123" s="176"/>
      <c r="N123" s="168"/>
      <c r="O123" s="176"/>
      <c r="P123" s="176"/>
      <c r="BR123" s="168"/>
      <c r="BS123" s="168"/>
      <c r="BT123" s="168"/>
      <c r="BU123" s="168"/>
      <c r="BV123" s="168"/>
      <c r="BW123" s="168"/>
      <c r="BX123" s="241"/>
      <c r="BY123" s="238"/>
      <c r="BZ123" s="241"/>
      <c r="CA123" s="241"/>
      <c r="CB123" s="241"/>
      <c r="CC123" s="239"/>
      <c r="CD123" s="168"/>
      <c r="CE123" s="168"/>
      <c r="CF123" s="168"/>
      <c r="CG123" s="168"/>
      <c r="CH123" s="168"/>
      <c r="CI123" s="168"/>
    </row>
    <row r="124" spans="1:89">
      <c r="A124" s="131"/>
      <c r="D124" s="197" t="s">
        <v>231</v>
      </c>
      <c r="F124" s="176"/>
      <c r="G124" s="176"/>
      <c r="H124" s="201"/>
      <c r="I124" s="201"/>
      <c r="J124" s="201"/>
      <c r="K124" s="201"/>
      <c r="L124" s="201"/>
      <c r="M124" s="189"/>
      <c r="N124" s="118"/>
      <c r="O124" s="201"/>
      <c r="P124" s="201"/>
      <c r="BR124" s="168"/>
      <c r="BS124" s="168"/>
      <c r="BT124" s="168"/>
      <c r="BU124" s="168"/>
      <c r="BV124" s="168"/>
      <c r="BW124" s="168"/>
      <c r="BX124" s="241"/>
      <c r="BY124" s="238"/>
      <c r="BZ124" s="241"/>
      <c r="CA124" s="241"/>
      <c r="CB124" s="241"/>
      <c r="CC124" s="239"/>
      <c r="CD124" s="168"/>
      <c r="CE124" s="168"/>
      <c r="CF124" s="168"/>
      <c r="CG124" s="168"/>
      <c r="CH124" s="168"/>
      <c r="CI124" s="168"/>
    </row>
    <row r="125" spans="1:89">
      <c r="A125" s="131"/>
      <c r="D125" s="197" t="s">
        <v>233</v>
      </c>
      <c r="E125" s="319">
        <f>'I&amp;O'!D121</f>
        <v>0</v>
      </c>
      <c r="F125" s="176"/>
      <c r="G125" s="176"/>
      <c r="H125" s="176"/>
      <c r="I125" s="176"/>
      <c r="J125" s="176"/>
      <c r="K125" s="176"/>
      <c r="L125" s="176"/>
      <c r="N125" s="168"/>
      <c r="O125" s="176"/>
      <c r="P125" s="176"/>
      <c r="BR125" s="168"/>
      <c r="BS125" s="168"/>
      <c r="BT125" s="168"/>
      <c r="BU125" s="168"/>
      <c r="BV125" s="168"/>
      <c r="BW125" s="168"/>
      <c r="BX125" s="241"/>
      <c r="BY125" s="238"/>
      <c r="BZ125" s="241"/>
      <c r="CA125" s="241"/>
      <c r="CB125" s="241"/>
      <c r="CC125" s="239"/>
      <c r="CD125" s="168"/>
      <c r="CE125" s="168"/>
      <c r="CF125" s="168"/>
      <c r="CG125" s="168"/>
      <c r="CH125" s="168"/>
      <c r="CI125" s="168"/>
    </row>
    <row r="126" spans="1:89">
      <c r="A126" s="131"/>
      <c r="D126" s="197" t="s">
        <v>234</v>
      </c>
      <c r="E126" s="319">
        <f>'I&amp;O'!D122</f>
        <v>1</v>
      </c>
      <c r="F126" s="176"/>
      <c r="G126" s="176"/>
      <c r="H126" s="176"/>
      <c r="I126" s="176"/>
      <c r="J126" s="176"/>
      <c r="K126" s="176"/>
      <c r="L126" s="176"/>
      <c r="N126" s="168"/>
      <c r="O126" s="176"/>
      <c r="P126" s="176"/>
      <c r="BR126" s="168"/>
      <c r="BS126" s="168"/>
      <c r="BT126" s="168"/>
      <c r="BU126" s="168"/>
      <c r="BV126" s="168"/>
      <c r="BW126" s="168"/>
      <c r="BX126" s="241"/>
      <c r="BY126" s="238"/>
      <c r="BZ126" s="241"/>
      <c r="CA126" s="241"/>
      <c r="CB126" s="241"/>
      <c r="CC126" s="239"/>
      <c r="CD126" s="168"/>
      <c r="CE126" s="168"/>
      <c r="CF126" s="168"/>
      <c r="CG126" s="168"/>
      <c r="CH126" s="168"/>
      <c r="CI126" s="168"/>
    </row>
    <row r="127" spans="1:89">
      <c r="A127" s="131"/>
      <c r="D127" s="197" t="s">
        <v>235</v>
      </c>
      <c r="E127" s="319">
        <f>'I&amp;O'!D123</f>
        <v>0</v>
      </c>
      <c r="F127" s="176"/>
      <c r="G127" s="176"/>
      <c r="H127" s="176"/>
      <c r="I127" s="176"/>
      <c r="J127" s="176"/>
      <c r="K127" s="176"/>
      <c r="L127" s="176"/>
      <c r="N127" s="168"/>
      <c r="O127" s="176"/>
      <c r="P127" s="176"/>
      <c r="BR127" s="168"/>
      <c r="BS127" s="168"/>
      <c r="BT127" s="168"/>
      <c r="BU127" s="168"/>
      <c r="BV127" s="168"/>
      <c r="BW127" s="168"/>
      <c r="BX127" s="241"/>
      <c r="BY127" s="238"/>
      <c r="BZ127" s="241"/>
      <c r="CA127" s="241"/>
      <c r="CB127" s="241"/>
      <c r="CC127" s="239"/>
      <c r="CD127" s="168"/>
      <c r="CE127" s="168"/>
      <c r="CF127" s="168"/>
      <c r="CG127" s="168"/>
      <c r="CH127" s="168"/>
      <c r="CI127" s="168"/>
    </row>
    <row r="128" spans="1:89">
      <c r="A128" s="131"/>
      <c r="D128" s="197" t="s">
        <v>236</v>
      </c>
      <c r="E128" s="319">
        <f>'I&amp;O'!D124</f>
        <v>0</v>
      </c>
      <c r="F128" s="176"/>
      <c r="G128" s="176"/>
      <c r="H128" s="176"/>
      <c r="I128" s="176"/>
      <c r="J128" s="176"/>
      <c r="K128" s="176"/>
      <c r="L128" s="176"/>
      <c r="N128" s="168"/>
      <c r="O128" s="176"/>
      <c r="P128" s="176"/>
      <c r="BR128" s="168"/>
      <c r="BS128" s="168"/>
      <c r="BT128" s="168"/>
      <c r="BU128" s="168"/>
      <c r="BV128" s="168"/>
      <c r="BW128" s="168"/>
      <c r="BX128" s="241"/>
      <c r="BY128" s="238"/>
      <c r="BZ128" s="241"/>
      <c r="CA128" s="241"/>
      <c r="CB128" s="241"/>
      <c r="CC128" s="239"/>
      <c r="CD128" s="168"/>
      <c r="CE128" s="168"/>
      <c r="CF128" s="168"/>
      <c r="CG128" s="168"/>
      <c r="CH128" s="168"/>
      <c r="CI128" s="168"/>
    </row>
    <row r="129" spans="1:87">
      <c r="A129" s="131"/>
      <c r="D129" s="197" t="s">
        <v>238</v>
      </c>
      <c r="E129" s="319">
        <f>'I&amp;O'!D125</f>
        <v>0</v>
      </c>
      <c r="F129" s="176"/>
      <c r="G129" s="176"/>
      <c r="H129" s="176"/>
      <c r="I129" s="176"/>
      <c r="J129" s="176"/>
      <c r="K129" s="176"/>
      <c r="L129" s="176"/>
      <c r="N129" s="168"/>
      <c r="O129" s="176"/>
      <c r="P129" s="176"/>
      <c r="BR129" s="168"/>
      <c r="BS129" s="168"/>
      <c r="BT129" s="168"/>
      <c r="BU129" s="168"/>
      <c r="BV129" s="168"/>
      <c r="BW129" s="168"/>
      <c r="BX129" s="241"/>
      <c r="BY129" s="238"/>
      <c r="BZ129" s="241"/>
      <c r="CA129" s="241"/>
      <c r="CB129" s="241"/>
      <c r="CC129" s="239"/>
      <c r="CD129" s="168"/>
      <c r="CE129" s="168"/>
      <c r="CF129" s="168"/>
      <c r="CG129" s="168"/>
      <c r="CH129" s="168"/>
      <c r="CI129" s="168"/>
    </row>
    <row r="130" spans="1:87">
      <c r="A130" s="131"/>
      <c r="D130" s="197" t="s">
        <v>237</v>
      </c>
      <c r="E130" s="319">
        <f>'I&amp;O'!D126</f>
        <v>0</v>
      </c>
      <c r="F130" s="176"/>
      <c r="G130" s="176"/>
      <c r="H130" s="176"/>
      <c r="I130" s="176"/>
      <c r="J130" s="176"/>
      <c r="K130" s="176"/>
      <c r="L130" s="176"/>
      <c r="N130" s="168"/>
      <c r="O130" s="176"/>
      <c r="P130" s="176"/>
      <c r="BR130" s="168"/>
      <c r="BS130" s="168"/>
      <c r="BT130" s="168"/>
      <c r="BU130" s="168"/>
      <c r="BV130" s="168"/>
      <c r="BW130" s="168"/>
      <c r="BX130" s="241"/>
      <c r="BY130" s="238"/>
      <c r="BZ130" s="241"/>
      <c r="CA130" s="241"/>
      <c r="CB130" s="241"/>
      <c r="CC130" s="239"/>
      <c r="CD130" s="168"/>
      <c r="CE130" s="168"/>
      <c r="CF130" s="168"/>
      <c r="CG130" s="168"/>
      <c r="CH130" s="168"/>
      <c r="CI130" s="168"/>
    </row>
    <row r="131" spans="1:87">
      <c r="D131" s="202"/>
      <c r="I131" s="189"/>
      <c r="J131" s="168"/>
      <c r="K131" s="168"/>
      <c r="L131" s="168"/>
      <c r="M131" s="168"/>
      <c r="N131" s="168"/>
      <c r="O131" s="168"/>
      <c r="P131" s="168"/>
      <c r="AA131" s="118" t="s">
        <v>399</v>
      </c>
      <c r="BR131" s="168"/>
      <c r="BS131" s="168"/>
      <c r="BT131" s="168"/>
      <c r="BU131" s="168"/>
      <c r="BV131" s="168"/>
      <c r="BW131" s="168"/>
      <c r="BX131" s="466"/>
      <c r="BY131" s="238"/>
      <c r="BZ131" s="466"/>
      <c r="CA131" s="466"/>
      <c r="CB131" s="466"/>
      <c r="CC131" s="239"/>
      <c r="CD131" s="168"/>
      <c r="CE131" s="168"/>
      <c r="CF131" s="168"/>
      <c r="CG131" s="168"/>
      <c r="CH131" s="168"/>
      <c r="CI131" s="168"/>
    </row>
    <row r="132" spans="1:87" ht="30">
      <c r="D132" s="136" t="s">
        <v>400</v>
      </c>
      <c r="E132" s="189" t="s">
        <v>322</v>
      </c>
      <c r="F132" s="134" t="s">
        <v>284</v>
      </c>
      <c r="G132" s="134" t="s">
        <v>324</v>
      </c>
      <c r="H132" s="134" t="s">
        <v>62</v>
      </c>
      <c r="I132" s="134" t="s">
        <v>401</v>
      </c>
      <c r="J132" s="200" t="s">
        <v>66</v>
      </c>
      <c r="K132" s="189" t="s">
        <v>67</v>
      </c>
      <c r="L132" s="189" t="s">
        <v>71</v>
      </c>
      <c r="M132" s="118" t="s">
        <v>72</v>
      </c>
      <c r="N132" s="118" t="s">
        <v>64</v>
      </c>
      <c r="O132" s="118" t="s">
        <v>391</v>
      </c>
      <c r="P132" s="134" t="s">
        <v>402</v>
      </c>
      <c r="Q132" s="189" t="s">
        <v>287</v>
      </c>
      <c r="R132" s="189" t="s">
        <v>68</v>
      </c>
      <c r="S132" s="189" t="s">
        <v>241</v>
      </c>
      <c r="T132" s="189" t="s">
        <v>288</v>
      </c>
      <c r="U132" s="192" t="s">
        <v>289</v>
      </c>
      <c r="V132" s="192" t="s">
        <v>290</v>
      </c>
      <c r="W132" s="192" t="s">
        <v>291</v>
      </c>
      <c r="X132" s="192" t="s">
        <v>292</v>
      </c>
      <c r="Y132" s="192" t="s">
        <v>293</v>
      </c>
      <c r="Z132" s="192" t="s">
        <v>69</v>
      </c>
      <c r="AA132" s="192" t="s">
        <v>294</v>
      </c>
      <c r="AB132" s="192" t="s">
        <v>295</v>
      </c>
      <c r="AC132" s="192" t="s">
        <v>296</v>
      </c>
      <c r="AD132" s="192" t="s">
        <v>297</v>
      </c>
      <c r="AE132" s="193" t="s">
        <v>298</v>
      </c>
      <c r="AF132" s="118" t="s">
        <v>299</v>
      </c>
      <c r="AG132" s="118" t="s">
        <v>300</v>
      </c>
      <c r="BR132" s="168"/>
      <c r="BS132" s="168"/>
      <c r="BT132" s="168"/>
      <c r="BU132" s="168"/>
      <c r="BV132" s="168"/>
      <c r="BW132" s="168"/>
      <c r="BX132" s="466"/>
      <c r="BY132" s="238"/>
      <c r="BZ132" s="466"/>
      <c r="CA132" s="466"/>
      <c r="CB132" s="466"/>
      <c r="CC132" s="239"/>
      <c r="CD132" s="168"/>
      <c r="CE132" s="168"/>
      <c r="CF132" s="168"/>
      <c r="CG132" s="168"/>
      <c r="CH132" s="168"/>
      <c r="CI132" s="168"/>
    </row>
    <row r="133" spans="1:87">
      <c r="B133" s="242"/>
      <c r="C133" s="242">
        <f t="shared" ref="C133:C141" si="26">(E133+F133)*4+G133*9</f>
        <v>87.2</v>
      </c>
      <c r="D133" s="136" t="s">
        <v>403</v>
      </c>
      <c r="E133" s="173">
        <v>5</v>
      </c>
      <c r="F133" s="173">
        <v>3.3</v>
      </c>
      <c r="G133" s="173">
        <v>6</v>
      </c>
      <c r="H133" s="173">
        <v>3.7</v>
      </c>
      <c r="I133" s="210">
        <v>16</v>
      </c>
      <c r="J133" s="210">
        <v>1.5</v>
      </c>
      <c r="K133" s="173">
        <v>0.15</v>
      </c>
      <c r="L133" s="210">
        <v>0</v>
      </c>
      <c r="M133" s="210">
        <v>44</v>
      </c>
      <c r="N133" s="210">
        <v>76</v>
      </c>
      <c r="O133" s="210">
        <v>120</v>
      </c>
      <c r="P133" s="210">
        <v>120</v>
      </c>
      <c r="Q133" s="210">
        <v>0</v>
      </c>
      <c r="R133" s="210">
        <v>65</v>
      </c>
      <c r="S133" s="210">
        <v>2</v>
      </c>
      <c r="T133" s="210">
        <v>0</v>
      </c>
      <c r="U133" s="210">
        <v>0.08</v>
      </c>
      <c r="V133" s="173">
        <v>0.03</v>
      </c>
      <c r="W133" s="173">
        <v>0.23</v>
      </c>
      <c r="X133" s="173">
        <v>0.1</v>
      </c>
      <c r="Y133" s="210">
        <v>0.06</v>
      </c>
      <c r="Z133" s="210">
        <v>7.5</v>
      </c>
      <c r="AA133" s="243">
        <v>0.14000000000000001</v>
      </c>
      <c r="AB133" s="210">
        <v>0.03</v>
      </c>
      <c r="AC133" s="210">
        <v>11</v>
      </c>
      <c r="AD133" s="210">
        <v>161</v>
      </c>
      <c r="AE133" s="210">
        <v>0.4</v>
      </c>
      <c r="AF133" s="210">
        <v>0</v>
      </c>
      <c r="AG133" s="210">
        <v>1</v>
      </c>
      <c r="BR133" s="168"/>
      <c r="BS133" s="168"/>
      <c r="BT133" s="168"/>
      <c r="BU133" s="168"/>
      <c r="BV133" s="168"/>
      <c r="BW133" s="168"/>
      <c r="BX133" s="466"/>
      <c r="BY133" s="238"/>
      <c r="BZ133" s="466"/>
      <c r="CA133" s="466"/>
      <c r="CB133" s="466"/>
      <c r="CC133" s="239"/>
      <c r="CD133" s="168"/>
      <c r="CE133" s="168"/>
      <c r="CF133" s="168"/>
      <c r="CG133" s="168"/>
      <c r="CH133" s="168"/>
      <c r="CI133" s="168"/>
    </row>
    <row r="134" spans="1:87">
      <c r="B134" s="242"/>
      <c r="C134" s="242">
        <f t="shared" si="26"/>
        <v>58.2</v>
      </c>
      <c r="D134" s="136" t="s">
        <v>404</v>
      </c>
      <c r="E134" s="173">
        <v>4.7</v>
      </c>
      <c r="F134" s="173">
        <v>3.1</v>
      </c>
      <c r="G134" s="173">
        <v>3</v>
      </c>
      <c r="H134" s="173">
        <v>1.9</v>
      </c>
      <c r="I134" s="210">
        <v>8</v>
      </c>
      <c r="J134" s="210">
        <v>1.89</v>
      </c>
      <c r="K134" s="210">
        <v>0.1</v>
      </c>
      <c r="L134" s="210">
        <v>0</v>
      </c>
      <c r="M134" s="210">
        <v>44</v>
      </c>
      <c r="N134" s="210">
        <v>75</v>
      </c>
      <c r="O134" s="210">
        <v>120</v>
      </c>
      <c r="P134" s="210">
        <v>120</v>
      </c>
      <c r="Q134" s="210">
        <v>0</v>
      </c>
      <c r="R134" s="210">
        <v>32</v>
      </c>
      <c r="S134" s="210">
        <v>2</v>
      </c>
      <c r="T134" s="210">
        <v>0</v>
      </c>
      <c r="U134" s="210">
        <v>0.04</v>
      </c>
      <c r="V134" s="173">
        <v>0.03</v>
      </c>
      <c r="W134" s="173">
        <v>0.23</v>
      </c>
      <c r="X134" s="173">
        <v>0.1</v>
      </c>
      <c r="Y134" s="210">
        <v>0</v>
      </c>
      <c r="Z134" s="210">
        <v>7.5</v>
      </c>
      <c r="AA134" s="173">
        <v>0.14000000000000001</v>
      </c>
      <c r="AB134" s="210">
        <v>0.1</v>
      </c>
      <c r="AC134" s="210">
        <v>11</v>
      </c>
      <c r="AD134" s="210">
        <v>161</v>
      </c>
      <c r="AE134" s="210">
        <v>0.4</v>
      </c>
      <c r="AF134" s="210">
        <v>0</v>
      </c>
      <c r="AG134" s="210">
        <v>1</v>
      </c>
      <c r="BR134" s="168"/>
      <c r="BS134" s="168"/>
      <c r="BT134" s="168"/>
      <c r="BU134" s="168"/>
      <c r="BV134" s="168"/>
      <c r="BW134" s="168"/>
      <c r="BX134" s="466"/>
      <c r="BY134" s="238"/>
      <c r="BZ134" s="241"/>
      <c r="CA134" s="241"/>
      <c r="CB134" s="241"/>
      <c r="CC134" s="239"/>
      <c r="CD134" s="168"/>
      <c r="CE134" s="168"/>
      <c r="CF134" s="168"/>
      <c r="CG134" s="168"/>
      <c r="CH134" s="168"/>
      <c r="CI134" s="168"/>
    </row>
    <row r="135" spans="1:87">
      <c r="B135" s="242"/>
      <c r="C135" s="242">
        <f t="shared" si="26"/>
        <v>45.9</v>
      </c>
      <c r="D135" s="136" t="s">
        <v>405</v>
      </c>
      <c r="E135" s="173">
        <v>5</v>
      </c>
      <c r="F135" s="173">
        <v>3.1</v>
      </c>
      <c r="G135" s="173">
        <v>1.5</v>
      </c>
      <c r="H135" s="173">
        <v>1</v>
      </c>
      <c r="I135" s="210">
        <v>4</v>
      </c>
      <c r="J135" s="210">
        <v>0.9</v>
      </c>
      <c r="K135" s="210">
        <v>0.06</v>
      </c>
      <c r="L135" s="210">
        <v>0</v>
      </c>
      <c r="M135" s="210">
        <v>44</v>
      </c>
      <c r="N135" s="210">
        <v>8</v>
      </c>
      <c r="O135" s="210">
        <v>62</v>
      </c>
      <c r="P135" s="210">
        <v>124</v>
      </c>
      <c r="Q135" s="210">
        <v>0</v>
      </c>
      <c r="R135" s="210">
        <v>16</v>
      </c>
      <c r="S135" s="210">
        <v>1</v>
      </c>
      <c r="T135" s="210">
        <v>0</v>
      </c>
      <c r="U135" s="210">
        <v>0.04</v>
      </c>
      <c r="V135" s="173">
        <v>0.03</v>
      </c>
      <c r="W135" s="173">
        <v>0.23</v>
      </c>
      <c r="X135" s="173">
        <v>0.1</v>
      </c>
      <c r="Y135" s="210">
        <v>0</v>
      </c>
      <c r="Z135" s="210">
        <v>8</v>
      </c>
      <c r="AA135" s="173">
        <v>0.14000000000000001</v>
      </c>
      <c r="AB135" s="210">
        <v>0.1</v>
      </c>
      <c r="AC135" s="210">
        <v>11</v>
      </c>
      <c r="AD135" s="210">
        <v>161</v>
      </c>
      <c r="AE135" s="210">
        <v>0</v>
      </c>
      <c r="AF135" s="210">
        <v>0</v>
      </c>
      <c r="AG135" s="210">
        <v>1</v>
      </c>
      <c r="BR135" s="168"/>
      <c r="BS135" s="168"/>
      <c r="BT135" s="168"/>
      <c r="BU135" s="168"/>
      <c r="BV135" s="168"/>
      <c r="BW135" s="168"/>
      <c r="BX135" s="466"/>
      <c r="BY135" s="238"/>
      <c r="BZ135" s="239"/>
      <c r="CA135" s="467"/>
      <c r="CB135" s="467"/>
      <c r="CC135" s="467"/>
      <c r="CD135" s="168"/>
      <c r="CE135" s="168"/>
      <c r="CF135" s="168"/>
      <c r="CG135" s="168"/>
      <c r="CH135" s="168"/>
      <c r="CI135" s="168"/>
    </row>
    <row r="136" spans="1:87">
      <c r="B136" s="242"/>
      <c r="C136" s="242">
        <f t="shared" si="26"/>
        <v>36.700000000000003</v>
      </c>
      <c r="D136" s="136" t="s">
        <v>406</v>
      </c>
      <c r="E136" s="173">
        <v>5.0999999999999996</v>
      </c>
      <c r="F136" s="173">
        <v>3.4</v>
      </c>
      <c r="G136" s="173">
        <v>0.3</v>
      </c>
      <c r="H136" s="173">
        <v>0.2</v>
      </c>
      <c r="I136" s="210">
        <v>2</v>
      </c>
      <c r="J136" s="210">
        <v>0.1</v>
      </c>
      <c r="K136" s="210">
        <v>0</v>
      </c>
      <c r="L136" s="210">
        <v>0</v>
      </c>
      <c r="M136" s="210">
        <v>44</v>
      </c>
      <c r="N136" s="210">
        <v>2</v>
      </c>
      <c r="O136" s="210">
        <v>15</v>
      </c>
      <c r="P136" s="210">
        <v>124</v>
      </c>
      <c r="Q136" s="210">
        <v>0</v>
      </c>
      <c r="R136" s="210">
        <v>2</v>
      </c>
      <c r="S136" s="210">
        <v>0.3</v>
      </c>
      <c r="T136" s="210">
        <v>0</v>
      </c>
      <c r="U136" s="210">
        <v>0</v>
      </c>
      <c r="V136" s="173">
        <v>0.03</v>
      </c>
      <c r="W136" s="173">
        <v>0.23</v>
      </c>
      <c r="X136" s="173">
        <v>0.1</v>
      </c>
      <c r="Y136" s="210">
        <v>0</v>
      </c>
      <c r="Z136" s="210">
        <v>8</v>
      </c>
      <c r="AA136" s="173">
        <v>0.14000000000000001</v>
      </c>
      <c r="AB136" s="210">
        <v>0.1</v>
      </c>
      <c r="AC136" s="210">
        <v>11</v>
      </c>
      <c r="AD136" s="210">
        <v>161</v>
      </c>
      <c r="AE136" s="210">
        <v>0.1</v>
      </c>
      <c r="AF136" s="210">
        <v>0</v>
      </c>
      <c r="AG136" s="210">
        <v>0.6</v>
      </c>
      <c r="BR136" s="168"/>
      <c r="BS136" s="168"/>
      <c r="BT136" s="168"/>
      <c r="BU136" s="168"/>
      <c r="BV136" s="168"/>
      <c r="BW136" s="168"/>
      <c r="BX136" s="466"/>
      <c r="BY136" s="238"/>
      <c r="BZ136" s="239"/>
      <c r="CA136" s="239"/>
      <c r="CB136" s="239"/>
      <c r="CC136" s="244"/>
      <c r="CD136" s="168"/>
      <c r="CE136" s="168"/>
      <c r="CF136" s="168"/>
      <c r="CG136" s="168"/>
      <c r="CH136" s="168"/>
      <c r="CI136" s="168"/>
    </row>
    <row r="137" spans="1:87">
      <c r="A137" s="131"/>
      <c r="B137" s="242"/>
      <c r="C137" s="242">
        <f t="shared" si="26"/>
        <v>69.699999999999989</v>
      </c>
      <c r="D137" s="136" t="s">
        <v>238</v>
      </c>
      <c r="E137" s="173">
        <v>5</v>
      </c>
      <c r="F137" s="173">
        <v>3.2</v>
      </c>
      <c r="G137" s="173">
        <v>4.0999999999999996</v>
      </c>
      <c r="H137" s="173">
        <v>2.6</v>
      </c>
      <c r="I137" s="210">
        <v>16</v>
      </c>
      <c r="J137" s="210">
        <v>1.1000000000000001</v>
      </c>
      <c r="K137" s="210">
        <v>0.2</v>
      </c>
      <c r="L137" s="210">
        <v>0</v>
      </c>
      <c r="M137" s="210">
        <v>44</v>
      </c>
      <c r="N137" s="210">
        <v>40</v>
      </c>
      <c r="O137" s="210">
        <v>160</v>
      </c>
      <c r="P137" s="210">
        <v>120</v>
      </c>
      <c r="Q137" s="210">
        <v>0</v>
      </c>
      <c r="R137" s="210">
        <v>44</v>
      </c>
      <c r="S137" s="210">
        <v>2</v>
      </c>
      <c r="T137" s="210">
        <v>0</v>
      </c>
      <c r="U137" s="210">
        <v>0</v>
      </c>
      <c r="V137" s="210">
        <v>0.05</v>
      </c>
      <c r="W137" s="210">
        <v>0.2</v>
      </c>
      <c r="X137" s="210">
        <v>0.1</v>
      </c>
      <c r="Y137" s="210">
        <v>0</v>
      </c>
      <c r="Z137" s="210">
        <v>8.5</v>
      </c>
      <c r="AA137" s="173">
        <v>0.14000000000000001</v>
      </c>
      <c r="AB137" s="210">
        <v>0.2</v>
      </c>
      <c r="AC137" s="210">
        <v>11</v>
      </c>
      <c r="AD137" s="210">
        <v>140</v>
      </c>
      <c r="AE137" s="210">
        <v>0</v>
      </c>
      <c r="AF137" s="210">
        <v>0</v>
      </c>
      <c r="AG137" s="210">
        <v>1</v>
      </c>
      <c r="BR137" s="168"/>
      <c r="BS137" s="168"/>
      <c r="BT137" s="168"/>
      <c r="BU137" s="168"/>
      <c r="BV137" s="168"/>
      <c r="BW137" s="168"/>
      <c r="BX137" s="241"/>
      <c r="BY137" s="238"/>
      <c r="BZ137" s="239"/>
      <c r="CA137" s="239"/>
      <c r="CB137" s="239"/>
      <c r="CC137" s="244"/>
      <c r="CD137" s="168"/>
      <c r="CE137" s="168"/>
      <c r="CF137" s="168"/>
      <c r="CG137" s="168"/>
      <c r="CH137" s="168"/>
      <c r="CI137" s="168"/>
    </row>
    <row r="138" spans="1:87">
      <c r="A138" s="131"/>
      <c r="B138" s="242"/>
      <c r="C138" s="242">
        <f t="shared" si="26"/>
        <v>101.7</v>
      </c>
      <c r="D138" s="136" t="s">
        <v>237</v>
      </c>
      <c r="E138" s="173">
        <v>6.5</v>
      </c>
      <c r="F138" s="173">
        <v>4.3</v>
      </c>
      <c r="G138" s="173">
        <v>6.5</v>
      </c>
      <c r="H138" s="173">
        <v>4.5999999999999996</v>
      </c>
      <c r="I138" s="210">
        <v>16</v>
      </c>
      <c r="J138" s="210">
        <v>2.2000000000000002</v>
      </c>
      <c r="K138" s="210">
        <v>0.2</v>
      </c>
      <c r="L138" s="210">
        <v>0</v>
      </c>
      <c r="M138" s="210">
        <v>19</v>
      </c>
      <c r="N138" s="210">
        <v>40</v>
      </c>
      <c r="O138" s="210">
        <v>160</v>
      </c>
      <c r="P138" s="210">
        <v>210</v>
      </c>
      <c r="Q138" s="210">
        <v>0</v>
      </c>
      <c r="R138" s="210">
        <v>40</v>
      </c>
      <c r="S138" s="210">
        <v>1</v>
      </c>
      <c r="T138" s="210">
        <v>0</v>
      </c>
      <c r="U138" s="210">
        <v>0</v>
      </c>
      <c r="V138" s="210">
        <v>0.04</v>
      </c>
      <c r="W138" s="210">
        <v>0.1</v>
      </c>
      <c r="X138" s="210">
        <v>0.1</v>
      </c>
      <c r="Y138" s="210">
        <v>0</v>
      </c>
      <c r="Z138" s="210">
        <v>5.6</v>
      </c>
      <c r="AA138" s="173">
        <v>0.14000000000000001</v>
      </c>
      <c r="AB138" s="210">
        <v>0.2</v>
      </c>
      <c r="AC138" s="210">
        <v>11</v>
      </c>
      <c r="AD138" s="210">
        <v>90</v>
      </c>
      <c r="AE138" s="210">
        <v>0</v>
      </c>
      <c r="AF138" s="210">
        <v>0</v>
      </c>
      <c r="AG138" s="210">
        <v>1</v>
      </c>
      <c r="BR138" s="168"/>
      <c r="BS138" s="168"/>
      <c r="BT138" s="168"/>
      <c r="BU138" s="168"/>
      <c r="BV138" s="168"/>
      <c r="BW138" s="168"/>
      <c r="BX138" s="241"/>
      <c r="BY138" s="238"/>
      <c r="BZ138" s="239"/>
      <c r="CA138" s="239"/>
      <c r="CB138" s="239"/>
      <c r="CC138" s="244"/>
      <c r="CD138" s="168"/>
      <c r="CE138" s="168"/>
      <c r="CF138" s="168"/>
      <c r="CG138" s="168"/>
      <c r="CH138" s="168"/>
      <c r="CI138" s="168"/>
    </row>
    <row r="139" spans="1:87" ht="30">
      <c r="A139" s="131"/>
      <c r="B139" s="242"/>
      <c r="C139" s="242">
        <f t="shared" si="26"/>
        <v>61.900000000000006</v>
      </c>
      <c r="D139" s="136" t="s">
        <v>407</v>
      </c>
      <c r="E139" s="173">
        <v>4.4000000000000004</v>
      </c>
      <c r="F139" s="173">
        <v>4.0999999999999996</v>
      </c>
      <c r="G139" s="173">
        <v>3.1</v>
      </c>
      <c r="H139" s="173">
        <v>1.9</v>
      </c>
      <c r="I139" s="210">
        <v>8</v>
      </c>
      <c r="J139" s="210">
        <v>0.7</v>
      </c>
      <c r="K139" s="210">
        <v>0.2</v>
      </c>
      <c r="L139" s="210">
        <v>0</v>
      </c>
      <c r="M139" s="210">
        <v>61</v>
      </c>
      <c r="N139" s="210">
        <v>40</v>
      </c>
      <c r="O139" s="210">
        <v>160</v>
      </c>
      <c r="P139" s="210">
        <v>183</v>
      </c>
      <c r="Q139" s="210"/>
      <c r="R139" s="210">
        <v>65</v>
      </c>
      <c r="S139" s="210">
        <v>0</v>
      </c>
      <c r="T139" s="210">
        <v>0</v>
      </c>
      <c r="U139" s="210">
        <v>0</v>
      </c>
      <c r="V139" s="210">
        <v>0.05</v>
      </c>
      <c r="W139" s="210">
        <v>0.14000000000000001</v>
      </c>
      <c r="X139" s="210">
        <v>0.12</v>
      </c>
      <c r="Y139" s="210">
        <v>0</v>
      </c>
      <c r="Z139" s="210">
        <v>8</v>
      </c>
      <c r="AA139" s="173">
        <v>0.1</v>
      </c>
      <c r="AB139" s="210">
        <v>0</v>
      </c>
      <c r="AC139" s="210">
        <v>11</v>
      </c>
      <c r="AD139" s="210">
        <v>200</v>
      </c>
      <c r="AE139" s="210">
        <v>0</v>
      </c>
      <c r="AF139" s="210">
        <v>0</v>
      </c>
      <c r="AG139" s="210">
        <v>1</v>
      </c>
      <c r="BR139" s="168"/>
      <c r="BS139" s="168"/>
      <c r="BT139" s="168"/>
      <c r="BU139" s="168"/>
      <c r="BV139" s="168"/>
      <c r="BW139" s="168"/>
      <c r="BX139" s="241"/>
      <c r="BY139" s="238"/>
      <c r="BZ139" s="239"/>
      <c r="CA139" s="239"/>
      <c r="CB139" s="239"/>
      <c r="CC139" s="244"/>
      <c r="CD139" s="168"/>
      <c r="CE139" s="168"/>
      <c r="CF139" s="168"/>
      <c r="CG139" s="168"/>
      <c r="CH139" s="168"/>
      <c r="CI139" s="168"/>
    </row>
    <row r="140" spans="1:87">
      <c r="A140" s="131"/>
      <c r="B140" s="242"/>
      <c r="C140" s="242">
        <f t="shared" si="26"/>
        <v>24.499999999999996</v>
      </c>
      <c r="D140" s="136" t="s">
        <v>408</v>
      </c>
      <c r="E140" s="210">
        <v>5.0999999999999996</v>
      </c>
      <c r="F140" s="210">
        <v>0.8</v>
      </c>
      <c r="G140" s="210">
        <v>0.1</v>
      </c>
      <c r="H140" s="210">
        <v>0.1</v>
      </c>
      <c r="I140" s="210">
        <v>4</v>
      </c>
      <c r="J140" s="210">
        <v>0</v>
      </c>
      <c r="K140" s="210">
        <v>0</v>
      </c>
      <c r="L140" s="210">
        <v>0</v>
      </c>
      <c r="M140" s="210">
        <v>48</v>
      </c>
      <c r="N140" s="210">
        <v>0</v>
      </c>
      <c r="O140" s="210">
        <v>0</v>
      </c>
      <c r="P140" s="210">
        <v>103</v>
      </c>
      <c r="Q140" s="210"/>
      <c r="R140" s="210">
        <v>4</v>
      </c>
      <c r="S140" s="210">
        <v>0</v>
      </c>
      <c r="T140" s="210">
        <v>0</v>
      </c>
      <c r="U140" s="210">
        <v>0</v>
      </c>
      <c r="V140" s="210">
        <v>0</v>
      </c>
      <c r="W140" s="210">
        <v>0.1</v>
      </c>
      <c r="X140" s="210">
        <v>0.1</v>
      </c>
      <c r="Y140" s="210">
        <v>0</v>
      </c>
      <c r="Z140" s="210">
        <v>2</v>
      </c>
      <c r="AA140" s="173">
        <v>0.05</v>
      </c>
      <c r="AB140" s="210">
        <v>0.1</v>
      </c>
      <c r="AC140" s="210">
        <v>10</v>
      </c>
      <c r="AD140" s="210">
        <v>143</v>
      </c>
      <c r="AE140" s="210">
        <v>0.4</v>
      </c>
      <c r="AF140" s="210">
        <v>0</v>
      </c>
      <c r="AG140" s="210">
        <v>1</v>
      </c>
      <c r="BR140" s="168"/>
      <c r="BS140" s="168"/>
      <c r="BT140" s="168"/>
      <c r="BU140" s="168"/>
      <c r="BV140" s="168"/>
      <c r="BW140" s="168"/>
      <c r="BX140" s="241"/>
      <c r="BY140" s="238"/>
      <c r="BZ140" s="239"/>
      <c r="CA140" s="239"/>
      <c r="CB140" s="239"/>
      <c r="CC140" s="244"/>
      <c r="CD140" s="168"/>
      <c r="CE140" s="168"/>
      <c r="CF140" s="168"/>
      <c r="CG140" s="168"/>
      <c r="CH140" s="168"/>
      <c r="CI140" s="168"/>
    </row>
    <row r="141" spans="1:87">
      <c r="A141" s="131"/>
      <c r="B141" s="242"/>
      <c r="C141" s="242">
        <f t="shared" si="26"/>
        <v>37.5</v>
      </c>
      <c r="D141" s="189" t="s">
        <v>409</v>
      </c>
      <c r="E141" s="210">
        <v>4.3</v>
      </c>
      <c r="F141" s="210">
        <v>1.7</v>
      </c>
      <c r="G141" s="210">
        <v>1.5</v>
      </c>
      <c r="H141" s="210">
        <v>0.92</v>
      </c>
      <c r="I141" s="210">
        <v>4</v>
      </c>
      <c r="J141" s="210">
        <v>0.5</v>
      </c>
      <c r="K141" s="210">
        <v>0</v>
      </c>
      <c r="L141" s="210">
        <v>0</v>
      </c>
      <c r="M141" s="210">
        <v>25</v>
      </c>
      <c r="N141" s="210">
        <v>0</v>
      </c>
      <c r="O141" s="210">
        <v>0</v>
      </c>
      <c r="P141" s="210">
        <v>143</v>
      </c>
      <c r="Q141" s="210"/>
      <c r="R141" s="210">
        <f>58*0.3</f>
        <v>17.399999999999999</v>
      </c>
      <c r="S141" s="210">
        <v>0</v>
      </c>
      <c r="T141" s="210">
        <v>0</v>
      </c>
      <c r="U141" s="210">
        <v>0</v>
      </c>
      <c r="V141" s="210">
        <v>0.1</v>
      </c>
      <c r="W141" s="210">
        <v>0.2</v>
      </c>
      <c r="X141" s="210">
        <v>0.1</v>
      </c>
      <c r="Y141" s="210">
        <v>0</v>
      </c>
      <c r="Z141" s="210">
        <v>6</v>
      </c>
      <c r="AA141" s="173">
        <v>0.1</v>
      </c>
      <c r="AB141" s="210">
        <v>0.1</v>
      </c>
      <c r="AC141" s="210">
        <v>11</v>
      </c>
      <c r="AD141" s="210">
        <v>180</v>
      </c>
      <c r="AE141" s="210">
        <v>0.2</v>
      </c>
      <c r="AF141" s="210">
        <v>0.2</v>
      </c>
      <c r="AG141" s="210">
        <v>1</v>
      </c>
      <c r="BR141" s="168"/>
      <c r="BS141" s="168"/>
      <c r="BT141" s="168"/>
      <c r="BU141" s="168"/>
      <c r="BV141" s="168"/>
      <c r="BW141" s="168"/>
      <c r="BX141" s="241"/>
      <c r="BY141" s="238"/>
      <c r="BZ141" s="239"/>
      <c r="CA141" s="239"/>
      <c r="CB141" s="239"/>
      <c r="CC141" s="244"/>
      <c r="CD141" s="168"/>
      <c r="CE141" s="168"/>
      <c r="CF141" s="168"/>
      <c r="CG141" s="168"/>
      <c r="CH141" s="168"/>
      <c r="CI141" s="168"/>
    </row>
    <row r="142" spans="1:87" s="245" customFormat="1">
      <c r="B142" s="246"/>
      <c r="C142" s="246"/>
      <c r="D142" s="207" t="s">
        <v>350</v>
      </c>
      <c r="E142" s="247">
        <f>SUMPRODUCT($E$125:$E$130,E133:E138)</f>
        <v>4.7</v>
      </c>
      <c r="F142" s="247">
        <f t="shared" ref="F142:AG142" si="27">SUMPRODUCT($E$125:$E$130,F133:F138)</f>
        <v>3.1</v>
      </c>
      <c r="G142" s="247">
        <f t="shared" si="27"/>
        <v>3</v>
      </c>
      <c r="H142" s="247">
        <f t="shared" si="27"/>
        <v>1.9</v>
      </c>
      <c r="I142" s="247">
        <f t="shared" si="27"/>
        <v>8</v>
      </c>
      <c r="J142" s="247">
        <f t="shared" si="27"/>
        <v>1.89</v>
      </c>
      <c r="K142" s="247">
        <f t="shared" si="27"/>
        <v>0.1</v>
      </c>
      <c r="L142" s="247">
        <f t="shared" si="27"/>
        <v>0</v>
      </c>
      <c r="M142" s="247">
        <f t="shared" si="27"/>
        <v>44</v>
      </c>
      <c r="N142" s="247">
        <f t="shared" si="27"/>
        <v>75</v>
      </c>
      <c r="O142" s="247">
        <f t="shared" si="27"/>
        <v>120</v>
      </c>
      <c r="P142" s="247">
        <f t="shared" si="27"/>
        <v>120</v>
      </c>
      <c r="Q142" s="247">
        <f t="shared" si="27"/>
        <v>0</v>
      </c>
      <c r="R142" s="247">
        <f t="shared" si="27"/>
        <v>32</v>
      </c>
      <c r="S142" s="247">
        <f t="shared" si="27"/>
        <v>2</v>
      </c>
      <c r="T142" s="247">
        <f t="shared" si="27"/>
        <v>0</v>
      </c>
      <c r="U142" s="247">
        <f t="shared" si="27"/>
        <v>0.04</v>
      </c>
      <c r="V142" s="247">
        <f t="shared" si="27"/>
        <v>0.03</v>
      </c>
      <c r="W142" s="247">
        <f t="shared" si="27"/>
        <v>0.23</v>
      </c>
      <c r="X142" s="247">
        <f t="shared" si="27"/>
        <v>0.1</v>
      </c>
      <c r="Y142" s="247">
        <f t="shared" si="27"/>
        <v>0</v>
      </c>
      <c r="Z142" s="247">
        <f t="shared" si="27"/>
        <v>7.5</v>
      </c>
      <c r="AA142" s="247">
        <f t="shared" si="27"/>
        <v>0.14000000000000001</v>
      </c>
      <c r="AB142" s="247">
        <f t="shared" si="27"/>
        <v>0.1</v>
      </c>
      <c r="AC142" s="247">
        <f t="shared" si="27"/>
        <v>11</v>
      </c>
      <c r="AD142" s="247">
        <f t="shared" si="27"/>
        <v>161</v>
      </c>
      <c r="AE142" s="247">
        <f t="shared" si="27"/>
        <v>0.4</v>
      </c>
      <c r="AF142" s="247">
        <f t="shared" si="27"/>
        <v>0</v>
      </c>
      <c r="AG142" s="247">
        <f t="shared" si="27"/>
        <v>1</v>
      </c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BR142" s="248"/>
      <c r="BS142" s="248"/>
      <c r="BT142" s="248"/>
      <c r="BU142" s="248"/>
      <c r="BV142" s="248"/>
      <c r="BW142" s="248"/>
      <c r="BX142" s="466"/>
      <c r="BY142" s="249"/>
      <c r="BZ142" s="466"/>
      <c r="CA142" s="466"/>
      <c r="CB142" s="466"/>
      <c r="CC142" s="250"/>
      <c r="CD142" s="248"/>
      <c r="CE142" s="248"/>
      <c r="CF142" s="248"/>
      <c r="CG142" s="248"/>
      <c r="CH142" s="248"/>
      <c r="CI142" s="248"/>
    </row>
    <row r="143" spans="1:87">
      <c r="A143" s="131"/>
      <c r="D143" s="207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BR143" s="168"/>
      <c r="BS143" s="168"/>
      <c r="BT143" s="168"/>
      <c r="BU143" s="168"/>
      <c r="BV143" s="168"/>
      <c r="BW143" s="168"/>
      <c r="BX143" s="466"/>
      <c r="BY143" s="238"/>
      <c r="BZ143" s="466"/>
      <c r="CA143" s="466"/>
      <c r="CB143" s="466"/>
      <c r="CC143" s="239"/>
      <c r="CD143" s="168"/>
      <c r="CE143" s="168"/>
      <c r="CF143" s="168"/>
      <c r="CG143" s="168"/>
      <c r="CH143" s="168"/>
      <c r="CI143" s="168"/>
    </row>
    <row r="144" spans="1:87">
      <c r="A144" s="131"/>
      <c r="D144" s="209" t="s">
        <v>410</v>
      </c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BR144" s="168"/>
      <c r="BS144" s="168"/>
      <c r="BT144" s="168"/>
      <c r="BU144" s="168"/>
      <c r="BV144" s="168"/>
      <c r="BW144" s="168"/>
      <c r="BX144" s="466"/>
      <c r="BY144" s="238"/>
      <c r="BZ144" s="466"/>
      <c r="CA144" s="466"/>
      <c r="CB144" s="466"/>
      <c r="CC144" s="239"/>
      <c r="CD144" s="168"/>
      <c r="CE144" s="168"/>
      <c r="CF144" s="168"/>
      <c r="CG144" s="168"/>
      <c r="CH144" s="168"/>
      <c r="CI144" s="168"/>
    </row>
    <row r="145" spans="1:81" s="248" customFormat="1" ht="30">
      <c r="B145" s="252"/>
      <c r="C145" s="252"/>
      <c r="D145" s="211"/>
      <c r="E145" s="245" t="s">
        <v>322</v>
      </c>
      <c r="F145" s="253" t="s">
        <v>284</v>
      </c>
      <c r="G145" s="253" t="s">
        <v>324</v>
      </c>
      <c r="H145" s="253" t="s">
        <v>62</v>
      </c>
      <c r="I145" s="253" t="s">
        <v>401</v>
      </c>
      <c r="J145" s="254" t="s">
        <v>66</v>
      </c>
      <c r="K145" s="245" t="s">
        <v>67</v>
      </c>
      <c r="L145" s="245" t="s">
        <v>71</v>
      </c>
      <c r="M145" s="248" t="s">
        <v>72</v>
      </c>
      <c r="N145" s="248" t="s">
        <v>64</v>
      </c>
      <c r="O145" s="248" t="s">
        <v>391</v>
      </c>
      <c r="P145" s="253" t="s">
        <v>402</v>
      </c>
      <c r="Q145" s="245" t="s">
        <v>287</v>
      </c>
      <c r="R145" s="245" t="s">
        <v>68</v>
      </c>
      <c r="S145" s="245" t="s">
        <v>241</v>
      </c>
      <c r="T145" s="245" t="s">
        <v>288</v>
      </c>
      <c r="U145" s="255" t="s">
        <v>289</v>
      </c>
      <c r="V145" s="255" t="s">
        <v>290</v>
      </c>
      <c r="W145" s="255" t="s">
        <v>291</v>
      </c>
      <c r="X145" s="255" t="s">
        <v>292</v>
      </c>
      <c r="Y145" s="255" t="s">
        <v>293</v>
      </c>
      <c r="Z145" s="255" t="s">
        <v>69</v>
      </c>
      <c r="AA145" s="255" t="s">
        <v>294</v>
      </c>
      <c r="AB145" s="255" t="s">
        <v>295</v>
      </c>
      <c r="AC145" s="255" t="s">
        <v>296</v>
      </c>
      <c r="AD145" s="255" t="s">
        <v>297</v>
      </c>
      <c r="AE145" s="256" t="s">
        <v>298</v>
      </c>
      <c r="AF145" s="248" t="s">
        <v>299</v>
      </c>
      <c r="AG145" s="248" t="s">
        <v>300</v>
      </c>
      <c r="BX145" s="466"/>
      <c r="BY145" s="249"/>
      <c r="BZ145" s="466"/>
      <c r="CA145" s="466"/>
      <c r="CB145" s="466"/>
      <c r="CC145" s="250"/>
    </row>
    <row r="146" spans="1:81" s="168" customFormat="1" ht="30">
      <c r="A146" s="118" t="s">
        <v>411</v>
      </c>
      <c r="B146" s="242"/>
      <c r="C146" s="242">
        <f>(E146+F146)*4+G146*9</f>
        <v>80.920000000000016</v>
      </c>
      <c r="D146" s="257" t="s">
        <v>412</v>
      </c>
      <c r="E146" s="258">
        <v>0.56000000000000005</v>
      </c>
      <c r="F146" s="258">
        <v>3.9200000000000004</v>
      </c>
      <c r="G146" s="258">
        <v>7.0000000000000009</v>
      </c>
      <c r="H146" s="258">
        <v>4.2</v>
      </c>
      <c r="I146" s="258">
        <v>18.48</v>
      </c>
      <c r="J146" s="258">
        <v>2.5</v>
      </c>
      <c r="K146" s="258">
        <v>0.3</v>
      </c>
      <c r="L146" s="258">
        <v>0</v>
      </c>
      <c r="M146" s="258">
        <v>50</v>
      </c>
      <c r="N146" s="258">
        <v>80</v>
      </c>
      <c r="O146" s="258">
        <v>120</v>
      </c>
      <c r="P146" s="258">
        <v>134.4</v>
      </c>
      <c r="Q146" s="258">
        <v>0</v>
      </c>
      <c r="R146" s="258">
        <v>65</v>
      </c>
      <c r="S146" s="258">
        <v>2</v>
      </c>
      <c r="T146" s="258">
        <v>0</v>
      </c>
      <c r="U146" s="258">
        <v>0</v>
      </c>
      <c r="V146" s="258">
        <v>0.1</v>
      </c>
      <c r="W146" s="258">
        <v>0.1</v>
      </c>
      <c r="X146" s="258">
        <v>0.1</v>
      </c>
      <c r="Y146" s="258">
        <v>0</v>
      </c>
      <c r="Z146" s="258">
        <v>8</v>
      </c>
      <c r="AA146" s="258">
        <v>0.1</v>
      </c>
      <c r="AB146" s="258">
        <v>0.1</v>
      </c>
      <c r="AC146" s="258">
        <v>12</v>
      </c>
      <c r="AD146" s="258">
        <v>160</v>
      </c>
      <c r="AE146" s="258">
        <v>0.5</v>
      </c>
      <c r="AF146" s="258">
        <v>0</v>
      </c>
      <c r="AG146" s="258">
        <v>3</v>
      </c>
      <c r="BX146" s="466"/>
      <c r="BY146" s="238"/>
      <c r="BZ146" s="466"/>
      <c r="CA146" s="466"/>
      <c r="CB146" s="466"/>
      <c r="CC146" s="239"/>
    </row>
    <row r="147" spans="1:81" s="168" customFormat="1" ht="30">
      <c r="A147" s="118" t="s">
        <v>413</v>
      </c>
      <c r="B147" s="242"/>
      <c r="C147" s="242">
        <f>(E147+F147)*4+G147*9</f>
        <v>63.4</v>
      </c>
      <c r="D147" s="257" t="s">
        <v>414</v>
      </c>
      <c r="E147" s="258">
        <v>5.5</v>
      </c>
      <c r="F147" s="258">
        <v>3.6</v>
      </c>
      <c r="G147" s="258">
        <v>3</v>
      </c>
      <c r="H147" s="258">
        <v>1.8</v>
      </c>
      <c r="I147" s="258">
        <v>14</v>
      </c>
      <c r="J147" s="258">
        <v>1</v>
      </c>
      <c r="K147" s="258">
        <v>0.1</v>
      </c>
      <c r="L147" s="258">
        <v>0</v>
      </c>
      <c r="M147" s="258">
        <v>47.5</v>
      </c>
      <c r="N147" s="258">
        <v>12</v>
      </c>
      <c r="O147" s="258">
        <v>81</v>
      </c>
      <c r="P147" s="258">
        <v>127</v>
      </c>
      <c r="Q147" s="258"/>
      <c r="R147" s="258">
        <f>174*0.3</f>
        <v>52.199999999999996</v>
      </c>
      <c r="S147" s="258">
        <v>0.1</v>
      </c>
      <c r="T147" s="258">
        <v>0</v>
      </c>
      <c r="U147" s="258">
        <v>0</v>
      </c>
      <c r="V147" s="258">
        <v>0</v>
      </c>
      <c r="W147" s="258">
        <v>0.2</v>
      </c>
      <c r="X147" s="258">
        <v>0.1</v>
      </c>
      <c r="Y147" s="258">
        <v>0</v>
      </c>
      <c r="Z147" s="258">
        <v>5.8</v>
      </c>
      <c r="AA147" s="258">
        <v>0.1</v>
      </c>
      <c r="AB147" s="258">
        <v>0.1</v>
      </c>
      <c r="AC147" s="258">
        <v>12</v>
      </c>
      <c r="AD147" s="258">
        <v>161</v>
      </c>
      <c r="AE147" s="258">
        <v>0.5</v>
      </c>
      <c r="AF147" s="258">
        <v>0</v>
      </c>
      <c r="AG147" s="258">
        <v>3.3</v>
      </c>
      <c r="BX147" s="466"/>
      <c r="BY147" s="238"/>
      <c r="BZ147" s="466"/>
      <c r="CA147" s="466"/>
      <c r="CB147" s="466"/>
      <c r="CC147" s="239"/>
    </row>
    <row r="148" spans="1:81" s="168" customFormat="1">
      <c r="A148" s="118" t="s">
        <v>415</v>
      </c>
      <c r="B148" s="242"/>
      <c r="C148" s="242">
        <f>(E148+F148)*4+G148*9</f>
        <v>109</v>
      </c>
      <c r="D148" s="257" t="s">
        <v>416</v>
      </c>
      <c r="E148" s="258">
        <v>0</v>
      </c>
      <c r="F148" s="258">
        <v>7</v>
      </c>
      <c r="G148" s="258">
        <v>9</v>
      </c>
      <c r="H148" s="258">
        <v>6</v>
      </c>
      <c r="I148" s="168">
        <v>30</v>
      </c>
      <c r="J148" s="258">
        <v>2.7</v>
      </c>
      <c r="K148" s="258">
        <v>0.3</v>
      </c>
      <c r="L148" s="258">
        <v>0</v>
      </c>
      <c r="M148" s="258">
        <v>176</v>
      </c>
      <c r="N148" s="258">
        <v>50</v>
      </c>
      <c r="O148" s="258">
        <v>250</v>
      </c>
      <c r="P148" s="258">
        <v>204</v>
      </c>
      <c r="Q148" s="258"/>
      <c r="R148" s="258">
        <v>70</v>
      </c>
      <c r="S148" s="258">
        <v>0.2</v>
      </c>
      <c r="T148" s="258">
        <v>0</v>
      </c>
      <c r="U148" s="258">
        <v>0</v>
      </c>
      <c r="V148" s="258">
        <v>0</v>
      </c>
      <c r="W148" s="258">
        <v>0</v>
      </c>
      <c r="X148" s="258">
        <v>0.01</v>
      </c>
      <c r="Y148" s="258">
        <v>0</v>
      </c>
      <c r="Z148" s="258">
        <v>5</v>
      </c>
      <c r="AA148" s="258">
        <v>0.1</v>
      </c>
      <c r="AB148" s="258">
        <v>0.1</v>
      </c>
      <c r="AC148" s="258">
        <v>8</v>
      </c>
      <c r="AD148" s="258">
        <v>28</v>
      </c>
      <c r="AE148" s="258">
        <v>0.9</v>
      </c>
      <c r="AF148" s="258">
        <v>0</v>
      </c>
      <c r="AG148" s="258">
        <v>4</v>
      </c>
      <c r="BX148" s="466"/>
      <c r="BY148" s="238"/>
      <c r="BZ148" s="466"/>
      <c r="CA148" s="466"/>
      <c r="CB148" s="466"/>
      <c r="CC148" s="239"/>
    </row>
    <row r="149" spans="1:81" s="168" customFormat="1">
      <c r="A149" s="118" t="s">
        <v>417</v>
      </c>
      <c r="B149" s="242"/>
      <c r="C149" s="242">
        <f>(E149+F149)*4+G149*9</f>
        <v>64.599999999999994</v>
      </c>
      <c r="D149" s="257" t="s">
        <v>418</v>
      </c>
      <c r="E149" s="258">
        <v>0</v>
      </c>
      <c r="F149" s="258">
        <v>4</v>
      </c>
      <c r="G149" s="258">
        <v>5.4</v>
      </c>
      <c r="H149" s="258">
        <v>3.6</v>
      </c>
      <c r="I149" s="258">
        <v>18</v>
      </c>
      <c r="J149" s="258">
        <v>1.6</v>
      </c>
      <c r="K149" s="258">
        <v>0.2</v>
      </c>
      <c r="L149" s="258">
        <v>0</v>
      </c>
      <c r="M149" s="258">
        <v>106</v>
      </c>
      <c r="N149" s="258">
        <v>30</v>
      </c>
      <c r="O149" s="258">
        <v>180</v>
      </c>
      <c r="P149" s="258">
        <v>123</v>
      </c>
      <c r="Q149" s="258"/>
      <c r="R149" s="258">
        <v>46</v>
      </c>
      <c r="S149" s="258">
        <v>0</v>
      </c>
      <c r="T149" s="258">
        <v>0</v>
      </c>
      <c r="U149" s="258">
        <v>0</v>
      </c>
      <c r="V149" s="258">
        <v>0</v>
      </c>
      <c r="W149" s="258">
        <v>0.2</v>
      </c>
      <c r="X149" s="258">
        <v>0</v>
      </c>
      <c r="Y149" s="258">
        <v>0</v>
      </c>
      <c r="Z149" s="258">
        <v>3</v>
      </c>
      <c r="AA149" s="258">
        <v>0.1</v>
      </c>
      <c r="AB149" s="258">
        <v>0.1</v>
      </c>
      <c r="AC149" s="258">
        <v>8</v>
      </c>
      <c r="AD149" s="258">
        <v>28</v>
      </c>
      <c r="AE149" s="258">
        <v>0.9</v>
      </c>
      <c r="AF149" s="258">
        <v>0</v>
      </c>
      <c r="AG149" s="258">
        <v>3</v>
      </c>
      <c r="BX149" s="466"/>
      <c r="BY149" s="238"/>
      <c r="BZ149" s="466"/>
      <c r="CA149" s="466"/>
      <c r="CB149" s="466"/>
      <c r="CC149" s="239"/>
    </row>
    <row r="150" spans="1:81" s="168" customFormat="1" ht="30">
      <c r="A150" s="118" t="s">
        <v>419</v>
      </c>
      <c r="B150" s="242"/>
      <c r="C150" s="242">
        <f>(E150+F150)*4+G150*9</f>
        <v>33.72</v>
      </c>
      <c r="D150" s="257" t="s">
        <v>420</v>
      </c>
      <c r="E150" s="258">
        <v>0</v>
      </c>
      <c r="F150" s="258">
        <v>1.68</v>
      </c>
      <c r="G150" s="258">
        <v>3</v>
      </c>
      <c r="H150" s="258">
        <v>2</v>
      </c>
      <c r="I150" s="258">
        <v>11</v>
      </c>
      <c r="J150" s="258">
        <v>0.9</v>
      </c>
      <c r="K150" s="258">
        <v>0.1</v>
      </c>
      <c r="L150" s="258">
        <v>0</v>
      </c>
      <c r="M150" s="168">
        <v>126</v>
      </c>
      <c r="N150" s="258">
        <v>12</v>
      </c>
      <c r="O150" s="258">
        <v>88</v>
      </c>
      <c r="P150" s="258">
        <v>72</v>
      </c>
      <c r="Q150" s="258"/>
      <c r="R150" s="258">
        <v>5</v>
      </c>
      <c r="S150" s="258">
        <v>0</v>
      </c>
      <c r="T150" s="258">
        <v>0</v>
      </c>
      <c r="U150" s="258">
        <v>0</v>
      </c>
      <c r="V150" s="258">
        <v>0.05</v>
      </c>
      <c r="W150" s="258">
        <v>0.2</v>
      </c>
      <c r="X150" s="258">
        <v>0.03</v>
      </c>
      <c r="Y150" s="258">
        <v>0</v>
      </c>
      <c r="Z150" s="258">
        <v>3</v>
      </c>
      <c r="AA150" s="258">
        <v>0.03</v>
      </c>
      <c r="AB150" s="258">
        <v>0.03</v>
      </c>
      <c r="AC150" s="258">
        <v>4</v>
      </c>
      <c r="AD150" s="258">
        <v>10</v>
      </c>
      <c r="AE150" s="258">
        <v>0.5</v>
      </c>
      <c r="AF150" s="258">
        <v>0</v>
      </c>
      <c r="AG150" s="258">
        <v>3</v>
      </c>
      <c r="BX150" s="466"/>
      <c r="BY150" s="238"/>
      <c r="BZ150" s="466"/>
      <c r="CA150" s="466"/>
      <c r="CB150" s="466"/>
      <c r="CC150" s="239"/>
    </row>
    <row r="151" spans="1:81" s="168" customFormat="1">
      <c r="A151" s="182"/>
      <c r="B151" s="182"/>
      <c r="C151" s="182"/>
      <c r="D151" s="257"/>
      <c r="E151" s="258"/>
      <c r="F151" s="258"/>
      <c r="G151" s="258"/>
      <c r="H151" s="258"/>
      <c r="I151" s="258"/>
      <c r="J151" s="258"/>
      <c r="K151" s="258"/>
      <c r="L151" s="258"/>
      <c r="M151" s="258"/>
      <c r="N151" s="258"/>
      <c r="O151" s="258"/>
      <c r="P151" s="258"/>
      <c r="Q151" s="258"/>
      <c r="R151" s="258"/>
      <c r="S151" s="258"/>
      <c r="T151" s="258"/>
      <c r="U151" s="258"/>
      <c r="V151" s="258"/>
      <c r="W151" s="258"/>
      <c r="X151" s="258"/>
      <c r="Y151" s="258"/>
      <c r="Z151" s="258"/>
      <c r="AA151" s="258"/>
      <c r="AB151" s="258"/>
      <c r="AC151" s="258"/>
      <c r="AD151" s="258"/>
      <c r="AE151" s="258"/>
      <c r="AF151" s="258"/>
      <c r="AG151" s="258"/>
      <c r="BX151" s="466"/>
      <c r="BY151" s="238"/>
      <c r="BZ151" s="466"/>
      <c r="CA151" s="466"/>
      <c r="CB151" s="466"/>
      <c r="CC151" s="239"/>
    </row>
    <row r="152" spans="1:81" s="168" customFormat="1">
      <c r="A152" s="182"/>
      <c r="B152" s="182"/>
      <c r="C152" s="182"/>
      <c r="D152" s="257"/>
      <c r="E152" s="258"/>
      <c r="F152" s="258"/>
      <c r="G152" s="258"/>
      <c r="H152" s="258"/>
      <c r="I152" s="258"/>
      <c r="J152" s="258"/>
      <c r="K152" s="258"/>
      <c r="L152" s="258"/>
      <c r="M152" s="258"/>
      <c r="N152" s="258"/>
      <c r="O152" s="258"/>
      <c r="P152" s="258"/>
      <c r="Q152" s="258"/>
      <c r="R152" s="258"/>
      <c r="S152" s="258"/>
      <c r="T152" s="258"/>
      <c r="U152" s="258"/>
      <c r="V152" s="258"/>
      <c r="W152" s="258"/>
      <c r="X152" s="258"/>
      <c r="Y152" s="258"/>
      <c r="Z152" s="258"/>
      <c r="AA152" s="258"/>
      <c r="AB152" s="258"/>
      <c r="AC152" s="258"/>
      <c r="AD152" s="258"/>
      <c r="AE152" s="258"/>
      <c r="AF152" s="258"/>
      <c r="AG152" s="258"/>
      <c r="BX152" s="466"/>
      <c r="BY152" s="238"/>
      <c r="BZ152" s="466"/>
      <c r="CA152" s="466"/>
      <c r="CB152" s="466"/>
      <c r="CC152" s="239"/>
    </row>
    <row r="153" spans="1:81" s="248" customFormat="1">
      <c r="A153" s="252"/>
      <c r="B153" s="252"/>
      <c r="C153" s="252"/>
      <c r="D153" s="209" t="s">
        <v>102</v>
      </c>
      <c r="E153" s="259" t="s">
        <v>359</v>
      </c>
      <c r="F153" s="259" t="s">
        <v>323</v>
      </c>
      <c r="G153" s="259" t="s">
        <v>324</v>
      </c>
      <c r="H153" s="259" t="s">
        <v>325</v>
      </c>
      <c r="I153" s="259" t="s">
        <v>326</v>
      </c>
      <c r="J153" s="259" t="s">
        <v>66</v>
      </c>
      <c r="K153" s="259" t="s">
        <v>67</v>
      </c>
      <c r="L153" s="259" t="s">
        <v>71</v>
      </c>
      <c r="M153" s="259" t="s">
        <v>72</v>
      </c>
      <c r="N153" s="259" t="s">
        <v>328</v>
      </c>
      <c r="O153" s="259" t="s">
        <v>329</v>
      </c>
      <c r="P153" s="259" t="s">
        <v>330</v>
      </c>
      <c r="Q153" s="259" t="s">
        <v>287</v>
      </c>
      <c r="R153" s="259" t="s">
        <v>68</v>
      </c>
      <c r="S153" s="259" t="s">
        <v>241</v>
      </c>
      <c r="T153" s="259" t="s">
        <v>288</v>
      </c>
      <c r="U153" s="259" t="s">
        <v>289</v>
      </c>
      <c r="V153" s="259" t="s">
        <v>290</v>
      </c>
      <c r="W153" s="259" t="s">
        <v>291</v>
      </c>
      <c r="X153" s="259" t="s">
        <v>292</v>
      </c>
      <c r="Y153" s="259" t="s">
        <v>293</v>
      </c>
      <c r="Z153" s="259" t="s">
        <v>69</v>
      </c>
      <c r="AA153" s="259" t="s">
        <v>294</v>
      </c>
      <c r="AB153" s="259" t="s">
        <v>295</v>
      </c>
      <c r="AC153" s="259" t="s">
        <v>296</v>
      </c>
      <c r="AD153" s="259" t="s">
        <v>297</v>
      </c>
      <c r="AE153" s="248" t="s">
        <v>298</v>
      </c>
      <c r="AF153" s="248" t="s">
        <v>299</v>
      </c>
      <c r="AG153" s="248" t="s">
        <v>300</v>
      </c>
      <c r="BX153" s="466"/>
      <c r="BY153" s="249"/>
      <c r="BZ153" s="466"/>
      <c r="CA153" s="466"/>
      <c r="CB153" s="466"/>
      <c r="CC153" s="250"/>
    </row>
    <row r="154" spans="1:81" s="168" customFormat="1">
      <c r="A154" s="182"/>
      <c r="B154" s="182"/>
      <c r="C154" s="182"/>
      <c r="D154" s="207" t="s">
        <v>350</v>
      </c>
      <c r="E154" s="260">
        <v>13.532558139534888</v>
      </c>
      <c r="F154" s="260">
        <v>1.1093023255813954</v>
      </c>
      <c r="G154" s="260">
        <v>0.99069767441860468</v>
      </c>
      <c r="H154" s="260">
        <v>0</v>
      </c>
      <c r="I154" s="260">
        <v>0</v>
      </c>
      <c r="J154" s="260">
        <v>0</v>
      </c>
      <c r="K154" s="260">
        <v>0</v>
      </c>
      <c r="L154" s="260">
        <v>3.6599999999999993</v>
      </c>
      <c r="M154" s="260">
        <v>10.476744186046513</v>
      </c>
      <c r="N154" s="260">
        <v>0</v>
      </c>
      <c r="O154" s="260">
        <v>0</v>
      </c>
      <c r="P154" s="260">
        <v>43.930232558139537</v>
      </c>
      <c r="Q154" s="260">
        <v>0</v>
      </c>
      <c r="R154" s="260">
        <v>14.145348837209303</v>
      </c>
      <c r="S154" s="260">
        <v>21.476190476190474</v>
      </c>
      <c r="T154" s="260">
        <v>0</v>
      </c>
      <c r="U154" s="260">
        <v>0</v>
      </c>
      <c r="V154" s="260">
        <v>3.8139534883720939E-2</v>
      </c>
      <c r="W154" s="260">
        <v>5.1627906976744194E-2</v>
      </c>
      <c r="X154" s="260">
        <v>0.42325581395348838</v>
      </c>
      <c r="Y154" s="260">
        <v>0</v>
      </c>
      <c r="Z154" s="260">
        <v>0</v>
      </c>
      <c r="AA154" s="260">
        <v>0</v>
      </c>
      <c r="AB154" s="260">
        <v>1.3771428571428577</v>
      </c>
      <c r="AC154" s="260">
        <v>25.666666666666668</v>
      </c>
      <c r="AD154" s="260">
        <v>121.54390243902439</v>
      </c>
      <c r="AE154" s="260">
        <v>0.24399999999999997</v>
      </c>
      <c r="AF154" s="260">
        <v>0.17655172413793105</v>
      </c>
      <c r="AG154" s="260">
        <v>0</v>
      </c>
      <c r="BX154" s="466"/>
      <c r="BY154" s="238"/>
      <c r="BZ154" s="466"/>
      <c r="CA154" s="466"/>
      <c r="CB154" s="466"/>
      <c r="CC154" s="239"/>
    </row>
    <row r="155" spans="1:81" s="168" customFormat="1">
      <c r="A155" s="182"/>
      <c r="B155" s="182"/>
      <c r="C155" s="182"/>
      <c r="D155" s="207"/>
      <c r="E155" s="260"/>
      <c r="F155" s="260"/>
      <c r="G155" s="260"/>
      <c r="H155" s="260"/>
      <c r="I155" s="260"/>
      <c r="J155" s="260"/>
      <c r="K155" s="260"/>
      <c r="L155" s="260"/>
      <c r="M155" s="260"/>
      <c r="N155" s="261"/>
      <c r="O155" s="261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  <c r="AD155" s="260"/>
      <c r="AE155" s="262"/>
      <c r="AF155" s="262"/>
      <c r="AG155" s="262"/>
      <c r="BX155" s="466"/>
      <c r="BY155" s="238"/>
      <c r="BZ155" s="466"/>
      <c r="CA155" s="466"/>
      <c r="CB155" s="466"/>
      <c r="CC155" s="239"/>
    </row>
    <row r="156" spans="1:81" s="168" customFormat="1">
      <c r="A156" s="182"/>
      <c r="B156" s="182"/>
      <c r="C156" s="182"/>
      <c r="D156" s="209" t="s">
        <v>421</v>
      </c>
      <c r="E156" s="260"/>
      <c r="F156" s="260"/>
      <c r="G156" s="260"/>
      <c r="H156" s="260"/>
      <c r="I156" s="260"/>
      <c r="J156" s="260"/>
      <c r="K156" s="260"/>
      <c r="L156" s="260"/>
      <c r="M156" s="260"/>
      <c r="N156" s="261"/>
      <c r="O156" s="261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  <c r="AD156" s="260"/>
      <c r="AE156" s="262"/>
      <c r="AF156" s="262"/>
      <c r="AG156" s="262"/>
      <c r="BX156" s="466"/>
      <c r="BY156" s="238"/>
      <c r="BZ156" s="466"/>
      <c r="CA156" s="466"/>
      <c r="CB156" s="466"/>
      <c r="CC156" s="239"/>
    </row>
    <row r="157" spans="1:81" s="168" customFormat="1">
      <c r="A157" s="182"/>
      <c r="B157" s="182"/>
      <c r="C157" s="182"/>
      <c r="D157" s="257" t="s">
        <v>422</v>
      </c>
      <c r="E157" s="260">
        <v>5</v>
      </c>
      <c r="F157" s="260">
        <v>0</v>
      </c>
      <c r="G157" s="260">
        <v>0</v>
      </c>
      <c r="H157" s="260">
        <v>0</v>
      </c>
      <c r="I157" s="260">
        <v>0</v>
      </c>
      <c r="J157" s="260">
        <v>0</v>
      </c>
      <c r="K157" s="260">
        <v>0</v>
      </c>
      <c r="L157" s="260">
        <v>0</v>
      </c>
      <c r="M157" s="260">
        <v>0</v>
      </c>
      <c r="N157" s="260">
        <v>0</v>
      </c>
      <c r="O157" s="260">
        <v>0</v>
      </c>
      <c r="P157" s="260">
        <v>0</v>
      </c>
      <c r="Q157" s="260">
        <v>5</v>
      </c>
      <c r="R157" s="260">
        <v>0</v>
      </c>
      <c r="S157" s="260">
        <v>0</v>
      </c>
      <c r="T157" s="260">
        <v>0</v>
      </c>
      <c r="U157" s="260">
        <v>0</v>
      </c>
      <c r="V157" s="260">
        <v>0</v>
      </c>
      <c r="W157" s="260">
        <v>0</v>
      </c>
      <c r="X157" s="260">
        <v>0</v>
      </c>
      <c r="Y157" s="260">
        <v>0</v>
      </c>
      <c r="Z157" s="260">
        <v>0</v>
      </c>
      <c r="AA157" s="260">
        <v>0</v>
      </c>
      <c r="AB157" s="260">
        <v>0</v>
      </c>
      <c r="AC157" s="260">
        <v>0</v>
      </c>
      <c r="AD157" s="260">
        <v>0</v>
      </c>
      <c r="AE157" s="260">
        <v>0</v>
      </c>
      <c r="AF157" s="260">
        <v>0</v>
      </c>
      <c r="AG157" s="260">
        <v>0</v>
      </c>
      <c r="BX157" s="466"/>
      <c r="BY157" s="238"/>
      <c r="BZ157" s="466"/>
      <c r="CA157" s="466"/>
      <c r="CB157" s="466"/>
      <c r="CC157" s="239"/>
    </row>
    <row r="158" spans="1:81" s="168" customFormat="1">
      <c r="A158" s="182"/>
      <c r="B158" s="182"/>
      <c r="C158" s="182"/>
      <c r="D158" s="257" t="s">
        <v>423</v>
      </c>
      <c r="E158" s="260">
        <f>14.2/3</f>
        <v>4.7333333333333334</v>
      </c>
      <c r="F158" s="260">
        <v>0</v>
      </c>
      <c r="G158" s="260">
        <v>0</v>
      </c>
      <c r="H158" s="260">
        <v>0</v>
      </c>
      <c r="I158" s="260">
        <v>0</v>
      </c>
      <c r="J158" s="260">
        <v>0</v>
      </c>
      <c r="K158" s="260">
        <v>0</v>
      </c>
      <c r="L158" s="260">
        <v>0</v>
      </c>
      <c r="M158" s="260">
        <v>0</v>
      </c>
      <c r="N158" s="260">
        <v>0</v>
      </c>
      <c r="O158" s="260">
        <v>0</v>
      </c>
      <c r="P158" s="260">
        <v>0</v>
      </c>
      <c r="Q158" s="260">
        <f>12.6/3</f>
        <v>4.2</v>
      </c>
      <c r="R158" s="260">
        <v>0</v>
      </c>
      <c r="S158" s="260">
        <f>1.8/3</f>
        <v>0.6</v>
      </c>
      <c r="T158" s="260">
        <v>0</v>
      </c>
      <c r="U158" s="260">
        <v>0</v>
      </c>
      <c r="V158" s="260">
        <v>0</v>
      </c>
      <c r="W158" s="260">
        <f>0.1/3</f>
        <v>3.3333333333333333E-2</v>
      </c>
      <c r="X158" s="260">
        <v>0</v>
      </c>
      <c r="Y158" s="260">
        <v>0</v>
      </c>
      <c r="Z158" s="260">
        <f>2.2/3</f>
        <v>0.73333333333333339</v>
      </c>
      <c r="AA158" s="260">
        <v>0</v>
      </c>
      <c r="AB158" s="260">
        <f>0.1/3</f>
        <v>3.3333333333333333E-2</v>
      </c>
      <c r="AC158" s="260">
        <v>0</v>
      </c>
      <c r="AD158" s="260">
        <f>15/3</f>
        <v>5</v>
      </c>
      <c r="AE158" s="260">
        <v>0</v>
      </c>
      <c r="AF158" s="260">
        <v>0</v>
      </c>
      <c r="AG158" s="260">
        <v>0</v>
      </c>
      <c r="BX158" s="466"/>
      <c r="BY158" s="238"/>
      <c r="BZ158" s="466"/>
      <c r="CA158" s="466"/>
      <c r="CB158" s="466"/>
      <c r="CC158" s="239"/>
    </row>
    <row r="159" spans="1:81" s="168" customFormat="1">
      <c r="A159" s="182"/>
      <c r="B159" s="182"/>
      <c r="C159" s="182"/>
      <c r="D159" s="257" t="s">
        <v>424</v>
      </c>
      <c r="E159" s="260">
        <f>13/3</f>
        <v>4.333333333333333</v>
      </c>
      <c r="F159" s="260">
        <v>0</v>
      </c>
      <c r="G159" s="260">
        <v>0</v>
      </c>
      <c r="H159" s="260">
        <v>0</v>
      </c>
      <c r="I159" s="260">
        <v>0</v>
      </c>
      <c r="J159" s="260">
        <v>0</v>
      </c>
      <c r="K159" s="260">
        <v>0</v>
      </c>
      <c r="L159" s="260">
        <v>0</v>
      </c>
      <c r="M159" s="260">
        <f>6/3</f>
        <v>2</v>
      </c>
      <c r="N159" s="260">
        <v>0</v>
      </c>
      <c r="O159" s="260">
        <v>0</v>
      </c>
      <c r="P159" s="260">
        <f>1/3</f>
        <v>0.33333333333333331</v>
      </c>
      <c r="Q159" s="260">
        <v>0</v>
      </c>
      <c r="R159" s="260">
        <v>0</v>
      </c>
      <c r="S159" s="260">
        <f>0.2/3</f>
        <v>6.6666666666666666E-2</v>
      </c>
      <c r="T159" s="260">
        <v>0</v>
      </c>
      <c r="U159" s="260">
        <v>0</v>
      </c>
      <c r="V159" s="260">
        <v>0</v>
      </c>
      <c r="W159" s="260">
        <v>0</v>
      </c>
      <c r="X159" s="260">
        <v>0</v>
      </c>
      <c r="Y159" s="260">
        <v>0</v>
      </c>
      <c r="Z159" s="260">
        <f>0.4/3</f>
        <v>0.13333333333333333</v>
      </c>
      <c r="AA159" s="260">
        <v>0</v>
      </c>
      <c r="AB159" s="260">
        <f>0.03/3</f>
        <v>0.01</v>
      </c>
      <c r="AC159" s="260">
        <v>0</v>
      </c>
      <c r="AD159" s="260">
        <f>10/3</f>
        <v>3.3333333333333335</v>
      </c>
      <c r="AE159" s="260">
        <v>0</v>
      </c>
      <c r="AF159" s="260">
        <v>0</v>
      </c>
      <c r="AG159" s="260">
        <v>0</v>
      </c>
      <c r="BX159" s="466"/>
      <c r="BY159" s="238"/>
      <c r="BZ159" s="466"/>
      <c r="CA159" s="466"/>
      <c r="CB159" s="466"/>
      <c r="CC159" s="239"/>
    </row>
    <row r="160" spans="1:81" s="168" customFormat="1">
      <c r="A160" s="182"/>
      <c r="B160" s="182"/>
      <c r="C160" s="182"/>
      <c r="D160" s="207" t="s">
        <v>350</v>
      </c>
      <c r="E160" s="258">
        <f>E157</f>
        <v>5</v>
      </c>
      <c r="F160" s="258">
        <f t="shared" ref="F160:AG160" si="28">F157</f>
        <v>0</v>
      </c>
      <c r="G160" s="258">
        <f t="shared" si="28"/>
        <v>0</v>
      </c>
      <c r="H160" s="258">
        <f t="shared" si="28"/>
        <v>0</v>
      </c>
      <c r="I160" s="258">
        <f t="shared" si="28"/>
        <v>0</v>
      </c>
      <c r="J160" s="258">
        <f t="shared" si="28"/>
        <v>0</v>
      </c>
      <c r="K160" s="258">
        <f t="shared" si="28"/>
        <v>0</v>
      </c>
      <c r="L160" s="258">
        <f t="shared" si="28"/>
        <v>0</v>
      </c>
      <c r="M160" s="258">
        <f t="shared" si="28"/>
        <v>0</v>
      </c>
      <c r="N160" s="258">
        <f t="shared" si="28"/>
        <v>0</v>
      </c>
      <c r="O160" s="258">
        <f t="shared" si="28"/>
        <v>0</v>
      </c>
      <c r="P160" s="258">
        <f t="shared" si="28"/>
        <v>0</v>
      </c>
      <c r="Q160" s="258">
        <f t="shared" si="28"/>
        <v>5</v>
      </c>
      <c r="R160" s="258">
        <f t="shared" si="28"/>
        <v>0</v>
      </c>
      <c r="S160" s="258">
        <f t="shared" si="28"/>
        <v>0</v>
      </c>
      <c r="T160" s="258">
        <f t="shared" si="28"/>
        <v>0</v>
      </c>
      <c r="U160" s="258">
        <f t="shared" si="28"/>
        <v>0</v>
      </c>
      <c r="V160" s="258">
        <f t="shared" si="28"/>
        <v>0</v>
      </c>
      <c r="W160" s="258">
        <f t="shared" si="28"/>
        <v>0</v>
      </c>
      <c r="X160" s="258">
        <f t="shared" si="28"/>
        <v>0</v>
      </c>
      <c r="Y160" s="258">
        <f t="shared" si="28"/>
        <v>0</v>
      </c>
      <c r="Z160" s="258">
        <f t="shared" si="28"/>
        <v>0</v>
      </c>
      <c r="AA160" s="258">
        <f t="shared" si="28"/>
        <v>0</v>
      </c>
      <c r="AB160" s="258">
        <f t="shared" si="28"/>
        <v>0</v>
      </c>
      <c r="AC160" s="258">
        <f t="shared" si="28"/>
        <v>0</v>
      </c>
      <c r="AD160" s="258">
        <f t="shared" si="28"/>
        <v>0</v>
      </c>
      <c r="AE160" s="258">
        <f t="shared" si="28"/>
        <v>0</v>
      </c>
      <c r="AF160" s="258">
        <f t="shared" si="28"/>
        <v>0</v>
      </c>
      <c r="AG160" s="258">
        <f t="shared" si="28"/>
        <v>0</v>
      </c>
      <c r="BX160" s="466"/>
      <c r="BY160" s="238"/>
      <c r="BZ160" s="466"/>
      <c r="CA160" s="466"/>
      <c r="CB160" s="466"/>
      <c r="CC160" s="239"/>
    </row>
    <row r="161" spans="1:87" s="168" customFormat="1">
      <c r="A161" s="182"/>
      <c r="B161" s="182"/>
      <c r="C161" s="182"/>
      <c r="D161" s="207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  <c r="Q161" s="258"/>
      <c r="R161" s="258"/>
      <c r="S161" s="258"/>
      <c r="T161" s="258"/>
      <c r="U161" s="258"/>
      <c r="V161" s="258"/>
      <c r="W161" s="258"/>
      <c r="X161" s="258"/>
      <c r="Y161" s="258"/>
      <c r="Z161" s="258"/>
      <c r="AA161" s="258"/>
      <c r="AB161" s="258"/>
      <c r="AC161" s="258"/>
      <c r="AD161" s="258"/>
      <c r="AE161" s="258"/>
      <c r="AF161" s="258"/>
      <c r="AG161" s="258"/>
      <c r="BX161" s="466"/>
      <c r="BY161" s="238"/>
      <c r="BZ161" s="466"/>
      <c r="CA161" s="466"/>
      <c r="CB161" s="466"/>
      <c r="CC161" s="239"/>
    </row>
    <row r="162" spans="1:87" s="168" customFormat="1">
      <c r="A162" s="182"/>
      <c r="B162" s="182"/>
      <c r="C162" s="182"/>
      <c r="D162" s="207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8"/>
      <c r="P162" s="258"/>
      <c r="Q162" s="258"/>
      <c r="R162" s="258"/>
      <c r="S162" s="258"/>
      <c r="T162" s="258"/>
      <c r="U162" s="258"/>
      <c r="V162" s="258"/>
      <c r="W162" s="258"/>
      <c r="X162" s="258"/>
      <c r="Y162" s="258"/>
      <c r="Z162" s="258"/>
      <c r="AA162" s="258"/>
      <c r="AB162" s="258"/>
      <c r="AC162" s="258"/>
      <c r="AD162" s="258"/>
      <c r="AE162" s="258"/>
      <c r="AF162" s="258"/>
      <c r="AG162" s="258"/>
      <c r="BX162" s="466"/>
      <c r="BY162" s="238"/>
      <c r="BZ162" s="466"/>
      <c r="CA162" s="466"/>
      <c r="CB162" s="466"/>
      <c r="CC162" s="239"/>
    </row>
    <row r="163" spans="1:87" s="245" customFormat="1">
      <c r="A163" s="246"/>
      <c r="B163" s="246"/>
      <c r="C163" s="246"/>
      <c r="D163" s="209" t="s">
        <v>425</v>
      </c>
      <c r="E163" s="248" t="s">
        <v>359</v>
      </c>
      <c r="F163" s="248" t="s">
        <v>323</v>
      </c>
      <c r="G163" s="248" t="s">
        <v>324</v>
      </c>
      <c r="H163" s="248" t="s">
        <v>325</v>
      </c>
      <c r="I163" s="248" t="s">
        <v>326</v>
      </c>
      <c r="J163" s="254" t="s">
        <v>66</v>
      </c>
      <c r="K163" s="245" t="s">
        <v>67</v>
      </c>
      <c r="L163" s="245" t="s">
        <v>71</v>
      </c>
      <c r="M163" s="245" t="s">
        <v>72</v>
      </c>
      <c r="N163" s="248" t="s">
        <v>328</v>
      </c>
      <c r="O163" s="248" t="s">
        <v>329</v>
      </c>
      <c r="P163" s="248" t="s">
        <v>330</v>
      </c>
      <c r="Q163" s="245" t="s">
        <v>287</v>
      </c>
      <c r="R163" s="245" t="s">
        <v>68</v>
      </c>
      <c r="S163" s="245" t="s">
        <v>241</v>
      </c>
      <c r="T163" s="245" t="s">
        <v>288</v>
      </c>
      <c r="U163" s="255" t="s">
        <v>289</v>
      </c>
      <c r="V163" s="255" t="s">
        <v>290</v>
      </c>
      <c r="W163" s="255" t="s">
        <v>291</v>
      </c>
      <c r="X163" s="255" t="s">
        <v>292</v>
      </c>
      <c r="Y163" s="255" t="s">
        <v>293</v>
      </c>
      <c r="Z163" s="255" t="s">
        <v>69</v>
      </c>
      <c r="AA163" s="255" t="s">
        <v>294</v>
      </c>
      <c r="AB163" s="255" t="s">
        <v>295</v>
      </c>
      <c r="AC163" s="255" t="s">
        <v>296</v>
      </c>
      <c r="AD163" s="255" t="s">
        <v>297</v>
      </c>
      <c r="AE163" s="256" t="s">
        <v>298</v>
      </c>
      <c r="AF163" s="248" t="s">
        <v>299</v>
      </c>
      <c r="AG163" s="248" t="s">
        <v>300</v>
      </c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BR163" s="248"/>
      <c r="BS163" s="248"/>
      <c r="BT163" s="248"/>
      <c r="BU163" s="248"/>
      <c r="BV163" s="248"/>
      <c r="BW163" s="248"/>
      <c r="BX163" s="466"/>
      <c r="BY163" s="248"/>
      <c r="BZ163" s="466"/>
      <c r="CA163" s="466"/>
      <c r="CB163" s="466"/>
      <c r="CC163" s="248"/>
      <c r="CD163" s="248"/>
      <c r="CE163" s="248"/>
      <c r="CF163" s="248"/>
      <c r="CG163" s="248"/>
      <c r="CH163" s="248"/>
      <c r="CI163" s="248"/>
    </row>
    <row r="164" spans="1:87">
      <c r="D164" s="119" t="s">
        <v>426</v>
      </c>
      <c r="E164" s="168">
        <v>4.3</v>
      </c>
      <c r="F164" s="131">
        <v>7</v>
      </c>
      <c r="G164" s="131">
        <v>14</v>
      </c>
      <c r="H164" s="131">
        <v>2.1</v>
      </c>
      <c r="I164" s="131">
        <v>0</v>
      </c>
      <c r="J164" s="190">
        <v>6.8</v>
      </c>
      <c r="K164" s="131">
        <v>4.5</v>
      </c>
      <c r="L164" s="131">
        <v>2.6</v>
      </c>
      <c r="M164" s="131">
        <v>3</v>
      </c>
      <c r="N164" s="131">
        <v>0</v>
      </c>
      <c r="O164" s="131">
        <v>4250</v>
      </c>
      <c r="P164" s="131">
        <v>17</v>
      </c>
      <c r="Q164" s="131">
        <v>1.2</v>
      </c>
      <c r="R164" s="131">
        <v>0</v>
      </c>
      <c r="S164" s="131">
        <v>0.2</v>
      </c>
      <c r="T164" s="131">
        <v>0</v>
      </c>
      <c r="U164" s="131">
        <v>1.9</v>
      </c>
      <c r="V164" s="192">
        <v>0</v>
      </c>
      <c r="W164" s="192">
        <v>0</v>
      </c>
      <c r="X164" s="192">
        <v>3.9</v>
      </c>
      <c r="Y164" s="192">
        <v>0.1</v>
      </c>
      <c r="Z164" s="131">
        <v>33.6</v>
      </c>
      <c r="AA164" s="131"/>
      <c r="AB164" s="192"/>
      <c r="AC164" s="192">
        <v>49</v>
      </c>
      <c r="AD164" s="192">
        <v>203</v>
      </c>
      <c r="AE164" s="193">
        <v>0.9</v>
      </c>
      <c r="AF164" s="168">
        <v>0.1</v>
      </c>
      <c r="AG164" s="168">
        <v>0.9</v>
      </c>
      <c r="BR164" s="168"/>
      <c r="BS164" s="168"/>
      <c r="BT164" s="168"/>
      <c r="BU164" s="168"/>
      <c r="BV164" s="168"/>
      <c r="BW164" s="168"/>
      <c r="BX164" s="466"/>
      <c r="BY164" s="168"/>
      <c r="BZ164" s="466"/>
      <c r="CA164" s="466"/>
      <c r="CB164" s="466"/>
      <c r="CC164" s="168"/>
      <c r="CD164" s="168"/>
      <c r="CE164" s="168"/>
      <c r="CF164" s="168"/>
      <c r="CG164" s="168"/>
      <c r="CH164" s="168"/>
      <c r="CI164" s="168"/>
    </row>
    <row r="165" spans="1:87">
      <c r="D165" s="119" t="s">
        <v>427</v>
      </c>
      <c r="E165" s="168">
        <v>5</v>
      </c>
      <c r="F165" s="131">
        <v>6</v>
      </c>
      <c r="G165" s="131">
        <v>14.9</v>
      </c>
      <c r="H165" s="131">
        <v>1.2</v>
      </c>
      <c r="I165" s="131">
        <v>0</v>
      </c>
      <c r="J165" s="190">
        <v>9.9</v>
      </c>
      <c r="K165" s="131">
        <v>3.8</v>
      </c>
      <c r="L165" s="131">
        <v>3</v>
      </c>
      <c r="M165" s="131">
        <v>0</v>
      </c>
      <c r="N165" s="131">
        <v>0</v>
      </c>
      <c r="O165" s="131">
        <v>3819</v>
      </c>
      <c r="P165" s="131">
        <v>82</v>
      </c>
      <c r="Q165" s="131"/>
      <c r="R165" s="131"/>
      <c r="S165" s="131"/>
      <c r="T165" s="131">
        <v>0</v>
      </c>
      <c r="U165" s="131">
        <v>7.3</v>
      </c>
      <c r="V165" s="192"/>
      <c r="W165" s="192"/>
      <c r="X165" s="192"/>
      <c r="Y165" s="192"/>
      <c r="Z165" s="131"/>
      <c r="AA165" s="131"/>
      <c r="AB165" s="192">
        <v>1.03</v>
      </c>
      <c r="AC165" s="192">
        <v>77</v>
      </c>
      <c r="AD165" s="192">
        <v>198</v>
      </c>
      <c r="AE165" s="193">
        <v>0.9</v>
      </c>
      <c r="AF165" s="168">
        <v>0.3</v>
      </c>
      <c r="AG165" s="168">
        <v>0.8</v>
      </c>
      <c r="BR165" s="168"/>
      <c r="BS165" s="168"/>
      <c r="BT165" s="168"/>
      <c r="BU165" s="168"/>
      <c r="BV165" s="168"/>
      <c r="BW165" s="168"/>
      <c r="BX165" s="466"/>
      <c r="BY165" s="168"/>
      <c r="BZ165" s="466"/>
      <c r="CA165" s="466"/>
      <c r="CB165" s="466"/>
      <c r="CC165" s="168"/>
      <c r="CD165" s="168"/>
      <c r="CE165" s="168"/>
      <c r="CF165" s="168"/>
      <c r="CG165" s="168"/>
      <c r="CH165" s="168"/>
      <c r="CI165" s="168"/>
    </row>
    <row r="166" spans="1:87">
      <c r="D166" s="119" t="s">
        <v>428</v>
      </c>
      <c r="E166" s="168">
        <v>8</v>
      </c>
      <c r="F166" s="131">
        <v>5</v>
      </c>
      <c r="G166" s="131">
        <v>13.4</v>
      </c>
      <c r="H166" s="131">
        <v>2.4</v>
      </c>
      <c r="I166" s="131">
        <v>0</v>
      </c>
      <c r="J166" s="190">
        <v>7.8</v>
      </c>
      <c r="K166" s="131">
        <v>2.4</v>
      </c>
      <c r="L166" s="131">
        <v>0.9</v>
      </c>
      <c r="M166" s="131">
        <v>4</v>
      </c>
      <c r="N166" s="131">
        <v>19</v>
      </c>
      <c r="O166" s="131">
        <v>2374</v>
      </c>
      <c r="P166" s="131">
        <v>12</v>
      </c>
      <c r="Q166" s="131">
        <v>1</v>
      </c>
      <c r="R166" s="131"/>
      <c r="S166" s="131"/>
      <c r="T166" s="131">
        <v>0</v>
      </c>
      <c r="U166" s="131"/>
      <c r="V166" s="192"/>
      <c r="W166" s="192"/>
      <c r="X166" s="192"/>
      <c r="Y166" s="192">
        <v>0.1</v>
      </c>
      <c r="Z166" s="192">
        <v>7</v>
      </c>
      <c r="AA166" s="192"/>
      <c r="AB166" s="192">
        <v>1.7</v>
      </c>
      <c r="AC166" s="192">
        <v>76</v>
      </c>
      <c r="AD166" s="192">
        <v>177</v>
      </c>
      <c r="AE166" s="193">
        <v>1.5</v>
      </c>
      <c r="AF166" s="168">
        <v>0.6</v>
      </c>
      <c r="AG166" s="168">
        <v>5.7</v>
      </c>
      <c r="BR166" s="168"/>
      <c r="BS166" s="168"/>
      <c r="BT166" s="168"/>
      <c r="BU166" s="168"/>
      <c r="BV166" s="168"/>
      <c r="BW166" s="168"/>
      <c r="BX166" s="466"/>
      <c r="BY166" s="168"/>
      <c r="BZ166" s="466"/>
      <c r="CA166" s="466"/>
      <c r="CB166" s="466"/>
      <c r="CC166" s="168"/>
      <c r="CD166" s="168"/>
      <c r="CE166" s="168"/>
      <c r="CF166" s="168"/>
      <c r="CG166" s="168"/>
      <c r="CH166" s="168"/>
      <c r="CI166" s="168"/>
    </row>
    <row r="167" spans="1:87">
      <c r="D167" s="119" t="s">
        <v>429</v>
      </c>
      <c r="E167" s="168">
        <v>8</v>
      </c>
      <c r="F167" s="131">
        <v>6</v>
      </c>
      <c r="G167" s="131">
        <v>13</v>
      </c>
      <c r="H167" s="189">
        <v>1.6</v>
      </c>
      <c r="I167" s="131">
        <v>0</v>
      </c>
      <c r="J167" s="190">
        <v>6.8</v>
      </c>
      <c r="K167" s="131">
        <v>3.9</v>
      </c>
      <c r="L167" s="131">
        <v>2.9</v>
      </c>
      <c r="M167" s="131">
        <v>3</v>
      </c>
      <c r="N167" s="131">
        <v>74</v>
      </c>
      <c r="O167" s="131">
        <v>3852</v>
      </c>
      <c r="P167" s="131">
        <v>31</v>
      </c>
      <c r="Q167" s="191">
        <v>2.2000000000000002</v>
      </c>
      <c r="R167" s="192"/>
      <c r="S167" s="192"/>
      <c r="T167" s="192">
        <v>0</v>
      </c>
      <c r="U167" s="192"/>
      <c r="V167" s="192">
        <v>0.2</v>
      </c>
      <c r="W167" s="192"/>
      <c r="X167" s="192"/>
      <c r="Y167" s="192">
        <v>0.4</v>
      </c>
      <c r="Z167" s="192"/>
      <c r="AA167" s="192"/>
      <c r="AB167" s="192">
        <v>1.2</v>
      </c>
      <c r="AC167" s="192">
        <v>34</v>
      </c>
      <c r="AD167" s="192">
        <v>294</v>
      </c>
      <c r="AE167" s="193">
        <v>0.6</v>
      </c>
      <c r="AF167" s="168">
        <v>0.4</v>
      </c>
      <c r="AG167" s="168">
        <v>2.6</v>
      </c>
      <c r="BR167" s="168"/>
      <c r="BS167" s="168"/>
      <c r="BT167" s="168"/>
      <c r="BU167" s="168"/>
      <c r="BV167" s="168"/>
      <c r="BW167" s="168"/>
      <c r="BX167" s="466"/>
      <c r="BY167" s="168"/>
      <c r="BZ167" s="466"/>
      <c r="CA167" s="466"/>
      <c r="CB167" s="466"/>
      <c r="CC167" s="168"/>
      <c r="CD167" s="168"/>
      <c r="CE167" s="168"/>
      <c r="CF167" s="168"/>
      <c r="CG167" s="168"/>
      <c r="CH167" s="168"/>
      <c r="CI167" s="168"/>
    </row>
    <row r="168" spans="1:87">
      <c r="D168" s="119" t="s">
        <v>430</v>
      </c>
      <c r="E168" s="168">
        <v>2.8</v>
      </c>
      <c r="F168" s="131">
        <v>6</v>
      </c>
      <c r="G168" s="131">
        <v>16</v>
      </c>
      <c r="H168" s="131">
        <v>0.94</v>
      </c>
      <c r="I168" s="131">
        <v>0</v>
      </c>
      <c r="J168" s="190">
        <v>4.2</v>
      </c>
      <c r="K168" s="131">
        <v>9.8000000000000007</v>
      </c>
      <c r="L168" s="131">
        <v>1.9</v>
      </c>
      <c r="M168" s="131">
        <v>0.6</v>
      </c>
      <c r="N168" s="131">
        <v>562</v>
      </c>
      <c r="O168" s="131">
        <v>9260</v>
      </c>
      <c r="P168" s="131">
        <v>17.100000000000001</v>
      </c>
      <c r="Q168" s="191">
        <v>0.3</v>
      </c>
      <c r="R168" s="192" t="s">
        <v>431</v>
      </c>
      <c r="S168" s="192" t="s">
        <v>431</v>
      </c>
      <c r="T168" s="192">
        <v>0</v>
      </c>
      <c r="U168" s="192" t="s">
        <v>431</v>
      </c>
      <c r="V168" s="192" t="s">
        <v>431</v>
      </c>
      <c r="W168" s="192" t="s">
        <v>431</v>
      </c>
      <c r="X168" s="192" t="s">
        <v>431</v>
      </c>
      <c r="Y168" s="192">
        <v>0.2</v>
      </c>
      <c r="Z168" s="192" t="s">
        <v>431</v>
      </c>
      <c r="AA168" s="192" t="s">
        <v>431</v>
      </c>
      <c r="AB168" s="192"/>
      <c r="AC168" s="192">
        <v>56.3</v>
      </c>
      <c r="AD168" s="192">
        <v>146</v>
      </c>
      <c r="AE168" s="193">
        <v>0.9</v>
      </c>
      <c r="AF168" s="168">
        <v>0.4</v>
      </c>
      <c r="AG168" s="168">
        <v>4.8</v>
      </c>
      <c r="BR168" s="168"/>
      <c r="BS168" s="168"/>
      <c r="BT168" s="168"/>
      <c r="BU168" s="168"/>
      <c r="BV168" s="168"/>
      <c r="BW168" s="168"/>
      <c r="BX168" s="466"/>
      <c r="BY168" s="168"/>
      <c r="BZ168" s="466"/>
      <c r="CA168" s="466"/>
      <c r="CB168" s="466"/>
      <c r="CC168" s="168"/>
      <c r="CD168" s="168"/>
      <c r="CE168" s="168"/>
      <c r="CF168" s="168"/>
      <c r="CG168" s="168"/>
      <c r="CH168" s="168"/>
      <c r="CI168" s="168"/>
    </row>
    <row r="169" spans="1:87" s="245" customFormat="1">
      <c r="A169" s="246"/>
      <c r="B169" s="246"/>
      <c r="C169" s="246"/>
      <c r="D169" s="246" t="s">
        <v>350</v>
      </c>
      <c r="E169" s="263">
        <f>AVERAGE(E164:E168)</f>
        <v>5.62</v>
      </c>
      <c r="F169" s="263">
        <f t="shared" ref="F169:AG169" si="29">AVERAGE(F164:F168)</f>
        <v>6</v>
      </c>
      <c r="G169" s="263">
        <f t="shared" si="29"/>
        <v>14.26</v>
      </c>
      <c r="H169" s="263">
        <f t="shared" si="29"/>
        <v>1.6479999999999997</v>
      </c>
      <c r="I169" s="263">
        <f t="shared" si="29"/>
        <v>0</v>
      </c>
      <c r="J169" s="263">
        <f t="shared" si="29"/>
        <v>7.1</v>
      </c>
      <c r="K169" s="263">
        <f t="shared" si="29"/>
        <v>4.8800000000000008</v>
      </c>
      <c r="L169" s="263">
        <f t="shared" si="29"/>
        <v>2.2600000000000002</v>
      </c>
      <c r="M169" s="263">
        <f t="shared" si="29"/>
        <v>2.12</v>
      </c>
      <c r="N169" s="263">
        <f t="shared" si="29"/>
        <v>131</v>
      </c>
      <c r="O169" s="263">
        <f t="shared" si="29"/>
        <v>4711</v>
      </c>
      <c r="P169" s="263">
        <f t="shared" si="29"/>
        <v>31.82</v>
      </c>
      <c r="Q169" s="248">
        <f t="shared" si="29"/>
        <v>1.175</v>
      </c>
      <c r="R169" s="248">
        <f t="shared" si="29"/>
        <v>0</v>
      </c>
      <c r="S169" s="248">
        <f t="shared" si="29"/>
        <v>0.2</v>
      </c>
      <c r="T169" s="248">
        <f t="shared" si="29"/>
        <v>0</v>
      </c>
      <c r="U169" s="248">
        <f t="shared" si="29"/>
        <v>4.5999999999999996</v>
      </c>
      <c r="V169" s="248">
        <f t="shared" si="29"/>
        <v>0.1</v>
      </c>
      <c r="W169" s="248">
        <f t="shared" si="29"/>
        <v>0</v>
      </c>
      <c r="X169" s="248">
        <f t="shared" si="29"/>
        <v>3.9</v>
      </c>
      <c r="Y169" s="248">
        <f t="shared" si="29"/>
        <v>0.2</v>
      </c>
      <c r="Z169" s="248">
        <f t="shared" si="29"/>
        <v>20.3</v>
      </c>
      <c r="AA169" s="248">
        <v>0</v>
      </c>
      <c r="AB169" s="248">
        <f t="shared" si="29"/>
        <v>1.3099999999999998</v>
      </c>
      <c r="AC169" s="248">
        <f t="shared" si="29"/>
        <v>58.46</v>
      </c>
      <c r="AD169" s="248">
        <f t="shared" si="29"/>
        <v>203.6</v>
      </c>
      <c r="AE169" s="248">
        <f t="shared" si="29"/>
        <v>0.96</v>
      </c>
      <c r="AF169" s="248">
        <f t="shared" si="29"/>
        <v>0.36</v>
      </c>
      <c r="AG169" s="248">
        <f t="shared" si="29"/>
        <v>2.96</v>
      </c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BR169" s="248"/>
      <c r="BS169" s="248"/>
      <c r="BT169" s="248"/>
      <c r="BU169" s="248"/>
      <c r="BV169" s="248"/>
      <c r="BW169" s="248"/>
      <c r="BX169" s="466"/>
      <c r="BY169" s="248"/>
      <c r="BZ169" s="466"/>
      <c r="CA169" s="466"/>
      <c r="CB169" s="466"/>
      <c r="CC169" s="248"/>
      <c r="CD169" s="248"/>
      <c r="CE169" s="248"/>
      <c r="CF169" s="248"/>
      <c r="CG169" s="248"/>
      <c r="CH169" s="248"/>
      <c r="CI169" s="248"/>
    </row>
    <row r="170" spans="1:87">
      <c r="D170" s="119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BR170" s="168"/>
      <c r="BS170" s="168"/>
      <c r="BT170" s="168"/>
      <c r="BU170" s="168"/>
      <c r="BV170" s="168"/>
      <c r="BW170" s="168"/>
      <c r="BX170" s="466"/>
      <c r="BY170" s="168"/>
      <c r="BZ170" s="466"/>
      <c r="CA170" s="466"/>
      <c r="CB170" s="466"/>
      <c r="CC170" s="168"/>
      <c r="CD170" s="168"/>
      <c r="CE170" s="168"/>
      <c r="CF170" s="168"/>
      <c r="CG170" s="168"/>
      <c r="CH170" s="168"/>
      <c r="CI170" s="168"/>
    </row>
    <row r="171" spans="1:87">
      <c r="D171" s="264" t="s">
        <v>103</v>
      </c>
      <c r="F171" s="265"/>
      <c r="G171" s="265"/>
      <c r="H171" s="265"/>
      <c r="I171" s="265"/>
      <c r="J171" s="168"/>
      <c r="K171" s="168"/>
      <c r="L171" s="168"/>
      <c r="M171" s="168"/>
      <c r="N171" s="168"/>
      <c r="O171" s="168"/>
      <c r="P171" s="168"/>
      <c r="BR171" s="168"/>
      <c r="BS171" s="168"/>
      <c r="BT171" s="168"/>
      <c r="BU171" s="168"/>
      <c r="BV171" s="168"/>
      <c r="BW171" s="168"/>
      <c r="BX171" s="466"/>
      <c r="BY171" s="238"/>
      <c r="BZ171" s="466"/>
      <c r="CA171" s="466"/>
      <c r="CB171" s="466"/>
      <c r="CC171" s="239"/>
      <c r="CD171" s="168"/>
      <c r="CE171" s="168"/>
      <c r="CF171" s="168"/>
      <c r="CG171" s="168"/>
      <c r="CH171" s="168"/>
      <c r="CI171" s="168"/>
    </row>
    <row r="172" spans="1:87">
      <c r="D172" s="136" t="s">
        <v>432</v>
      </c>
      <c r="E172" s="134" t="s">
        <v>433</v>
      </c>
      <c r="F172" s="265"/>
      <c r="H172" s="265"/>
      <c r="I172" s="265"/>
      <c r="J172" s="168"/>
      <c r="K172" s="168"/>
      <c r="L172" s="168"/>
      <c r="M172" s="168"/>
      <c r="N172" s="168"/>
      <c r="O172" s="168"/>
      <c r="P172" s="168"/>
      <c r="BR172" s="168"/>
      <c r="BS172" s="168"/>
      <c r="BT172" s="168"/>
      <c r="BU172" s="168"/>
      <c r="BV172" s="168"/>
      <c r="BW172" s="168"/>
      <c r="BX172" s="466"/>
      <c r="BY172" s="238"/>
      <c r="BZ172" s="466"/>
      <c r="CA172" s="466"/>
      <c r="CB172" s="466"/>
      <c r="CC172" s="239"/>
      <c r="CD172" s="168"/>
      <c r="CE172" s="168"/>
      <c r="CF172" s="168"/>
      <c r="CG172" s="168"/>
      <c r="CH172" s="168"/>
      <c r="CI172" s="168"/>
    </row>
    <row r="173" spans="1:87">
      <c r="D173" s="136" t="s">
        <v>434</v>
      </c>
      <c r="E173" s="137">
        <v>0</v>
      </c>
      <c r="F173" s="265"/>
      <c r="G173" s="265"/>
      <c r="H173" s="265"/>
      <c r="I173" s="265"/>
      <c r="J173" s="168"/>
      <c r="K173" s="168"/>
      <c r="L173" s="168"/>
      <c r="M173" s="168"/>
      <c r="N173" s="168"/>
      <c r="O173" s="168"/>
      <c r="P173" s="168"/>
      <c r="BR173" s="168"/>
      <c r="BS173" s="168"/>
      <c r="BT173" s="168"/>
      <c r="BU173" s="168"/>
      <c r="BV173" s="168"/>
      <c r="BW173" s="168"/>
      <c r="BX173" s="466"/>
      <c r="BY173" s="238"/>
      <c r="BZ173" s="466"/>
      <c r="CA173" s="466"/>
      <c r="CB173" s="466"/>
      <c r="CC173" s="239"/>
      <c r="CD173" s="168"/>
      <c r="CE173" s="168"/>
      <c r="CF173" s="168"/>
      <c r="CG173" s="168"/>
      <c r="CH173" s="168"/>
      <c r="CI173" s="168"/>
    </row>
    <row r="174" spans="1:87">
      <c r="D174" s="136" t="s">
        <v>435</v>
      </c>
      <c r="E174" s="137">
        <v>0</v>
      </c>
      <c r="F174" s="265"/>
      <c r="G174" s="265"/>
      <c r="H174" s="265"/>
      <c r="I174" s="265"/>
      <c r="J174" s="168"/>
      <c r="K174" s="168"/>
      <c r="L174" s="168"/>
      <c r="M174" s="168"/>
      <c r="N174" s="168"/>
      <c r="O174" s="168"/>
      <c r="P174" s="168"/>
      <c r="BR174" s="168"/>
      <c r="BS174" s="168"/>
      <c r="BT174" s="168"/>
      <c r="BU174" s="168"/>
      <c r="BV174" s="168"/>
      <c r="BW174" s="168"/>
      <c r="BX174" s="466"/>
      <c r="BY174" s="238"/>
      <c r="BZ174" s="466"/>
      <c r="CA174" s="466"/>
      <c r="CB174" s="466"/>
      <c r="CC174" s="239"/>
      <c r="CD174" s="168"/>
      <c r="CE174" s="168"/>
      <c r="CF174" s="168"/>
      <c r="CG174" s="168"/>
      <c r="CH174" s="168"/>
      <c r="CI174" s="168"/>
    </row>
    <row r="175" spans="1:87">
      <c r="D175" s="136" t="s">
        <v>436</v>
      </c>
      <c r="E175" s="137">
        <v>0</v>
      </c>
      <c r="F175" s="265"/>
      <c r="G175" s="265"/>
      <c r="H175" s="265"/>
      <c r="I175" s="265"/>
      <c r="J175" s="168"/>
      <c r="K175" s="168"/>
      <c r="L175" s="168"/>
      <c r="M175" s="168"/>
      <c r="N175" s="168"/>
      <c r="O175" s="168"/>
      <c r="P175" s="168"/>
      <c r="BR175" s="168"/>
      <c r="BS175" s="168"/>
      <c r="BT175" s="168"/>
      <c r="BU175" s="168"/>
      <c r="BV175" s="168"/>
      <c r="BW175" s="168"/>
      <c r="BX175" s="241"/>
      <c r="BY175" s="238"/>
      <c r="BZ175" s="466"/>
      <c r="CA175" s="466"/>
      <c r="CB175" s="466"/>
      <c r="CC175" s="239"/>
      <c r="CD175" s="168"/>
      <c r="CE175" s="168"/>
      <c r="CF175" s="168"/>
      <c r="CG175" s="168"/>
      <c r="CH175" s="168"/>
      <c r="CI175" s="168"/>
    </row>
    <row r="176" spans="1:87">
      <c r="D176" s="136" t="s">
        <v>437</v>
      </c>
      <c r="E176" s="137">
        <v>0</v>
      </c>
      <c r="F176" s="265"/>
      <c r="G176" s="265"/>
      <c r="H176" s="265"/>
      <c r="I176" s="265"/>
      <c r="J176" s="168"/>
      <c r="K176" s="168"/>
      <c r="L176" s="168"/>
      <c r="M176" s="168"/>
      <c r="N176" s="168"/>
      <c r="O176" s="168"/>
      <c r="P176" s="168"/>
      <c r="BR176" s="168"/>
      <c r="BS176" s="168"/>
      <c r="BT176" s="168"/>
      <c r="BU176" s="168"/>
      <c r="BV176" s="168"/>
      <c r="BW176" s="168"/>
      <c r="BX176" s="466"/>
      <c r="BY176" s="238"/>
      <c r="BZ176" s="466"/>
      <c r="CA176" s="466"/>
      <c r="CB176" s="466"/>
      <c r="CC176" s="239"/>
      <c r="CD176" s="168"/>
      <c r="CE176" s="168"/>
      <c r="CF176" s="168"/>
      <c r="CG176" s="168"/>
      <c r="CH176" s="168"/>
      <c r="CI176" s="168"/>
    </row>
    <row r="177" spans="1:87">
      <c r="D177" s="119" t="s">
        <v>438</v>
      </c>
      <c r="E177" s="137">
        <v>0</v>
      </c>
      <c r="F177" s="265"/>
      <c r="G177" s="265"/>
      <c r="H177" s="265"/>
      <c r="I177" s="265"/>
      <c r="J177" s="168"/>
      <c r="K177" s="168"/>
      <c r="L177" s="168"/>
      <c r="M177" s="168"/>
      <c r="N177" s="168"/>
      <c r="O177" s="168"/>
      <c r="P177" s="168"/>
      <c r="BR177" s="168"/>
      <c r="BS177" s="168"/>
      <c r="BT177" s="168"/>
      <c r="BU177" s="168"/>
      <c r="BV177" s="168"/>
      <c r="BW177" s="168"/>
      <c r="BX177" s="466"/>
      <c r="BY177" s="238"/>
      <c r="BZ177" s="466"/>
      <c r="CA177" s="466"/>
      <c r="CB177" s="466"/>
      <c r="CC177" s="239"/>
      <c r="CD177" s="168"/>
      <c r="CE177" s="168"/>
      <c r="CF177" s="168"/>
      <c r="CG177" s="168"/>
      <c r="CH177" s="168"/>
      <c r="CI177" s="168"/>
    </row>
    <row r="178" spans="1:87" ht="45">
      <c r="D178" s="119" t="s">
        <v>439</v>
      </c>
      <c r="E178" s="137">
        <v>0</v>
      </c>
      <c r="F178" s="265"/>
      <c r="G178" s="265"/>
      <c r="H178" s="265"/>
      <c r="I178" s="265"/>
      <c r="J178" s="168"/>
      <c r="K178" s="168"/>
      <c r="L178" s="168"/>
      <c r="M178" s="168"/>
      <c r="N178" s="168"/>
      <c r="O178" s="168"/>
      <c r="P178" s="168"/>
      <c r="BR178" s="168"/>
      <c r="BS178" s="168"/>
      <c r="BT178" s="168"/>
      <c r="BU178" s="168"/>
      <c r="BV178" s="168"/>
      <c r="BW178" s="168"/>
      <c r="BX178" s="466"/>
      <c r="BY178" s="238"/>
      <c r="BZ178" s="466"/>
      <c r="CA178" s="466"/>
      <c r="CB178" s="466"/>
      <c r="CC178" s="239"/>
      <c r="CD178" s="168"/>
      <c r="CE178" s="168"/>
      <c r="CF178" s="168"/>
      <c r="CG178" s="168"/>
      <c r="CH178" s="168"/>
      <c r="CI178" s="168"/>
    </row>
    <row r="179" spans="1:87" ht="30">
      <c r="D179" s="119" t="s">
        <v>440</v>
      </c>
      <c r="E179" s="137">
        <v>0</v>
      </c>
      <c r="F179" s="265"/>
      <c r="G179" s="265"/>
      <c r="H179" s="265"/>
      <c r="I179" s="265"/>
      <c r="J179" s="168"/>
      <c r="K179" s="168"/>
      <c r="L179" s="168"/>
      <c r="M179" s="168"/>
      <c r="N179" s="168"/>
      <c r="O179" s="168"/>
      <c r="P179" s="168"/>
      <c r="BR179" s="168"/>
      <c r="BS179" s="168"/>
      <c r="BT179" s="168"/>
      <c r="BU179" s="168"/>
      <c r="BV179" s="168"/>
      <c r="BW179" s="168"/>
      <c r="BX179" s="466"/>
      <c r="BY179" s="238"/>
      <c r="BZ179" s="466"/>
      <c r="CA179" s="466"/>
      <c r="CB179" s="466"/>
      <c r="CC179" s="239"/>
      <c r="CD179" s="168"/>
      <c r="CE179" s="168"/>
      <c r="CF179" s="168"/>
      <c r="CG179" s="168"/>
      <c r="CH179" s="168"/>
      <c r="CI179" s="168"/>
    </row>
    <row r="180" spans="1:87" ht="30">
      <c r="D180" s="119" t="s">
        <v>441</v>
      </c>
      <c r="E180" s="137">
        <v>0</v>
      </c>
      <c r="F180" s="265"/>
      <c r="G180" s="265"/>
      <c r="H180" s="265"/>
      <c r="I180" s="265"/>
      <c r="J180" s="168"/>
      <c r="K180" s="168"/>
      <c r="L180" s="168"/>
      <c r="M180" s="168"/>
      <c r="N180" s="168"/>
      <c r="O180" s="168"/>
      <c r="P180" s="168"/>
      <c r="BR180" s="168"/>
      <c r="BS180" s="168"/>
      <c r="BT180" s="168"/>
      <c r="BU180" s="168"/>
      <c r="BV180" s="168"/>
      <c r="BW180" s="168"/>
      <c r="BX180" s="466"/>
      <c r="BY180" s="238"/>
      <c r="BZ180" s="466"/>
      <c r="CA180" s="466"/>
      <c r="CB180" s="466"/>
      <c r="CC180" s="239"/>
      <c r="CD180" s="168"/>
      <c r="CE180" s="168"/>
      <c r="CF180" s="168"/>
      <c r="CG180" s="168"/>
      <c r="CH180" s="168"/>
      <c r="CI180" s="168"/>
    </row>
    <row r="181" spans="1:87">
      <c r="D181" s="119" t="s">
        <v>442</v>
      </c>
      <c r="E181" s="137">
        <v>0</v>
      </c>
      <c r="F181" s="265"/>
      <c r="G181" s="265"/>
      <c r="H181" s="265"/>
      <c r="I181" s="265"/>
      <c r="J181" s="168"/>
      <c r="K181" s="168"/>
      <c r="L181" s="168"/>
      <c r="M181" s="168"/>
      <c r="N181" s="168"/>
      <c r="O181" s="168"/>
      <c r="P181" s="168"/>
      <c r="BR181" s="168"/>
      <c r="BS181" s="168"/>
      <c r="BT181" s="168"/>
      <c r="BU181" s="168"/>
      <c r="BV181" s="168"/>
      <c r="BW181" s="168"/>
      <c r="BX181" s="466"/>
      <c r="BY181" s="238"/>
      <c r="BZ181" s="466"/>
      <c r="CA181" s="466"/>
      <c r="CB181" s="466"/>
      <c r="CC181" s="239"/>
      <c r="CD181" s="168"/>
      <c r="CE181" s="168"/>
      <c r="CF181" s="168"/>
      <c r="CG181" s="168"/>
      <c r="CH181" s="168"/>
      <c r="CI181" s="168"/>
    </row>
    <row r="182" spans="1:87">
      <c r="D182" s="266" t="s">
        <v>443</v>
      </c>
      <c r="E182" s="320" t="str">
        <f>'I&amp;O'!D130</f>
        <v>yes</v>
      </c>
      <c r="F182" s="267"/>
      <c r="G182" s="265"/>
      <c r="H182" s="265"/>
      <c r="I182" s="265"/>
      <c r="J182" s="168"/>
      <c r="K182" s="168"/>
      <c r="L182" s="168"/>
      <c r="M182" s="168"/>
      <c r="N182" s="168"/>
      <c r="O182" s="168"/>
      <c r="P182" s="168"/>
      <c r="BR182" s="168"/>
      <c r="BS182" s="168"/>
      <c r="BT182" s="168"/>
      <c r="BU182" s="168"/>
      <c r="BV182" s="168"/>
      <c r="BW182" s="168"/>
      <c r="BX182" s="466"/>
      <c r="BY182" s="238"/>
      <c r="BZ182" s="466"/>
      <c r="CA182" s="466"/>
      <c r="CB182" s="466"/>
      <c r="CC182" s="239"/>
      <c r="CD182" s="168"/>
      <c r="CE182" s="168"/>
      <c r="CF182" s="168"/>
      <c r="CG182" s="168"/>
      <c r="CH182" s="168"/>
      <c r="CI182" s="168"/>
    </row>
    <row r="183" spans="1:87">
      <c r="D183" s="266" t="s">
        <v>444</v>
      </c>
      <c r="E183" s="320">
        <f>'I&amp;O'!D131</f>
        <v>0</v>
      </c>
      <c r="F183" s="267"/>
      <c r="G183" s="265"/>
      <c r="H183" s="265"/>
      <c r="I183" s="265"/>
      <c r="J183" s="168"/>
      <c r="K183" s="168"/>
      <c r="L183" s="168"/>
      <c r="M183" s="168"/>
      <c r="N183" s="168"/>
      <c r="O183" s="168"/>
      <c r="P183" s="168"/>
      <c r="BR183" s="168"/>
      <c r="BS183" s="168"/>
      <c r="BT183" s="168"/>
      <c r="BU183" s="168"/>
      <c r="BV183" s="168"/>
      <c r="BW183" s="168"/>
      <c r="BX183" s="466"/>
      <c r="BY183" s="238"/>
      <c r="BZ183" s="466"/>
      <c r="CA183" s="466"/>
      <c r="CB183" s="466"/>
      <c r="CC183" s="239"/>
      <c r="CD183" s="168"/>
      <c r="CE183" s="168"/>
      <c r="CF183" s="168"/>
      <c r="CG183" s="168"/>
      <c r="CH183" s="168"/>
      <c r="CI183" s="168"/>
    </row>
    <row r="184" spans="1:87">
      <c r="D184" s="266" t="s">
        <v>445</v>
      </c>
      <c r="E184" s="320">
        <f>'I&amp;O'!D132</f>
        <v>0</v>
      </c>
      <c r="F184" s="267"/>
      <c r="G184" s="265"/>
      <c r="H184" s="265"/>
      <c r="I184" s="265"/>
      <c r="J184" s="168"/>
      <c r="K184" s="168"/>
      <c r="L184" s="168"/>
      <c r="M184" s="168"/>
      <c r="N184" s="168"/>
      <c r="O184" s="168"/>
      <c r="P184" s="168"/>
      <c r="BR184" s="168"/>
      <c r="BS184" s="168"/>
      <c r="BT184" s="168"/>
      <c r="BU184" s="168"/>
      <c r="BV184" s="168"/>
      <c r="BW184" s="168"/>
      <c r="BX184" s="466"/>
      <c r="BY184" s="238"/>
      <c r="BZ184" s="466"/>
      <c r="CA184" s="466"/>
      <c r="CB184" s="466"/>
      <c r="CC184" s="239"/>
      <c r="CD184" s="168"/>
      <c r="CE184" s="168"/>
      <c r="CF184" s="168"/>
      <c r="CG184" s="168"/>
      <c r="CH184" s="168"/>
      <c r="CI184" s="168"/>
    </row>
    <row r="185" spans="1:87">
      <c r="D185" s="266" t="s">
        <v>496</v>
      </c>
      <c r="E185" s="320">
        <f>'I&amp;O'!D133</f>
        <v>0</v>
      </c>
      <c r="F185" s="265"/>
      <c r="G185" s="265"/>
      <c r="H185" s="265"/>
      <c r="I185" s="265"/>
      <c r="J185" s="168"/>
      <c r="K185" s="168"/>
      <c r="L185" s="168"/>
      <c r="M185" s="168"/>
      <c r="N185" s="168"/>
      <c r="O185" s="168"/>
      <c r="P185" s="168"/>
      <c r="BR185" s="168"/>
      <c r="BS185" s="168"/>
      <c r="BT185" s="168"/>
      <c r="BU185" s="168"/>
      <c r="BV185" s="168"/>
      <c r="BW185" s="168"/>
      <c r="BX185" s="466"/>
      <c r="BY185" s="238"/>
      <c r="BZ185" s="466"/>
      <c r="CA185" s="466"/>
      <c r="CB185" s="466"/>
      <c r="CC185" s="239"/>
      <c r="CD185" s="168"/>
      <c r="CE185" s="168"/>
      <c r="CF185" s="168"/>
      <c r="CG185" s="168"/>
      <c r="CH185" s="168"/>
      <c r="CI185" s="168"/>
    </row>
    <row r="186" spans="1:87">
      <c r="D186" s="266" t="s">
        <v>497</v>
      </c>
      <c r="E186" s="320">
        <f>'I&amp;O'!D134</f>
        <v>0</v>
      </c>
      <c r="F186" s="265"/>
      <c r="G186" s="265"/>
      <c r="H186" s="265"/>
      <c r="I186" s="265"/>
      <c r="J186" s="168"/>
      <c r="K186" s="168"/>
      <c r="L186" s="168"/>
      <c r="M186" s="168"/>
      <c r="N186" s="168"/>
      <c r="O186" s="168"/>
      <c r="P186" s="168"/>
      <c r="BR186" s="168"/>
      <c r="BS186" s="168"/>
      <c r="BT186" s="168"/>
      <c r="BU186" s="168"/>
      <c r="BV186" s="168"/>
      <c r="BW186" s="168"/>
      <c r="BX186" s="466"/>
      <c r="BY186" s="238"/>
      <c r="BZ186" s="466"/>
      <c r="CA186" s="466"/>
      <c r="CB186" s="466"/>
      <c r="CC186" s="239"/>
      <c r="CD186" s="168"/>
      <c r="CE186" s="168"/>
      <c r="CF186" s="168"/>
      <c r="CG186" s="168"/>
      <c r="CH186" s="168"/>
      <c r="CI186" s="168"/>
    </row>
    <row r="187" spans="1:87" s="245" customFormat="1" ht="30">
      <c r="A187" s="246"/>
      <c r="B187" s="246"/>
      <c r="C187" s="246"/>
      <c r="D187" s="135"/>
      <c r="E187" s="245" t="s">
        <v>322</v>
      </c>
      <c r="F187" s="253" t="s">
        <v>284</v>
      </c>
      <c r="G187" s="253" t="s">
        <v>324</v>
      </c>
      <c r="H187" s="253" t="s">
        <v>62</v>
      </c>
      <c r="I187" s="253" t="s">
        <v>401</v>
      </c>
      <c r="J187" s="254" t="s">
        <v>66</v>
      </c>
      <c r="K187" s="245" t="s">
        <v>67</v>
      </c>
      <c r="L187" s="245" t="s">
        <v>71</v>
      </c>
      <c r="M187" s="248" t="s">
        <v>72</v>
      </c>
      <c r="N187" s="248" t="s">
        <v>64</v>
      </c>
      <c r="O187" s="248" t="s">
        <v>391</v>
      </c>
      <c r="P187" s="253" t="s">
        <v>402</v>
      </c>
      <c r="Q187" s="245" t="s">
        <v>287</v>
      </c>
      <c r="R187" s="245" t="s">
        <v>68</v>
      </c>
      <c r="S187" s="245" t="s">
        <v>241</v>
      </c>
      <c r="T187" s="245" t="s">
        <v>288</v>
      </c>
      <c r="U187" s="255" t="s">
        <v>289</v>
      </c>
      <c r="V187" s="255" t="s">
        <v>290</v>
      </c>
      <c r="W187" s="255" t="s">
        <v>291</v>
      </c>
      <c r="X187" s="255" t="s">
        <v>292</v>
      </c>
      <c r="Y187" s="255" t="s">
        <v>293</v>
      </c>
      <c r="Z187" s="255" t="s">
        <v>69</v>
      </c>
      <c r="AA187" s="255" t="s">
        <v>294</v>
      </c>
      <c r="AB187" s="255" t="s">
        <v>295</v>
      </c>
      <c r="AC187" s="255" t="s">
        <v>296</v>
      </c>
      <c r="AD187" s="255" t="s">
        <v>297</v>
      </c>
      <c r="AE187" s="256" t="s">
        <v>298</v>
      </c>
      <c r="AF187" s="248" t="s">
        <v>299</v>
      </c>
      <c r="AG187" s="248" t="s">
        <v>300</v>
      </c>
      <c r="AH187" s="248" t="s">
        <v>495</v>
      </c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BR187" s="248"/>
      <c r="BS187" s="248"/>
      <c r="BT187" s="248"/>
      <c r="BU187" s="248"/>
      <c r="BV187" s="248"/>
      <c r="BW187" s="248"/>
      <c r="BX187" s="466"/>
      <c r="BY187" s="249"/>
      <c r="BZ187" s="466"/>
      <c r="CA187" s="466"/>
      <c r="CB187" s="466"/>
      <c r="CC187" s="250"/>
      <c r="CD187" s="248"/>
      <c r="CE187" s="248"/>
      <c r="CF187" s="248"/>
      <c r="CG187" s="248"/>
      <c r="CH187" s="248"/>
      <c r="CI187" s="248"/>
    </row>
    <row r="188" spans="1:87">
      <c r="D188" s="136" t="s">
        <v>446</v>
      </c>
      <c r="E188" s="134"/>
      <c r="F188" s="265"/>
      <c r="G188" s="265"/>
      <c r="H188" s="265"/>
      <c r="I188" s="168"/>
      <c r="J188" s="168"/>
      <c r="K188" s="168"/>
      <c r="L188" s="168"/>
      <c r="M188" s="168"/>
      <c r="N188" s="168"/>
      <c r="O188" s="168"/>
      <c r="P188" s="168"/>
      <c r="BR188" s="168"/>
      <c r="BS188" s="168"/>
      <c r="BT188" s="168"/>
      <c r="BU188" s="168"/>
      <c r="BV188" s="168"/>
      <c r="BW188" s="168"/>
      <c r="BX188" s="466"/>
      <c r="BY188" s="238"/>
      <c r="BZ188" s="466"/>
      <c r="CA188" s="466"/>
      <c r="CB188" s="466"/>
      <c r="CC188" s="239"/>
      <c r="CD188" s="168"/>
      <c r="CE188" s="168"/>
      <c r="CF188" s="168"/>
      <c r="CG188" s="168"/>
      <c r="CH188" s="168"/>
      <c r="CI188" s="168"/>
    </row>
    <row r="189" spans="1:87">
      <c r="D189" s="136" t="s">
        <v>434</v>
      </c>
      <c r="E189" s="222">
        <v>0</v>
      </c>
      <c r="F189" s="222">
        <v>0</v>
      </c>
      <c r="G189" s="222">
        <v>12.8</v>
      </c>
      <c r="H189" s="222">
        <v>8</v>
      </c>
      <c r="I189" s="222">
        <v>33</v>
      </c>
      <c r="J189" s="222">
        <v>3.7</v>
      </c>
      <c r="K189" s="222">
        <v>0.48</v>
      </c>
      <c r="L189" s="222">
        <v>0</v>
      </c>
      <c r="M189" s="222">
        <v>0</v>
      </c>
      <c r="N189" s="222">
        <v>0</v>
      </c>
      <c r="O189" s="222">
        <v>0</v>
      </c>
      <c r="P189" s="222">
        <v>0</v>
      </c>
      <c r="Q189" s="222">
        <v>0</v>
      </c>
      <c r="R189" s="222">
        <v>393</v>
      </c>
      <c r="S189" s="222">
        <v>0</v>
      </c>
      <c r="T189" s="222">
        <v>9</v>
      </c>
      <c r="U189" s="222">
        <v>0.36</v>
      </c>
      <c r="V189" s="222">
        <v>0</v>
      </c>
      <c r="W189" s="222">
        <v>0</v>
      </c>
      <c r="X189" s="222">
        <v>0</v>
      </c>
      <c r="Y189" s="222">
        <v>0</v>
      </c>
      <c r="Z189" s="222">
        <v>0</v>
      </c>
      <c r="AA189" s="222">
        <v>0</v>
      </c>
      <c r="AB189" s="222">
        <v>0</v>
      </c>
      <c r="AC189" s="222">
        <v>0</v>
      </c>
      <c r="AD189" s="222">
        <v>0</v>
      </c>
      <c r="AE189" s="222">
        <v>0</v>
      </c>
      <c r="AF189" s="222">
        <v>0</v>
      </c>
      <c r="AG189" s="222">
        <v>0</v>
      </c>
      <c r="AH189" s="168">
        <v>0</v>
      </c>
      <c r="BR189" s="168"/>
      <c r="BS189" s="168"/>
      <c r="BT189" s="168"/>
      <c r="BU189" s="168"/>
      <c r="BV189" s="168"/>
      <c r="BW189" s="168"/>
      <c r="BX189" s="168"/>
      <c r="BY189" s="168"/>
      <c r="BZ189" s="168"/>
      <c r="CA189" s="168"/>
      <c r="CB189" s="168"/>
      <c r="CC189" s="168"/>
      <c r="CD189" s="168"/>
      <c r="CE189" s="168"/>
      <c r="CF189" s="168"/>
      <c r="CG189" s="168"/>
      <c r="CH189" s="168"/>
      <c r="CI189" s="168"/>
    </row>
    <row r="190" spans="1:87">
      <c r="D190" s="257" t="s">
        <v>447</v>
      </c>
      <c r="E190" s="222">
        <v>0</v>
      </c>
      <c r="F190" s="222">
        <v>6.7500000000000004E-2</v>
      </c>
      <c r="G190" s="222">
        <v>10.8</v>
      </c>
      <c r="H190" s="222">
        <v>6.8850000000000007</v>
      </c>
      <c r="I190" s="222">
        <v>24.3</v>
      </c>
      <c r="J190" s="222">
        <v>0</v>
      </c>
      <c r="K190" s="222">
        <v>0</v>
      </c>
      <c r="L190" s="222">
        <v>0</v>
      </c>
      <c r="M190" s="222">
        <v>112.86000000000001</v>
      </c>
      <c r="N190" s="222">
        <v>0</v>
      </c>
      <c r="O190" s="222">
        <v>0</v>
      </c>
      <c r="P190" s="222">
        <v>0</v>
      </c>
      <c r="Q190" s="222">
        <v>0</v>
      </c>
      <c r="R190" s="222">
        <v>350</v>
      </c>
      <c r="S190" s="222">
        <v>0</v>
      </c>
      <c r="T190" s="222">
        <v>0</v>
      </c>
      <c r="U190" s="222">
        <v>0</v>
      </c>
      <c r="V190" s="222">
        <v>0</v>
      </c>
      <c r="W190" s="222">
        <v>0</v>
      </c>
      <c r="X190" s="222">
        <v>0</v>
      </c>
      <c r="Y190" s="222">
        <v>0</v>
      </c>
      <c r="Z190" s="222">
        <v>0</v>
      </c>
      <c r="AA190" s="222">
        <v>0</v>
      </c>
      <c r="AB190" s="222">
        <v>0</v>
      </c>
      <c r="AC190" s="222">
        <v>0</v>
      </c>
      <c r="AD190" s="222">
        <v>0</v>
      </c>
      <c r="AE190" s="222">
        <v>0</v>
      </c>
      <c r="AF190" s="222">
        <v>0</v>
      </c>
      <c r="AG190" s="222">
        <v>0</v>
      </c>
      <c r="AH190" s="168">
        <v>0</v>
      </c>
      <c r="BR190" s="168"/>
      <c r="BS190" s="168"/>
      <c r="BT190" s="168"/>
      <c r="BU190" s="168"/>
      <c r="BV190" s="168"/>
      <c r="BW190" s="168"/>
      <c r="BX190" s="168"/>
      <c r="BY190" s="168"/>
      <c r="BZ190" s="168"/>
      <c r="CA190" s="168"/>
      <c r="CB190" s="168"/>
      <c r="CC190" s="168"/>
      <c r="CD190" s="168"/>
      <c r="CE190" s="168"/>
      <c r="CF190" s="168"/>
      <c r="CG190" s="168"/>
      <c r="CH190" s="168"/>
      <c r="CI190" s="168"/>
    </row>
    <row r="191" spans="1:87">
      <c r="D191" s="257" t="s">
        <v>448</v>
      </c>
      <c r="E191" s="222">
        <v>1</v>
      </c>
      <c r="F191" s="222">
        <v>0</v>
      </c>
      <c r="G191" s="222">
        <v>11.2</v>
      </c>
      <c r="H191" s="222">
        <v>2</v>
      </c>
      <c r="I191" s="222">
        <v>0</v>
      </c>
      <c r="J191" s="222">
        <v>5.0999999999999996</v>
      </c>
      <c r="K191" s="222">
        <v>3.7</v>
      </c>
      <c r="L191" s="222">
        <v>0</v>
      </c>
      <c r="M191" s="222">
        <v>4</v>
      </c>
      <c r="N191" s="222">
        <v>0</v>
      </c>
      <c r="O191" s="222">
        <v>0</v>
      </c>
      <c r="P191" s="222">
        <v>0.4</v>
      </c>
      <c r="Q191" s="222">
        <v>0</v>
      </c>
      <c r="R191" s="222">
        <v>501</v>
      </c>
      <c r="S191" s="222">
        <v>0</v>
      </c>
      <c r="T191" s="222">
        <v>0</v>
      </c>
      <c r="U191" s="222">
        <v>2.2000000000000002</v>
      </c>
      <c r="V191" s="222">
        <v>0</v>
      </c>
      <c r="W191" s="222">
        <v>0.01</v>
      </c>
      <c r="X191" s="222">
        <v>0</v>
      </c>
      <c r="Y191" s="222">
        <v>0</v>
      </c>
      <c r="Z191" s="222">
        <v>0</v>
      </c>
      <c r="AA191" s="222">
        <v>0</v>
      </c>
      <c r="AB191" s="222">
        <v>0.01</v>
      </c>
      <c r="AC191" s="222">
        <v>0</v>
      </c>
      <c r="AD191" s="222">
        <v>2.4</v>
      </c>
      <c r="AE191" s="222">
        <v>0</v>
      </c>
      <c r="AF191" s="222">
        <v>0</v>
      </c>
      <c r="AG191" s="222">
        <v>0</v>
      </c>
      <c r="AH191" s="168">
        <v>0</v>
      </c>
      <c r="BR191" s="168"/>
      <c r="BS191" s="168"/>
      <c r="BT191" s="168"/>
      <c r="BU191" s="168"/>
      <c r="BV191" s="168"/>
      <c r="BW191" s="168"/>
      <c r="BX191" s="168"/>
      <c r="BY191" s="168"/>
      <c r="BZ191" s="168"/>
      <c r="CA191" s="168"/>
      <c r="CB191" s="168"/>
      <c r="CC191" s="168"/>
      <c r="CD191" s="168"/>
      <c r="CE191" s="168"/>
      <c r="CF191" s="168"/>
      <c r="CG191" s="168"/>
      <c r="CH191" s="168"/>
      <c r="CI191" s="168"/>
    </row>
    <row r="192" spans="1:87">
      <c r="D192" s="257" t="s">
        <v>436</v>
      </c>
      <c r="E192" s="222">
        <v>0</v>
      </c>
      <c r="F192" s="222">
        <v>0</v>
      </c>
      <c r="G192" s="222">
        <v>0</v>
      </c>
      <c r="H192" s="222">
        <v>0</v>
      </c>
      <c r="I192" s="222">
        <v>0</v>
      </c>
      <c r="J192" s="222">
        <v>0</v>
      </c>
      <c r="K192" s="222">
        <v>0</v>
      </c>
      <c r="L192" s="222">
        <v>0</v>
      </c>
      <c r="M192" s="222">
        <v>0</v>
      </c>
      <c r="N192" s="222">
        <v>0</v>
      </c>
      <c r="O192" s="222">
        <v>0</v>
      </c>
      <c r="P192" s="222">
        <v>0</v>
      </c>
      <c r="Q192" s="222">
        <v>0</v>
      </c>
      <c r="R192" s="222">
        <v>0</v>
      </c>
      <c r="S192" s="222">
        <v>0</v>
      </c>
      <c r="T192" s="222">
        <v>0</v>
      </c>
      <c r="U192" s="222">
        <v>0</v>
      </c>
      <c r="V192" s="222">
        <v>0</v>
      </c>
      <c r="W192" s="222">
        <v>0</v>
      </c>
      <c r="X192" s="222">
        <v>0</v>
      </c>
      <c r="Y192" s="222">
        <v>0</v>
      </c>
      <c r="Z192" s="222">
        <v>0</v>
      </c>
      <c r="AA192" s="222">
        <v>0</v>
      </c>
      <c r="AB192" s="222">
        <v>0</v>
      </c>
      <c r="AC192" s="222">
        <v>0</v>
      </c>
      <c r="AD192" s="222">
        <v>0</v>
      </c>
      <c r="AE192" s="222">
        <v>0</v>
      </c>
      <c r="AF192" s="222">
        <v>0</v>
      </c>
      <c r="AG192" s="222">
        <v>0</v>
      </c>
      <c r="BR192" s="168"/>
      <c r="BS192" s="168"/>
      <c r="BT192" s="168"/>
      <c r="BU192" s="168"/>
      <c r="BV192" s="168"/>
      <c r="BW192" s="168"/>
      <c r="BX192" s="168"/>
      <c r="BY192" s="168"/>
      <c r="BZ192" s="168"/>
      <c r="CA192" s="168"/>
      <c r="CB192" s="168"/>
      <c r="CC192" s="168"/>
      <c r="CD192" s="168"/>
      <c r="CE192" s="168"/>
      <c r="CF192" s="168"/>
      <c r="CG192" s="168"/>
      <c r="CH192" s="168"/>
      <c r="CI192" s="168"/>
    </row>
    <row r="193" spans="1:87">
      <c r="D193" s="119" t="s">
        <v>438</v>
      </c>
      <c r="E193" s="222">
        <v>0</v>
      </c>
      <c r="F193" s="222">
        <v>0</v>
      </c>
      <c r="G193" s="222">
        <v>13.5</v>
      </c>
      <c r="H193" s="222">
        <v>1.8</v>
      </c>
      <c r="I193" s="222">
        <v>0</v>
      </c>
      <c r="J193" s="222">
        <v>10</v>
      </c>
      <c r="K193" s="222">
        <v>1.4</v>
      </c>
      <c r="L193" s="222">
        <v>0</v>
      </c>
      <c r="M193" s="222">
        <v>0</v>
      </c>
      <c r="N193" s="222">
        <v>113</v>
      </c>
      <c r="O193" s="222">
        <v>1368</v>
      </c>
      <c r="P193" s="222">
        <v>0</v>
      </c>
      <c r="Q193" s="222">
        <v>0</v>
      </c>
      <c r="R193" s="222">
        <v>0</v>
      </c>
      <c r="S193" s="222">
        <v>0</v>
      </c>
      <c r="T193" s="222">
        <v>0</v>
      </c>
      <c r="U193" s="222">
        <v>1.9</v>
      </c>
      <c r="V193" s="222">
        <v>0</v>
      </c>
      <c r="W193" s="222">
        <v>0</v>
      </c>
      <c r="X193" s="222">
        <v>0</v>
      </c>
      <c r="Y193" s="222">
        <v>0</v>
      </c>
      <c r="Z193" s="222">
        <v>0</v>
      </c>
      <c r="AA193" s="222">
        <v>0</v>
      </c>
      <c r="AB193" s="222">
        <v>0</v>
      </c>
      <c r="AC193" s="222">
        <v>0</v>
      </c>
      <c r="AD193" s="222">
        <v>0</v>
      </c>
      <c r="AE193" s="222">
        <v>0</v>
      </c>
      <c r="AF193" s="222">
        <v>0</v>
      </c>
      <c r="AG193" s="222">
        <v>0</v>
      </c>
      <c r="BR193" s="168"/>
      <c r="BS193" s="168"/>
      <c r="BT193" s="168"/>
      <c r="BU193" s="168"/>
      <c r="BV193" s="168"/>
      <c r="BW193" s="168"/>
      <c r="BX193" s="168"/>
      <c r="BY193" s="168"/>
      <c r="BZ193" s="168"/>
      <c r="CA193" s="168"/>
      <c r="CB193" s="168"/>
      <c r="CC193" s="168"/>
      <c r="CD193" s="168"/>
      <c r="CE193" s="168"/>
      <c r="CF193" s="168"/>
      <c r="CG193" s="168"/>
      <c r="CH193" s="168"/>
      <c r="CI193" s="168"/>
    </row>
    <row r="194" spans="1:87" ht="45">
      <c r="D194" s="119" t="s">
        <v>439</v>
      </c>
      <c r="E194" s="222">
        <v>0</v>
      </c>
      <c r="F194" s="222">
        <v>0</v>
      </c>
      <c r="G194" s="222">
        <v>13.5</v>
      </c>
      <c r="H194" s="222">
        <v>2.5133333333333332</v>
      </c>
      <c r="I194" s="222">
        <v>0</v>
      </c>
      <c r="J194" s="222">
        <v>5.8533333333333326</v>
      </c>
      <c r="K194" s="222">
        <v>4.833333333333333</v>
      </c>
      <c r="L194" s="222">
        <v>0</v>
      </c>
      <c r="M194" s="222">
        <v>0</v>
      </c>
      <c r="N194" s="222">
        <v>128</v>
      </c>
      <c r="O194" s="222">
        <v>4711.666666666667</v>
      </c>
      <c r="P194" s="222">
        <v>0</v>
      </c>
      <c r="Q194" s="222">
        <v>0</v>
      </c>
      <c r="R194" s="222">
        <v>0</v>
      </c>
      <c r="S194" s="222">
        <v>0</v>
      </c>
      <c r="T194" s="222">
        <v>0</v>
      </c>
      <c r="U194" s="222">
        <v>2.2333333333333338</v>
      </c>
      <c r="V194" s="222">
        <v>0</v>
      </c>
      <c r="W194" s="222">
        <v>0</v>
      </c>
      <c r="X194" s="222">
        <v>0</v>
      </c>
      <c r="Y194" s="222">
        <v>0</v>
      </c>
      <c r="Z194" s="222">
        <v>0</v>
      </c>
      <c r="AA194" s="222">
        <v>0</v>
      </c>
      <c r="AB194" s="222">
        <v>0</v>
      </c>
      <c r="AC194" s="222">
        <v>0</v>
      </c>
      <c r="AD194" s="222">
        <v>0</v>
      </c>
      <c r="AE194" s="222">
        <v>0</v>
      </c>
      <c r="AF194" s="222">
        <v>0</v>
      </c>
      <c r="AG194" s="222">
        <v>0</v>
      </c>
      <c r="AH194" s="168">
        <v>29.8</v>
      </c>
      <c r="BR194" s="168"/>
      <c r="BS194" s="168"/>
      <c r="BT194" s="168"/>
      <c r="BU194" s="168"/>
      <c r="BV194" s="168"/>
      <c r="BW194" s="168"/>
      <c r="BX194" s="168"/>
      <c r="BY194" s="168"/>
      <c r="BZ194" s="168"/>
      <c r="CA194" s="168"/>
      <c r="CB194" s="168"/>
      <c r="CC194" s="168"/>
      <c r="CD194" s="168"/>
      <c r="CE194" s="168"/>
      <c r="CF194" s="168"/>
      <c r="CG194" s="168"/>
      <c r="CH194" s="168"/>
      <c r="CI194" s="168"/>
    </row>
    <row r="195" spans="1:87" ht="30">
      <c r="D195" s="119" t="s">
        <v>440</v>
      </c>
      <c r="E195" s="222">
        <v>0</v>
      </c>
      <c r="F195" s="222">
        <v>0</v>
      </c>
      <c r="G195" s="222">
        <v>13.5</v>
      </c>
      <c r="H195" s="222">
        <v>1.33</v>
      </c>
      <c r="I195" s="222">
        <v>0</v>
      </c>
      <c r="J195" s="222">
        <v>2.9400000000000004</v>
      </c>
      <c r="K195" s="222">
        <v>9.4499999999999993</v>
      </c>
      <c r="L195" s="222">
        <v>0</v>
      </c>
      <c r="M195" s="222">
        <v>0</v>
      </c>
      <c r="N195" s="222">
        <v>0</v>
      </c>
      <c r="O195" s="222">
        <v>9112.5</v>
      </c>
      <c r="P195" s="222">
        <v>0</v>
      </c>
      <c r="Q195" s="222">
        <v>0</v>
      </c>
      <c r="R195" s="222">
        <v>0</v>
      </c>
      <c r="S195" s="222">
        <v>0</v>
      </c>
      <c r="T195" s="222">
        <v>0</v>
      </c>
      <c r="U195" s="222">
        <v>5.05</v>
      </c>
      <c r="V195" s="222">
        <v>0</v>
      </c>
      <c r="W195" s="222">
        <v>0</v>
      </c>
      <c r="X195" s="222">
        <v>0</v>
      </c>
      <c r="Y195" s="222">
        <v>0</v>
      </c>
      <c r="Z195" s="222">
        <v>0</v>
      </c>
      <c r="AA195" s="222">
        <v>0</v>
      </c>
      <c r="AB195" s="222">
        <v>0</v>
      </c>
      <c r="AC195" s="222">
        <v>0</v>
      </c>
      <c r="AD195" s="222">
        <v>0</v>
      </c>
      <c r="AE195" s="222">
        <v>0</v>
      </c>
      <c r="AF195" s="222">
        <v>0</v>
      </c>
      <c r="AG195" s="222">
        <v>0</v>
      </c>
      <c r="AH195" s="168">
        <v>101.96666666666665</v>
      </c>
      <c r="BR195" s="168"/>
      <c r="BS195" s="168"/>
      <c r="BT195" s="168"/>
      <c r="BU195" s="168"/>
      <c r="BV195" s="168"/>
      <c r="BW195" s="168"/>
      <c r="BX195" s="168"/>
      <c r="BY195" s="168"/>
      <c r="BZ195" s="168"/>
      <c r="CA195" s="168"/>
      <c r="CB195" s="168"/>
      <c r="CC195" s="168"/>
      <c r="CD195" s="168"/>
      <c r="CE195" s="168"/>
      <c r="CF195" s="168"/>
      <c r="CG195" s="168"/>
      <c r="CH195" s="168"/>
      <c r="CI195" s="168"/>
    </row>
    <row r="196" spans="1:87" ht="30">
      <c r="D196" s="119" t="s">
        <v>441</v>
      </c>
      <c r="E196" s="222">
        <v>0</v>
      </c>
      <c r="F196" s="222">
        <v>0</v>
      </c>
      <c r="G196" s="222">
        <v>13.75</v>
      </c>
      <c r="H196" s="222">
        <v>1.27</v>
      </c>
      <c r="I196" s="222">
        <v>0</v>
      </c>
      <c r="J196" s="222">
        <v>8.370000000000001</v>
      </c>
      <c r="K196" s="222">
        <v>4.26</v>
      </c>
      <c r="L196" s="222">
        <v>0</v>
      </c>
      <c r="M196" s="222">
        <v>0</v>
      </c>
      <c r="N196" s="222">
        <v>1618.25</v>
      </c>
      <c r="O196" s="222">
        <v>2526.75</v>
      </c>
      <c r="P196" s="222">
        <v>0</v>
      </c>
      <c r="Q196" s="222">
        <v>0</v>
      </c>
      <c r="R196" s="222">
        <v>0</v>
      </c>
      <c r="S196" s="222">
        <v>0</v>
      </c>
      <c r="T196" s="222">
        <v>0</v>
      </c>
      <c r="U196" s="222">
        <v>1.2</v>
      </c>
      <c r="V196" s="222">
        <v>0</v>
      </c>
      <c r="W196" s="222">
        <v>0</v>
      </c>
      <c r="X196" s="222">
        <v>0</v>
      </c>
      <c r="Y196" s="222">
        <v>0</v>
      </c>
      <c r="Z196" s="222">
        <v>0</v>
      </c>
      <c r="AA196" s="222">
        <v>0</v>
      </c>
      <c r="AB196" s="222">
        <v>0</v>
      </c>
      <c r="AC196" s="222">
        <v>0</v>
      </c>
      <c r="AD196" s="222">
        <v>0</v>
      </c>
      <c r="AE196" s="222">
        <v>0</v>
      </c>
      <c r="AF196" s="222">
        <v>0</v>
      </c>
      <c r="AG196" s="222">
        <v>0</v>
      </c>
      <c r="AH196" s="168">
        <v>36.75</v>
      </c>
      <c r="BR196" s="168"/>
      <c r="BS196" s="168"/>
      <c r="BT196" s="168"/>
      <c r="BU196" s="168"/>
      <c r="BV196" s="168"/>
      <c r="BW196" s="168"/>
      <c r="BX196" s="168"/>
      <c r="BY196" s="168"/>
      <c r="BZ196" s="168"/>
      <c r="CA196" s="168"/>
      <c r="CB196" s="168"/>
      <c r="CC196" s="168"/>
      <c r="CD196" s="168"/>
      <c r="CE196" s="168"/>
      <c r="CF196" s="168"/>
      <c r="CG196" s="168"/>
      <c r="CH196" s="168"/>
      <c r="CI196" s="168"/>
    </row>
    <row r="197" spans="1:87">
      <c r="D197" s="119" t="s">
        <v>442</v>
      </c>
      <c r="E197" s="222">
        <v>0</v>
      </c>
      <c r="F197" s="222">
        <v>0</v>
      </c>
      <c r="G197" s="222">
        <v>13.5</v>
      </c>
      <c r="H197" s="222">
        <v>1.8340000000000001</v>
      </c>
      <c r="I197" s="222">
        <v>0</v>
      </c>
      <c r="J197" s="222">
        <v>1.8340000000000001</v>
      </c>
      <c r="K197" s="222">
        <v>1.8340000000000001</v>
      </c>
      <c r="L197" s="222">
        <v>0</v>
      </c>
      <c r="M197" s="222">
        <v>0</v>
      </c>
      <c r="N197" s="222">
        <v>877.50000000000011</v>
      </c>
      <c r="O197" s="222">
        <v>7722.0000000000009</v>
      </c>
      <c r="P197" s="222">
        <v>0</v>
      </c>
      <c r="Q197" s="222">
        <v>0</v>
      </c>
      <c r="R197" s="222">
        <v>0</v>
      </c>
      <c r="S197" s="222">
        <v>0</v>
      </c>
      <c r="T197" s="222">
        <v>0</v>
      </c>
      <c r="U197" s="222">
        <v>1.1000000000000001</v>
      </c>
      <c r="V197" s="222">
        <v>0</v>
      </c>
      <c r="W197" s="222">
        <v>0</v>
      </c>
      <c r="X197" s="222">
        <v>0</v>
      </c>
      <c r="Y197" s="222">
        <v>0</v>
      </c>
      <c r="Z197" s="222">
        <v>0</v>
      </c>
      <c r="AA197" s="222">
        <v>0</v>
      </c>
      <c r="AB197" s="222">
        <v>0</v>
      </c>
      <c r="AC197" s="222">
        <v>0</v>
      </c>
      <c r="AD197" s="222">
        <v>0</v>
      </c>
      <c r="AE197" s="222">
        <v>0</v>
      </c>
      <c r="AF197" s="222">
        <v>0</v>
      </c>
      <c r="AG197" s="222">
        <v>0</v>
      </c>
      <c r="AH197" s="168">
        <v>0</v>
      </c>
    </row>
    <row r="198" spans="1:87">
      <c r="D198" s="119" t="s">
        <v>443</v>
      </c>
      <c r="E198" s="222">
        <v>0</v>
      </c>
      <c r="F198" s="222">
        <v>0</v>
      </c>
      <c r="G198" s="222">
        <v>13.5</v>
      </c>
      <c r="H198" s="222">
        <v>2.2400000000000002</v>
      </c>
      <c r="I198" s="222">
        <v>0</v>
      </c>
      <c r="J198" s="222">
        <v>7.35</v>
      </c>
      <c r="K198" s="222">
        <v>4.41</v>
      </c>
      <c r="L198" s="222">
        <v>0</v>
      </c>
      <c r="M198" s="222">
        <v>0</v>
      </c>
      <c r="N198" s="222">
        <v>978.74999999999989</v>
      </c>
      <c r="O198" s="222">
        <v>3246.75</v>
      </c>
      <c r="P198" s="222">
        <v>0</v>
      </c>
      <c r="Q198" s="222">
        <v>0</v>
      </c>
      <c r="R198" s="222">
        <v>0</v>
      </c>
      <c r="S198" s="222">
        <v>0</v>
      </c>
      <c r="T198" s="222">
        <v>0</v>
      </c>
      <c r="U198" s="222">
        <v>1.05</v>
      </c>
      <c r="V198" s="222">
        <v>0</v>
      </c>
      <c r="W198" s="222">
        <v>0</v>
      </c>
      <c r="X198" s="222">
        <v>0</v>
      </c>
      <c r="Y198" s="222">
        <v>0</v>
      </c>
      <c r="Z198" s="222">
        <v>0</v>
      </c>
      <c r="AA198" s="222">
        <v>0</v>
      </c>
      <c r="AB198" s="222">
        <v>0</v>
      </c>
      <c r="AC198" s="222">
        <v>0</v>
      </c>
      <c r="AD198" s="222">
        <v>0</v>
      </c>
      <c r="AE198" s="222">
        <v>0</v>
      </c>
      <c r="AF198" s="222">
        <v>0</v>
      </c>
      <c r="AG198" s="222">
        <v>0</v>
      </c>
      <c r="AH198" s="168">
        <v>0</v>
      </c>
    </row>
    <row r="199" spans="1:87">
      <c r="D199" s="119" t="s">
        <v>444</v>
      </c>
      <c r="E199" s="222">
        <v>0</v>
      </c>
      <c r="F199" s="222">
        <v>0</v>
      </c>
      <c r="G199" s="222">
        <v>13.5</v>
      </c>
      <c r="H199" s="222">
        <v>3.22</v>
      </c>
      <c r="I199" s="222">
        <v>0</v>
      </c>
      <c r="J199" s="222">
        <v>5.32</v>
      </c>
      <c r="K199" s="222">
        <v>5.46</v>
      </c>
      <c r="L199" s="222">
        <v>0</v>
      </c>
      <c r="M199" s="222">
        <v>0</v>
      </c>
      <c r="N199" s="222">
        <v>652.50099999999986</v>
      </c>
      <c r="O199" s="222">
        <v>4099.5343333333331</v>
      </c>
      <c r="P199" s="222">
        <v>0</v>
      </c>
      <c r="Q199" s="222">
        <v>0</v>
      </c>
      <c r="R199" s="222">
        <v>0</v>
      </c>
      <c r="S199" s="222">
        <v>0</v>
      </c>
      <c r="T199" s="222">
        <v>0</v>
      </c>
      <c r="U199" s="222">
        <v>2.2666666666666666</v>
      </c>
      <c r="V199" s="222">
        <v>0</v>
      </c>
      <c r="W199" s="222">
        <v>0</v>
      </c>
      <c r="X199" s="222">
        <v>0</v>
      </c>
      <c r="Y199" s="222">
        <v>0</v>
      </c>
      <c r="Z199" s="222">
        <v>0</v>
      </c>
      <c r="AA199" s="222">
        <v>0</v>
      </c>
      <c r="AB199" s="222">
        <v>0</v>
      </c>
      <c r="AC199" s="222">
        <v>0</v>
      </c>
      <c r="AD199" s="222">
        <v>0</v>
      </c>
      <c r="AE199" s="222">
        <v>0</v>
      </c>
      <c r="AF199" s="222">
        <v>0</v>
      </c>
      <c r="AG199" s="222">
        <v>0</v>
      </c>
      <c r="AH199" s="168">
        <v>13.95</v>
      </c>
    </row>
    <row r="200" spans="1:87">
      <c r="D200" s="119" t="s">
        <v>445</v>
      </c>
      <c r="E200" s="222">
        <v>0</v>
      </c>
      <c r="F200" s="222">
        <v>0</v>
      </c>
      <c r="G200" s="222">
        <v>13.5</v>
      </c>
      <c r="H200" s="222">
        <v>2.387</v>
      </c>
      <c r="I200" s="222">
        <v>0</v>
      </c>
      <c r="J200" s="222">
        <v>4.3469999999999995</v>
      </c>
      <c r="K200" s="222">
        <v>3.0170000000000003</v>
      </c>
      <c r="L200" s="222">
        <v>0</v>
      </c>
      <c r="M200" s="222">
        <v>0</v>
      </c>
      <c r="N200" s="222">
        <v>438.75000000000006</v>
      </c>
      <c r="O200" s="222">
        <v>5886</v>
      </c>
      <c r="P200" s="222">
        <v>0</v>
      </c>
      <c r="Q200" s="222">
        <v>0</v>
      </c>
      <c r="R200" s="222">
        <v>0</v>
      </c>
      <c r="S200" s="222">
        <v>0</v>
      </c>
      <c r="T200" s="222">
        <v>0</v>
      </c>
      <c r="U200" s="222">
        <v>1.6</v>
      </c>
      <c r="V200" s="222">
        <v>0</v>
      </c>
      <c r="W200" s="222">
        <v>0</v>
      </c>
      <c r="X200" s="222">
        <v>0</v>
      </c>
      <c r="Y200" s="222">
        <v>0</v>
      </c>
      <c r="Z200" s="222">
        <v>0</v>
      </c>
      <c r="AA200" s="222">
        <v>0</v>
      </c>
      <c r="AB200" s="222">
        <v>0</v>
      </c>
      <c r="AC200" s="222">
        <v>0</v>
      </c>
      <c r="AD200" s="222">
        <v>0</v>
      </c>
      <c r="AE200" s="222">
        <v>0</v>
      </c>
      <c r="AF200" s="222">
        <v>0</v>
      </c>
      <c r="AG200" s="222">
        <v>0</v>
      </c>
      <c r="AH200" s="168">
        <v>20</v>
      </c>
    </row>
    <row r="201" spans="1:87">
      <c r="A201" s="131"/>
      <c r="B201" s="131"/>
      <c r="C201" s="131"/>
      <c r="D201" s="159" t="s">
        <v>496</v>
      </c>
      <c r="E201" s="306">
        <v>0</v>
      </c>
      <c r="F201" s="306">
        <v>0</v>
      </c>
      <c r="G201" s="307">
        <v>13.5</v>
      </c>
      <c r="H201" s="222">
        <v>1.6</v>
      </c>
      <c r="I201" s="222">
        <v>0</v>
      </c>
      <c r="J201" s="222">
        <v>6.19</v>
      </c>
      <c r="K201" s="222">
        <v>5.81</v>
      </c>
      <c r="L201" s="222">
        <v>0</v>
      </c>
      <c r="M201" s="222">
        <v>0</v>
      </c>
      <c r="N201" s="222">
        <v>56.5</v>
      </c>
      <c r="O201" s="222">
        <v>5611.5</v>
      </c>
      <c r="P201" s="308">
        <v>0</v>
      </c>
      <c r="Q201" s="176">
        <v>0</v>
      </c>
      <c r="R201" s="176">
        <v>0</v>
      </c>
      <c r="S201" s="176">
        <v>0</v>
      </c>
      <c r="T201" s="176">
        <v>0</v>
      </c>
      <c r="U201" s="176">
        <v>3.25</v>
      </c>
      <c r="V201" s="176">
        <v>4.55</v>
      </c>
      <c r="W201" s="176">
        <v>0</v>
      </c>
      <c r="X201" s="176">
        <v>0</v>
      </c>
      <c r="Y201" s="176">
        <v>0</v>
      </c>
      <c r="Z201" s="176">
        <v>0</v>
      </c>
      <c r="AA201" s="176">
        <v>0</v>
      </c>
      <c r="AB201" s="176">
        <v>0</v>
      </c>
      <c r="AC201" s="176">
        <v>0</v>
      </c>
      <c r="AD201" s="176">
        <v>0</v>
      </c>
      <c r="AE201" s="176">
        <v>0</v>
      </c>
      <c r="AF201" s="176">
        <v>0</v>
      </c>
      <c r="AG201" s="176">
        <v>0</v>
      </c>
      <c r="AH201" s="176">
        <v>13.95</v>
      </c>
      <c r="AI201" s="131"/>
      <c r="AJ201" s="131"/>
    </row>
    <row r="202" spans="1:87">
      <c r="A202" s="131"/>
      <c r="B202" s="131"/>
      <c r="C202" s="131"/>
      <c r="D202" s="159" t="s">
        <v>497</v>
      </c>
      <c r="E202" s="306">
        <v>0</v>
      </c>
      <c r="F202" s="306">
        <v>0</v>
      </c>
      <c r="G202" s="307">
        <v>13.5</v>
      </c>
      <c r="H202" s="222">
        <v>2.17</v>
      </c>
      <c r="I202" s="222">
        <v>0</v>
      </c>
      <c r="J202" s="222">
        <v>4.62</v>
      </c>
      <c r="K202" s="222">
        <v>7.2099999999999991</v>
      </c>
      <c r="L202" s="222">
        <v>0</v>
      </c>
      <c r="M202" s="222">
        <v>0</v>
      </c>
      <c r="N202" s="222">
        <v>0</v>
      </c>
      <c r="O202" s="222">
        <v>6952.5</v>
      </c>
      <c r="P202" s="308">
        <v>0</v>
      </c>
      <c r="Q202" s="176">
        <v>0</v>
      </c>
      <c r="R202" s="176">
        <v>0</v>
      </c>
      <c r="S202" s="176">
        <v>0</v>
      </c>
      <c r="T202" s="176">
        <v>0</v>
      </c>
      <c r="U202" s="176">
        <v>3.3499999999999996</v>
      </c>
      <c r="V202" s="176">
        <v>0.55000000000000004</v>
      </c>
      <c r="W202" s="176">
        <v>0</v>
      </c>
      <c r="X202" s="176">
        <v>0</v>
      </c>
      <c r="Y202" s="176">
        <v>0</v>
      </c>
      <c r="Z202" s="176">
        <v>0</v>
      </c>
      <c r="AA202" s="176">
        <v>0</v>
      </c>
      <c r="AB202" s="176">
        <v>0</v>
      </c>
      <c r="AC202" s="176">
        <v>0</v>
      </c>
      <c r="AD202" s="176">
        <v>0</v>
      </c>
      <c r="AE202" s="176">
        <v>0</v>
      </c>
      <c r="AF202" s="176">
        <v>0</v>
      </c>
      <c r="AG202" s="176">
        <v>0</v>
      </c>
      <c r="AH202" s="176">
        <v>44.9</v>
      </c>
      <c r="AI202" s="131"/>
      <c r="AJ202" s="131"/>
    </row>
    <row r="203" spans="1:87">
      <c r="D203" s="135" t="s">
        <v>350</v>
      </c>
      <c r="E203" s="134">
        <f>SUMPRODUCT($E$173:$E$186,E189:E202)</f>
        <v>0</v>
      </c>
      <c r="F203" s="134">
        <f t="shared" ref="F203:AH203" si="30">SUMPRODUCT($E$173:$E$186,F189:F202)</f>
        <v>0</v>
      </c>
      <c r="G203" s="134">
        <f t="shared" si="30"/>
        <v>0</v>
      </c>
      <c r="H203" s="134">
        <f t="shared" si="30"/>
        <v>0</v>
      </c>
      <c r="I203" s="134">
        <f t="shared" si="30"/>
        <v>0</v>
      </c>
      <c r="J203" s="134">
        <f t="shared" si="30"/>
        <v>0</v>
      </c>
      <c r="K203" s="134">
        <f t="shared" si="30"/>
        <v>0</v>
      </c>
      <c r="L203" s="134">
        <f t="shared" si="30"/>
        <v>0</v>
      </c>
      <c r="M203" s="134">
        <f t="shared" si="30"/>
        <v>0</v>
      </c>
      <c r="N203" s="134">
        <f t="shared" si="30"/>
        <v>0</v>
      </c>
      <c r="O203" s="134">
        <f t="shared" si="30"/>
        <v>0</v>
      </c>
      <c r="P203" s="134">
        <f t="shared" si="30"/>
        <v>0</v>
      </c>
      <c r="Q203" s="134">
        <f t="shared" si="30"/>
        <v>0</v>
      </c>
      <c r="R203" s="134">
        <f t="shared" si="30"/>
        <v>0</v>
      </c>
      <c r="S203" s="134">
        <f t="shared" si="30"/>
        <v>0</v>
      </c>
      <c r="T203" s="134">
        <f t="shared" si="30"/>
        <v>0</v>
      </c>
      <c r="U203" s="134">
        <f t="shared" si="30"/>
        <v>0</v>
      </c>
      <c r="V203" s="134">
        <f t="shared" si="30"/>
        <v>0</v>
      </c>
      <c r="W203" s="134">
        <f t="shared" si="30"/>
        <v>0</v>
      </c>
      <c r="X203" s="134">
        <f t="shared" si="30"/>
        <v>0</v>
      </c>
      <c r="Y203" s="134">
        <f t="shared" si="30"/>
        <v>0</v>
      </c>
      <c r="Z203" s="134">
        <f t="shared" si="30"/>
        <v>0</v>
      </c>
      <c r="AA203" s="134">
        <f t="shared" si="30"/>
        <v>0</v>
      </c>
      <c r="AB203" s="134">
        <f t="shared" si="30"/>
        <v>0</v>
      </c>
      <c r="AC203" s="134">
        <f t="shared" si="30"/>
        <v>0</v>
      </c>
      <c r="AD203" s="134">
        <f t="shared" si="30"/>
        <v>0</v>
      </c>
      <c r="AE203" s="134">
        <f t="shared" si="30"/>
        <v>0</v>
      </c>
      <c r="AF203" s="134">
        <f t="shared" si="30"/>
        <v>0</v>
      </c>
      <c r="AG203" s="134">
        <f t="shared" si="30"/>
        <v>0</v>
      </c>
      <c r="AH203" s="134">
        <f t="shared" si="30"/>
        <v>0</v>
      </c>
    </row>
    <row r="204" spans="1:87">
      <c r="J204" s="168"/>
      <c r="K204" s="168"/>
      <c r="L204" s="168"/>
      <c r="M204" s="168"/>
      <c r="N204" s="168"/>
      <c r="O204" s="168"/>
      <c r="P204" s="168"/>
    </row>
    <row r="205" spans="1:87">
      <c r="D205" s="268" t="s">
        <v>449</v>
      </c>
      <c r="J205" s="168"/>
      <c r="K205" s="168"/>
      <c r="L205" s="168"/>
      <c r="M205" s="168"/>
      <c r="N205" s="168"/>
      <c r="O205" s="168"/>
      <c r="P205" s="168"/>
    </row>
    <row r="206" spans="1:87" s="206" customFormat="1">
      <c r="A206" s="207"/>
      <c r="B206" s="207"/>
      <c r="C206" s="207"/>
      <c r="D206" s="207" t="s">
        <v>450</v>
      </c>
      <c r="E206" s="206" t="s">
        <v>359</v>
      </c>
      <c r="F206" s="206" t="s">
        <v>451</v>
      </c>
      <c r="G206" s="206" t="s">
        <v>324</v>
      </c>
      <c r="H206" s="269" t="s">
        <v>62</v>
      </c>
      <c r="I206" s="206" t="s">
        <v>63</v>
      </c>
      <c r="J206" s="269" t="s">
        <v>66</v>
      </c>
      <c r="K206" s="206" t="s">
        <v>67</v>
      </c>
      <c r="L206" s="206" t="s">
        <v>71</v>
      </c>
      <c r="M206" s="206" t="s">
        <v>72</v>
      </c>
      <c r="N206" s="206" t="s">
        <v>64</v>
      </c>
      <c r="O206" s="206" t="s">
        <v>65</v>
      </c>
      <c r="P206" s="206" t="s">
        <v>70</v>
      </c>
      <c r="Q206" s="270"/>
      <c r="R206" s="255"/>
      <c r="S206" s="255"/>
      <c r="T206" s="255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  <c r="AP206" s="130"/>
      <c r="AQ206" s="130"/>
      <c r="AR206" s="130"/>
      <c r="AS206" s="130"/>
    </row>
    <row r="207" spans="1:87">
      <c r="D207" s="119" t="s">
        <v>452</v>
      </c>
      <c r="E207" s="210">
        <v>15.791666666666666</v>
      </c>
      <c r="F207" s="210">
        <v>2.4166666666666665</v>
      </c>
      <c r="G207" s="210">
        <v>0.38333333333333336</v>
      </c>
      <c r="H207" s="210">
        <v>9.1363636363636355E-2</v>
      </c>
      <c r="I207" s="210">
        <v>0</v>
      </c>
      <c r="J207" s="210">
        <v>0.15055555555555558</v>
      </c>
      <c r="K207" s="210">
        <v>0.19890909090909092</v>
      </c>
      <c r="L207" s="210">
        <v>2.25</v>
      </c>
      <c r="M207" s="210">
        <v>5.583333333333333</v>
      </c>
      <c r="N207" s="210">
        <v>0</v>
      </c>
      <c r="O207" s="210">
        <v>0</v>
      </c>
      <c r="P207" s="210">
        <v>9.4</v>
      </c>
      <c r="Q207" s="210">
        <v>0</v>
      </c>
      <c r="R207" s="210">
        <v>18.600000000000001</v>
      </c>
      <c r="S207" s="210">
        <v>7.8791666666666673</v>
      </c>
      <c r="T207" s="210">
        <v>0</v>
      </c>
      <c r="U207" s="210">
        <v>0</v>
      </c>
      <c r="V207" s="210">
        <v>0.12400000000000003</v>
      </c>
      <c r="W207" s="210">
        <v>5.0500000000000003E-2</v>
      </c>
      <c r="X207" s="210">
        <v>1.0609999999999999</v>
      </c>
      <c r="Y207" s="210">
        <v>0</v>
      </c>
      <c r="Z207" s="210">
        <v>31.254999999999995</v>
      </c>
      <c r="AA207" s="210">
        <v>0</v>
      </c>
      <c r="AB207" s="210">
        <v>0.59458333333333335</v>
      </c>
      <c r="AC207" s="210">
        <v>0</v>
      </c>
      <c r="AD207" s="210">
        <v>312</v>
      </c>
      <c r="AE207" s="210">
        <v>0.45</v>
      </c>
      <c r="AF207" s="210">
        <v>0</v>
      </c>
      <c r="AG207" s="210">
        <v>0</v>
      </c>
    </row>
    <row r="208" spans="1:87">
      <c r="D208" s="119" t="s">
        <v>453</v>
      </c>
      <c r="E208" s="210">
        <v>3.8</v>
      </c>
      <c r="F208" s="210">
        <v>2.2000000000000002</v>
      </c>
      <c r="G208" s="210">
        <v>0.16</v>
      </c>
      <c r="H208" s="210">
        <v>0.02</v>
      </c>
      <c r="I208" s="210">
        <v>0</v>
      </c>
      <c r="J208" s="210">
        <v>0.04</v>
      </c>
      <c r="K208" s="210">
        <v>0.1</v>
      </c>
      <c r="L208" s="210">
        <v>2.7</v>
      </c>
      <c r="M208" s="210">
        <v>22</v>
      </c>
      <c r="N208" s="210">
        <v>0</v>
      </c>
      <c r="O208" s="210">
        <v>0</v>
      </c>
      <c r="P208" s="210">
        <v>93.6</v>
      </c>
      <c r="Q208" s="210">
        <v>0</v>
      </c>
      <c r="R208" s="210">
        <v>636</v>
      </c>
      <c r="S208" s="210">
        <v>25.82</v>
      </c>
      <c r="T208" s="210">
        <v>0</v>
      </c>
      <c r="U208" s="210">
        <v>3.7</v>
      </c>
      <c r="V208" s="210">
        <v>4.5999999999999999E-2</v>
      </c>
      <c r="W208" s="210">
        <v>0.10200000000000001</v>
      </c>
      <c r="X208" s="210">
        <v>0.44600000000000001</v>
      </c>
      <c r="Y208" s="210">
        <v>0.4</v>
      </c>
      <c r="Z208" s="210">
        <v>95.44</v>
      </c>
      <c r="AA208" s="210">
        <v>0</v>
      </c>
      <c r="AB208" s="210">
        <v>1.2399999999999998</v>
      </c>
      <c r="AC208" s="210">
        <v>0</v>
      </c>
      <c r="AD208" s="210">
        <v>0</v>
      </c>
      <c r="AE208" s="210">
        <v>0</v>
      </c>
      <c r="AF208" s="210">
        <v>0</v>
      </c>
      <c r="AG208" s="210">
        <v>0</v>
      </c>
    </row>
    <row r="209" spans="1:33">
      <c r="D209" s="119" t="s">
        <v>454</v>
      </c>
      <c r="E209" s="210">
        <v>5.5333333333333332</v>
      </c>
      <c r="F209" s="210">
        <v>1.4333333333333333</v>
      </c>
      <c r="G209" s="210">
        <v>9.3333333333333338E-2</v>
      </c>
      <c r="H209" s="210">
        <v>2.3333333333333331E-2</v>
      </c>
      <c r="I209" s="210">
        <v>0</v>
      </c>
      <c r="J209" s="210">
        <v>0</v>
      </c>
      <c r="K209" s="210">
        <v>7.4999999999999997E-2</v>
      </c>
      <c r="L209" s="210">
        <v>1.8</v>
      </c>
      <c r="M209" s="210">
        <v>11.3</v>
      </c>
      <c r="N209" s="210">
        <v>0</v>
      </c>
      <c r="O209" s="210">
        <v>0</v>
      </c>
      <c r="P209" s="210">
        <v>26.033333333333335</v>
      </c>
      <c r="Q209" s="210">
        <v>0</v>
      </c>
      <c r="R209" s="210">
        <v>29.1</v>
      </c>
      <c r="S209" s="210">
        <v>15.740000000000002</v>
      </c>
      <c r="T209" s="210">
        <v>0</v>
      </c>
      <c r="U209" s="210">
        <v>0</v>
      </c>
      <c r="V209" s="210">
        <v>5.7666666666666672E-2</v>
      </c>
      <c r="W209" s="210">
        <v>5.1333333333333342E-2</v>
      </c>
      <c r="X209" s="210">
        <v>0.66633333333333333</v>
      </c>
      <c r="Y209" s="210">
        <v>0</v>
      </c>
      <c r="Z209" s="210">
        <v>28.333333333333332</v>
      </c>
      <c r="AA209" s="210">
        <v>0</v>
      </c>
      <c r="AB209" s="210">
        <v>0.6156666666666667</v>
      </c>
      <c r="AC209" s="210">
        <v>0</v>
      </c>
      <c r="AD209" s="210">
        <v>0</v>
      </c>
      <c r="AE209" s="210">
        <v>0</v>
      </c>
      <c r="AF209" s="210">
        <v>0</v>
      </c>
      <c r="AG209" s="210">
        <v>0</v>
      </c>
    </row>
    <row r="210" spans="1:33">
      <c r="D210" s="119" t="s">
        <v>455</v>
      </c>
      <c r="E210" s="210">
        <v>5.5</v>
      </c>
      <c r="F210" s="210">
        <v>1</v>
      </c>
      <c r="G210" s="210">
        <v>6.25E-2</v>
      </c>
      <c r="H210" s="210">
        <v>0</v>
      </c>
      <c r="I210" s="210">
        <v>0</v>
      </c>
      <c r="J210" s="210">
        <v>0</v>
      </c>
      <c r="K210" s="210">
        <v>6.25E-2</v>
      </c>
      <c r="L210" s="210">
        <v>1.625</v>
      </c>
      <c r="M210" s="210">
        <v>11.875</v>
      </c>
      <c r="N210" s="210">
        <v>0</v>
      </c>
      <c r="O210" s="210">
        <v>0</v>
      </c>
      <c r="P210" s="210">
        <v>18</v>
      </c>
      <c r="Q210" s="210">
        <v>0</v>
      </c>
      <c r="R210" s="210">
        <v>601.625</v>
      </c>
      <c r="S210" s="210">
        <v>37.787499999999994</v>
      </c>
      <c r="T210" s="210">
        <v>0</v>
      </c>
      <c r="U210" s="210">
        <v>0</v>
      </c>
      <c r="V210" s="210">
        <v>4.4999999999999998E-2</v>
      </c>
      <c r="W210" s="210">
        <v>2.6249999999999999E-2</v>
      </c>
      <c r="X210" s="210">
        <v>0.48125000000000001</v>
      </c>
      <c r="Y210" s="210">
        <v>0</v>
      </c>
      <c r="Z210" s="210">
        <v>14.1625</v>
      </c>
      <c r="AA210" s="210">
        <v>0</v>
      </c>
      <c r="AB210" s="210">
        <v>0.50124999999999997</v>
      </c>
      <c r="AC210" s="210">
        <v>0</v>
      </c>
      <c r="AD210" s="210">
        <v>0</v>
      </c>
      <c r="AE210" s="210">
        <v>0</v>
      </c>
      <c r="AF210" s="210">
        <v>0</v>
      </c>
      <c r="AG210" s="210">
        <v>0</v>
      </c>
    </row>
    <row r="211" spans="1:33">
      <c r="D211" s="119" t="s">
        <v>456</v>
      </c>
      <c r="E211" s="210">
        <v>2.7766666666666664</v>
      </c>
      <c r="F211" s="210">
        <v>1.7849999999999997</v>
      </c>
      <c r="G211" s="210">
        <v>0.35888888888888881</v>
      </c>
      <c r="H211" s="210">
        <v>0.1</v>
      </c>
      <c r="I211" s="210">
        <v>0</v>
      </c>
      <c r="J211" s="210">
        <v>0.1</v>
      </c>
      <c r="K211" s="210">
        <v>0.1</v>
      </c>
      <c r="L211" s="210">
        <v>2.7624999999999997</v>
      </c>
      <c r="M211" s="210">
        <v>24</v>
      </c>
      <c r="N211" s="210">
        <v>0</v>
      </c>
      <c r="O211" s="210">
        <v>0</v>
      </c>
      <c r="P211" s="210">
        <v>124.9736111111111</v>
      </c>
      <c r="Q211" s="210">
        <v>0</v>
      </c>
      <c r="R211" s="210">
        <v>0</v>
      </c>
      <c r="S211" s="210">
        <v>0</v>
      </c>
      <c r="T211" s="210">
        <v>0</v>
      </c>
      <c r="U211" s="210">
        <v>0</v>
      </c>
      <c r="V211" s="210">
        <v>0</v>
      </c>
      <c r="W211" s="210">
        <v>0</v>
      </c>
      <c r="X211" s="210">
        <v>0</v>
      </c>
      <c r="Y211" s="210">
        <v>0</v>
      </c>
      <c r="Z211" s="210">
        <v>0</v>
      </c>
      <c r="AA211" s="210">
        <v>0</v>
      </c>
      <c r="AB211" s="210">
        <v>0</v>
      </c>
      <c r="AC211" s="210">
        <v>0</v>
      </c>
      <c r="AD211" s="210">
        <v>0</v>
      </c>
      <c r="AE211" s="210">
        <v>0</v>
      </c>
      <c r="AF211" s="210">
        <v>0</v>
      </c>
      <c r="AG211" s="210">
        <v>0</v>
      </c>
    </row>
    <row r="212" spans="1:33">
      <c r="D212" s="119" t="s">
        <v>350</v>
      </c>
      <c r="E212" s="173">
        <f t="shared" ref="E212:AG212" si="31">(E207*$E$216+E208*$E$217+$E$218*E209+E210*$E$219)</f>
        <v>8.7895833333333329</v>
      </c>
      <c r="F212" s="173">
        <f t="shared" si="31"/>
        <v>1.7058333333333335</v>
      </c>
      <c r="G212" s="173">
        <f t="shared" si="31"/>
        <v>0.18645833333333336</v>
      </c>
      <c r="H212" s="173">
        <f t="shared" si="31"/>
        <v>3.7983333333333327E-2</v>
      </c>
      <c r="I212" s="173">
        <f t="shared" si="31"/>
        <v>0</v>
      </c>
      <c r="J212" s="173">
        <f t="shared" si="31"/>
        <v>5.3683333333333347E-2</v>
      </c>
      <c r="K212" s="173">
        <f t="shared" si="31"/>
        <v>0.11501500000000002</v>
      </c>
      <c r="L212" s="173">
        <f t="shared" si="31"/>
        <v>1.9987500000000002</v>
      </c>
      <c r="M212" s="173">
        <v>225</v>
      </c>
      <c r="N212" s="173">
        <f t="shared" si="31"/>
        <v>0</v>
      </c>
      <c r="O212" s="173">
        <f t="shared" si="31"/>
        <v>0</v>
      </c>
      <c r="P212" s="173">
        <f t="shared" si="31"/>
        <v>24.910333333333334</v>
      </c>
      <c r="Q212" s="173">
        <f t="shared" si="31"/>
        <v>0</v>
      </c>
      <c r="R212" s="173">
        <f t="shared" si="31"/>
        <v>275.54925000000003</v>
      </c>
      <c r="S212" s="173">
        <f t="shared" si="31"/>
        <v>21.587</v>
      </c>
      <c r="T212" s="173">
        <f t="shared" si="31"/>
        <v>0</v>
      </c>
      <c r="U212" s="173">
        <f t="shared" si="31"/>
        <v>0.37000000000000005</v>
      </c>
      <c r="V212" s="173">
        <f t="shared" si="31"/>
        <v>7.4786666666666682E-2</v>
      </c>
      <c r="W212" s="173">
        <f t="shared" si="31"/>
        <v>4.8360833333333339E-2</v>
      </c>
      <c r="X212" s="173">
        <f t="shared" si="31"/>
        <v>0.72012583333333335</v>
      </c>
      <c r="Y212" s="173">
        <f t="shared" si="31"/>
        <v>4.0000000000000008E-2</v>
      </c>
      <c r="Z212" s="173">
        <f t="shared" si="31"/>
        <v>31.615108333333335</v>
      </c>
      <c r="AA212" s="173">
        <f t="shared" si="31"/>
        <v>0</v>
      </c>
      <c r="AB212" s="173">
        <f t="shared" si="31"/>
        <v>0.63954166666666667</v>
      </c>
      <c r="AC212" s="173">
        <f t="shared" si="31"/>
        <v>0</v>
      </c>
      <c r="AD212" s="173">
        <f t="shared" si="31"/>
        <v>102.96000000000001</v>
      </c>
      <c r="AE212" s="173">
        <f t="shared" si="31"/>
        <v>0.14850000000000002</v>
      </c>
      <c r="AF212" s="173">
        <f t="shared" si="31"/>
        <v>0</v>
      </c>
      <c r="AG212" s="173">
        <f t="shared" si="31"/>
        <v>0</v>
      </c>
    </row>
    <row r="213" spans="1:33">
      <c r="D213" s="119"/>
      <c r="J213" s="190"/>
      <c r="Q213" s="131"/>
      <c r="R213" s="131"/>
      <c r="S213" s="131"/>
      <c r="T213" s="131"/>
    </row>
    <row r="214" spans="1:33">
      <c r="D214" s="207" t="s">
        <v>239</v>
      </c>
      <c r="J214" s="190"/>
      <c r="Q214" s="131"/>
      <c r="R214" s="131"/>
      <c r="S214" s="131"/>
      <c r="T214" s="131"/>
    </row>
    <row r="215" spans="1:33">
      <c r="D215" s="119"/>
      <c r="J215" s="190"/>
      <c r="Q215" s="131"/>
      <c r="R215" s="131"/>
      <c r="S215" s="131"/>
      <c r="T215" s="131"/>
    </row>
    <row r="216" spans="1:33">
      <c r="D216" s="119" t="s">
        <v>452</v>
      </c>
      <c r="E216" s="132">
        <v>0.33</v>
      </c>
      <c r="J216" s="190"/>
      <c r="Q216" s="131"/>
      <c r="R216" s="131"/>
      <c r="S216" s="131"/>
      <c r="T216" s="131"/>
    </row>
    <row r="217" spans="1:33">
      <c r="D217" s="119" t="s">
        <v>453</v>
      </c>
      <c r="E217" s="132">
        <v>0.1</v>
      </c>
      <c r="J217" s="168"/>
      <c r="K217" s="168"/>
      <c r="L217" s="168"/>
      <c r="M217" s="168"/>
      <c r="N217" s="168"/>
      <c r="O217" s="168"/>
      <c r="P217" s="168"/>
    </row>
    <row r="218" spans="1:33">
      <c r="D218" s="119" t="s">
        <v>454</v>
      </c>
      <c r="E218" s="132">
        <v>0.25</v>
      </c>
      <c r="J218" s="168"/>
      <c r="K218" s="168"/>
      <c r="L218" s="168"/>
      <c r="M218" s="168"/>
      <c r="N218" s="168"/>
      <c r="O218" s="168"/>
      <c r="P218" s="168"/>
    </row>
    <row r="219" spans="1:33">
      <c r="D219" s="119" t="s">
        <v>455</v>
      </c>
      <c r="E219" s="132">
        <v>0.33</v>
      </c>
      <c r="J219" s="168"/>
      <c r="K219" s="168"/>
      <c r="L219" s="168"/>
      <c r="M219" s="168"/>
      <c r="N219" s="168"/>
      <c r="O219" s="168"/>
      <c r="P219" s="168"/>
    </row>
    <row r="220" spans="1:33">
      <c r="J220" s="168"/>
      <c r="K220" s="168"/>
      <c r="L220" s="168"/>
      <c r="M220" s="168"/>
      <c r="N220" s="168"/>
      <c r="O220" s="168"/>
      <c r="P220" s="168"/>
    </row>
    <row r="221" spans="1:33">
      <c r="A221" s="189"/>
      <c r="B221" s="189"/>
      <c r="C221" s="189"/>
      <c r="D221" s="207"/>
      <c r="E221" s="189"/>
      <c r="F221" s="118"/>
      <c r="G221" s="118"/>
      <c r="H221" s="118"/>
      <c r="I221" s="189"/>
      <c r="J221" s="118"/>
      <c r="K221" s="118"/>
      <c r="M221" s="118"/>
      <c r="N221" s="118"/>
    </row>
    <row r="222" spans="1:33">
      <c r="A222" s="131"/>
      <c r="B222" s="131"/>
      <c r="C222" s="131"/>
      <c r="D222" s="119"/>
      <c r="F222" s="168"/>
      <c r="G222" s="168"/>
      <c r="H222" s="168"/>
      <c r="I222" s="168"/>
      <c r="J222" s="168"/>
      <c r="K222" s="168"/>
      <c r="M222" s="168"/>
      <c r="N222" s="168"/>
    </row>
    <row r="223" spans="1:33">
      <c r="A223" s="131"/>
      <c r="B223" s="131"/>
      <c r="C223" s="131"/>
      <c r="D223" s="34"/>
      <c r="F223" s="168"/>
      <c r="G223" s="168"/>
      <c r="H223" s="168"/>
      <c r="I223" s="168"/>
      <c r="J223" s="168"/>
      <c r="K223" s="168"/>
      <c r="M223" s="168"/>
      <c r="N223" s="168"/>
    </row>
    <row r="224" spans="1:33">
      <c r="A224" s="131"/>
      <c r="B224" s="131"/>
      <c r="C224" s="131"/>
      <c r="D224" s="119"/>
      <c r="F224" s="168"/>
      <c r="G224" s="168"/>
      <c r="H224" s="168"/>
      <c r="I224" s="168"/>
      <c r="J224" s="168"/>
      <c r="K224" s="168"/>
      <c r="M224" s="168"/>
      <c r="N224" s="168"/>
    </row>
    <row r="225" spans="1:14">
      <c r="A225" s="131"/>
      <c r="B225" s="131"/>
      <c r="C225" s="131"/>
      <c r="D225" s="119"/>
      <c r="F225" s="168"/>
      <c r="G225" s="168"/>
      <c r="H225" s="168"/>
      <c r="I225" s="168"/>
      <c r="J225" s="168"/>
      <c r="K225" s="168"/>
      <c r="M225" s="168"/>
      <c r="N225" s="168"/>
    </row>
    <row r="226" spans="1:14">
      <c r="A226" s="131"/>
      <c r="B226" s="131"/>
      <c r="C226" s="131"/>
      <c r="D226" s="119"/>
      <c r="F226" s="168"/>
      <c r="G226" s="168"/>
      <c r="H226" s="168"/>
      <c r="I226" s="168"/>
      <c r="J226" s="168"/>
      <c r="K226" s="168"/>
      <c r="M226" s="168"/>
      <c r="N226" s="168"/>
    </row>
    <row r="227" spans="1:14">
      <c r="A227" s="12"/>
      <c r="B227" s="12"/>
      <c r="C227" s="12"/>
      <c r="D227" s="34"/>
      <c r="E227" s="12"/>
      <c r="F227" s="12"/>
      <c r="G227" s="12"/>
      <c r="H227" s="12"/>
      <c r="I227" s="12"/>
      <c r="J227" s="12"/>
      <c r="K227" s="12"/>
      <c r="M227" s="12"/>
      <c r="N227" s="12"/>
    </row>
    <row r="228" spans="1:14">
      <c r="A228" s="12"/>
      <c r="B228" s="12"/>
      <c r="C228" s="12"/>
      <c r="D228" s="34"/>
      <c r="E228" s="12"/>
      <c r="F228" s="12"/>
      <c r="G228" s="12"/>
      <c r="H228" s="12"/>
      <c r="I228" s="12"/>
      <c r="J228" s="12"/>
      <c r="K228" s="12"/>
      <c r="M228" s="12"/>
      <c r="N228" s="12"/>
    </row>
    <row r="229" spans="1:14">
      <c r="A229" s="12"/>
      <c r="B229" s="12"/>
      <c r="C229" s="12"/>
      <c r="D229" s="34"/>
      <c r="E229" s="12"/>
      <c r="F229" s="12"/>
      <c r="G229" s="12"/>
      <c r="H229" s="12"/>
      <c r="I229" s="12"/>
      <c r="J229" s="12"/>
      <c r="K229" s="12"/>
      <c r="M229" s="12"/>
      <c r="N229" s="12"/>
    </row>
    <row r="230" spans="1:14">
      <c r="A230" s="12"/>
      <c r="B230" s="12"/>
      <c r="C230" s="12"/>
      <c r="D230" s="34"/>
      <c r="E230" s="12"/>
      <c r="F230" s="12"/>
      <c r="G230" s="12"/>
      <c r="H230" s="12"/>
      <c r="I230" s="12"/>
      <c r="J230" s="12"/>
      <c r="K230" s="12"/>
      <c r="M230" s="12"/>
      <c r="N230" s="12"/>
    </row>
    <row r="231" spans="1:14">
      <c r="A231" s="12"/>
      <c r="B231" s="12"/>
      <c r="C231" s="12"/>
      <c r="D231" s="34"/>
      <c r="E231" s="12"/>
      <c r="F231" s="12"/>
      <c r="G231" s="12"/>
      <c r="H231" s="12"/>
      <c r="I231" s="12"/>
      <c r="J231" s="12"/>
      <c r="K231" s="12"/>
      <c r="M231" s="12"/>
      <c r="N231" s="12"/>
    </row>
    <row r="232" spans="1:14">
      <c r="A232" s="12"/>
      <c r="B232" s="12"/>
      <c r="C232" s="12"/>
      <c r="D232" s="34"/>
      <c r="E232" s="12"/>
      <c r="F232" s="12"/>
      <c r="G232" s="12"/>
      <c r="H232" s="12"/>
      <c r="I232" s="12"/>
      <c r="J232" s="12"/>
      <c r="K232" s="12"/>
      <c r="M232" s="12"/>
      <c r="N232" s="12"/>
    </row>
    <row r="233" spans="1:14">
      <c r="A233" s="12"/>
      <c r="B233" s="12"/>
      <c r="C233" s="12"/>
      <c r="D233" s="34"/>
      <c r="E233" s="12"/>
      <c r="F233" s="12"/>
      <c r="G233" s="12"/>
      <c r="H233" s="12"/>
      <c r="I233" s="12"/>
      <c r="J233" s="12"/>
      <c r="K233" s="12"/>
      <c r="M233" s="12"/>
      <c r="N233" s="12"/>
    </row>
    <row r="234" spans="1:14">
      <c r="A234" s="12"/>
      <c r="B234" s="12"/>
      <c r="C234" s="12"/>
      <c r="D234" s="34"/>
      <c r="E234" s="12"/>
      <c r="F234" s="12"/>
      <c r="G234" s="12"/>
      <c r="H234" s="12"/>
      <c r="I234" s="12"/>
      <c r="J234" s="12"/>
      <c r="K234" s="12"/>
      <c r="M234" s="12"/>
      <c r="N234" s="12"/>
    </row>
    <row r="235" spans="1:14">
      <c r="A235" s="12"/>
      <c r="B235" s="12"/>
      <c r="C235" s="12"/>
      <c r="D235" s="34"/>
      <c r="E235" s="12"/>
      <c r="F235" s="12"/>
      <c r="G235" s="12"/>
      <c r="H235" s="12"/>
      <c r="I235" s="12"/>
      <c r="J235" s="12"/>
      <c r="K235" s="12"/>
      <c r="M235" s="12"/>
      <c r="N235" s="12"/>
    </row>
    <row r="236" spans="1:14">
      <c r="A236" s="12"/>
      <c r="B236" s="12"/>
      <c r="C236" s="12"/>
      <c r="D236" s="34"/>
      <c r="E236" s="12"/>
      <c r="F236" s="12"/>
      <c r="G236" s="12"/>
      <c r="H236" s="12"/>
      <c r="I236" s="12"/>
      <c r="J236" s="12"/>
      <c r="K236" s="12"/>
      <c r="M236" s="12"/>
      <c r="N236" s="12"/>
    </row>
    <row r="237" spans="1:14">
      <c r="A237" s="12"/>
      <c r="B237" s="12"/>
      <c r="C237" s="12"/>
      <c r="D237" s="34"/>
      <c r="E237" s="12"/>
      <c r="F237" s="12"/>
      <c r="G237" s="12"/>
      <c r="H237" s="12"/>
      <c r="I237" s="12"/>
      <c r="J237" s="12"/>
      <c r="K237" s="12"/>
      <c r="M237" s="12"/>
      <c r="N237" s="12"/>
    </row>
    <row r="238" spans="1:14">
      <c r="A238" s="12"/>
      <c r="B238" s="12"/>
      <c r="C238" s="12"/>
      <c r="D238" s="34"/>
      <c r="E238" s="12"/>
      <c r="F238" s="12"/>
      <c r="G238" s="12"/>
      <c r="H238" s="12"/>
      <c r="I238" s="12"/>
      <c r="J238" s="12"/>
      <c r="K238" s="12"/>
      <c r="M238" s="12"/>
      <c r="N238" s="12"/>
    </row>
    <row r="239" spans="1:14">
      <c r="A239" s="12"/>
      <c r="B239" s="12"/>
      <c r="C239" s="12"/>
      <c r="D239" s="34"/>
      <c r="E239" s="12"/>
      <c r="F239" s="12"/>
      <c r="G239" s="12"/>
      <c r="H239" s="12"/>
      <c r="I239" s="12"/>
      <c r="J239" s="12"/>
      <c r="K239" s="12"/>
      <c r="M239" s="12"/>
      <c r="N239" s="12"/>
    </row>
    <row r="240" spans="1:14">
      <c r="A240" s="12"/>
      <c r="B240" s="12"/>
      <c r="C240" s="12"/>
      <c r="D240" s="34"/>
      <c r="E240" s="12"/>
      <c r="F240" s="12"/>
      <c r="G240" s="12"/>
      <c r="H240" s="12"/>
      <c r="I240" s="12"/>
      <c r="J240" s="12"/>
      <c r="K240" s="12"/>
      <c r="M240" s="12"/>
      <c r="N240" s="12"/>
    </row>
    <row r="241" spans="10:16">
      <c r="J241" s="168"/>
      <c r="K241" s="168"/>
      <c r="L241" s="168"/>
      <c r="M241" s="168"/>
      <c r="N241" s="168"/>
      <c r="O241" s="168"/>
      <c r="P241" s="168"/>
    </row>
    <row r="242" spans="10:16">
      <c r="J242" s="168"/>
      <c r="K242" s="168"/>
      <c r="L242" s="168"/>
      <c r="M242" s="168"/>
      <c r="N242" s="168"/>
      <c r="O242" s="168"/>
      <c r="P242" s="168"/>
    </row>
    <row r="243" spans="10:16">
      <c r="J243" s="168"/>
      <c r="K243" s="168"/>
      <c r="L243" s="168"/>
      <c r="M243" s="168"/>
      <c r="N243" s="168"/>
      <c r="O243" s="168"/>
      <c r="P243" s="168"/>
    </row>
    <row r="244" spans="10:16">
      <c r="J244" s="168"/>
      <c r="K244" s="168"/>
      <c r="L244" s="168"/>
      <c r="M244" s="168"/>
      <c r="N244" s="168"/>
      <c r="O244" s="168"/>
      <c r="P244" s="168"/>
    </row>
    <row r="245" spans="10:16">
      <c r="J245" s="168"/>
      <c r="K245" s="168"/>
      <c r="L245" s="168"/>
      <c r="M245" s="168"/>
      <c r="N245" s="168"/>
      <c r="O245" s="168"/>
      <c r="P245" s="168"/>
    </row>
    <row r="246" spans="10:16">
      <c r="J246" s="168"/>
      <c r="K246" s="168"/>
      <c r="L246" s="168"/>
      <c r="M246" s="168"/>
      <c r="N246" s="168"/>
      <c r="O246" s="168"/>
      <c r="P246" s="168"/>
    </row>
    <row r="247" spans="10:16">
      <c r="J247" s="168"/>
      <c r="K247" s="168"/>
      <c r="L247" s="168"/>
      <c r="M247" s="168"/>
      <c r="N247" s="168"/>
      <c r="O247" s="168"/>
      <c r="P247" s="168"/>
    </row>
    <row r="248" spans="10:16">
      <c r="J248" s="168"/>
      <c r="K248" s="168"/>
      <c r="L248" s="168"/>
      <c r="M248" s="168"/>
      <c r="N248" s="168"/>
      <c r="O248" s="168"/>
      <c r="P248" s="168"/>
    </row>
    <row r="249" spans="10:16">
      <c r="J249" s="168"/>
      <c r="K249" s="168"/>
      <c r="L249" s="168"/>
      <c r="M249" s="168"/>
      <c r="N249" s="168"/>
      <c r="O249" s="168"/>
      <c r="P249" s="168"/>
    </row>
    <row r="250" spans="10:16">
      <c r="J250" s="168"/>
      <c r="K250" s="168"/>
      <c r="L250" s="168"/>
      <c r="M250" s="168"/>
      <c r="N250" s="168"/>
      <c r="O250" s="168"/>
      <c r="P250" s="168"/>
    </row>
    <row r="251" spans="10:16">
      <c r="J251" s="168"/>
      <c r="K251" s="168"/>
      <c r="L251" s="168"/>
      <c r="M251" s="168"/>
      <c r="N251" s="168"/>
      <c r="O251" s="168"/>
      <c r="P251" s="168"/>
    </row>
    <row r="252" spans="10:16">
      <c r="J252" s="168"/>
      <c r="K252" s="168"/>
      <c r="L252" s="168"/>
      <c r="M252" s="168"/>
      <c r="N252" s="168"/>
      <c r="O252" s="168"/>
      <c r="P252" s="168"/>
    </row>
    <row r="253" spans="10:16">
      <c r="J253" s="168"/>
      <c r="K253" s="168"/>
      <c r="L253" s="168"/>
      <c r="M253" s="168"/>
      <c r="N253" s="168"/>
      <c r="O253" s="168"/>
      <c r="P253" s="168"/>
    </row>
    <row r="254" spans="10:16">
      <c r="J254" s="168"/>
      <c r="K254" s="168"/>
      <c r="L254" s="168"/>
      <c r="M254" s="168"/>
      <c r="N254" s="168"/>
      <c r="O254" s="168"/>
      <c r="P254" s="168"/>
    </row>
    <row r="255" spans="10:16">
      <c r="J255" s="168"/>
      <c r="K255" s="168"/>
      <c r="L255" s="168"/>
      <c r="M255" s="168"/>
      <c r="N255" s="168"/>
      <c r="O255" s="168"/>
      <c r="P255" s="168"/>
    </row>
    <row r="256" spans="10:16">
      <c r="J256" s="168"/>
      <c r="K256" s="168"/>
      <c r="L256" s="168"/>
      <c r="M256" s="168"/>
      <c r="N256" s="168"/>
      <c r="O256" s="168"/>
      <c r="P256" s="168"/>
    </row>
    <row r="257" spans="10:16">
      <c r="J257" s="168"/>
      <c r="K257" s="168"/>
      <c r="L257" s="168"/>
      <c r="M257" s="168"/>
      <c r="N257" s="168"/>
      <c r="O257" s="168"/>
      <c r="P257" s="168"/>
    </row>
    <row r="258" spans="10:16">
      <c r="J258" s="168"/>
      <c r="K258" s="168"/>
      <c r="L258" s="168"/>
      <c r="M258" s="168"/>
      <c r="N258" s="168"/>
      <c r="O258" s="168"/>
      <c r="P258" s="168"/>
    </row>
    <row r="259" spans="10:16">
      <c r="J259" s="168"/>
      <c r="K259" s="168"/>
      <c r="L259" s="168"/>
      <c r="M259" s="168"/>
      <c r="N259" s="168"/>
      <c r="O259" s="168"/>
      <c r="P259" s="168"/>
    </row>
    <row r="260" spans="10:16">
      <c r="J260" s="168"/>
      <c r="K260" s="168"/>
      <c r="L260" s="168"/>
      <c r="M260" s="168"/>
      <c r="N260" s="168"/>
      <c r="O260" s="168"/>
      <c r="P260" s="168"/>
    </row>
  </sheetData>
  <mergeCells count="16">
    <mergeCell ref="BX135:BX136"/>
    <mergeCell ref="CA135:CC135"/>
    <mergeCell ref="BX142:BX171"/>
    <mergeCell ref="BZ142:BZ188"/>
    <mergeCell ref="CA142:CA188"/>
    <mergeCell ref="CB142:CB188"/>
    <mergeCell ref="BX172:BX174"/>
    <mergeCell ref="BX176:BX188"/>
    <mergeCell ref="BX120:BX121"/>
    <mergeCell ref="BZ120:BZ121"/>
    <mergeCell ref="CA120:CA121"/>
    <mergeCell ref="CB120:CB121"/>
    <mergeCell ref="BX131:BX134"/>
    <mergeCell ref="BZ131:BZ133"/>
    <mergeCell ref="CA131:CA133"/>
    <mergeCell ref="CB131:CB133"/>
  </mergeCells>
  <pageMargins left="0.7" right="0.7" top="0.75" bottom="0.75" header="0.3" footer="0.3"/>
  <ignoredErrors>
    <ignoredError sqref="E142:P142 R142:AF1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BMI child</vt:lpstr>
      <vt:lpstr>child TER</vt:lpstr>
      <vt:lpstr>child</vt:lpstr>
      <vt:lpstr>I&amp;O</vt:lpstr>
      <vt:lpstr>Diet Chart</vt:lpstr>
      <vt:lpstr>Adults</vt:lpstr>
      <vt:lpstr>Basic diet cal</vt:lpstr>
      <vt:lpstr>'BMI child'!Print_Area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2015-05-20T15:42:03Z</dcterms:created>
  <dcterms:modified xsi:type="dcterms:W3CDTF">2016-01-22T15:00:43Z</dcterms:modified>
</cp:coreProperties>
</file>