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POWER_BI\archive (2)\"/>
    </mc:Choice>
  </mc:AlternateContent>
  <bookViews>
    <workbookView xWindow="0" yWindow="0" windowWidth="20490" windowHeight="8235"/>
  </bookViews>
  <sheets>
    <sheet name="Sheet1" sheetId="1" r:id="rId1"/>
  </sheets>
  <calcPr calcId="162913"/>
  <fileRecoveryPr repairLoad="1"/>
</workbook>
</file>

<file path=xl/calcChain.xml><?xml version="1.0" encoding="utf-8"?>
<calcChain xmlns="http://schemas.openxmlformats.org/spreadsheetml/2006/main">
  <c r="G2774" i="1" l="1"/>
  <c r="G2773" i="1"/>
  <c r="G2772" i="1"/>
  <c r="G2770" i="1"/>
  <c r="G2769" i="1"/>
  <c r="G2767" i="1"/>
  <c r="G2766" i="1"/>
  <c r="G2765" i="1"/>
  <c r="G2764" i="1"/>
  <c r="G2763" i="1"/>
  <c r="G2761" i="1"/>
  <c r="G2760" i="1"/>
  <c r="G2759" i="1"/>
  <c r="G2758" i="1"/>
  <c r="G2757" i="1"/>
  <c r="G2756" i="1"/>
  <c r="G2755" i="1"/>
  <c r="G2754" i="1"/>
  <c r="G2753" i="1"/>
  <c r="G2752" i="1"/>
  <c r="G2751" i="1"/>
  <c r="G2750" i="1"/>
  <c r="G2749" i="1"/>
  <c r="G2748" i="1"/>
  <c r="G2747" i="1"/>
  <c r="G2746" i="1"/>
  <c r="G2744" i="1"/>
  <c r="G2743" i="1"/>
  <c r="G2741" i="1"/>
  <c r="G2740" i="1"/>
  <c r="G2739" i="1"/>
  <c r="G2738" i="1"/>
  <c r="G2736" i="1"/>
  <c r="G2735" i="1"/>
  <c r="G2734" i="1"/>
  <c r="G2733" i="1"/>
  <c r="G2732" i="1"/>
  <c r="G2731" i="1"/>
  <c r="G2730" i="1"/>
  <c r="G2729" i="1"/>
  <c r="G2728" i="1"/>
  <c r="G2727" i="1"/>
  <c r="G2726" i="1"/>
  <c r="G2725" i="1"/>
  <c r="G2724" i="1"/>
  <c r="G2723" i="1"/>
  <c r="G2722" i="1"/>
  <c r="G2720" i="1"/>
  <c r="G2719" i="1"/>
  <c r="G2717" i="1"/>
  <c r="G2716" i="1"/>
  <c r="G2715" i="1"/>
  <c r="G2714" i="1"/>
  <c r="G2713"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3" i="1"/>
  <c r="G2682" i="1"/>
  <c r="G2681" i="1"/>
  <c r="G2680" i="1"/>
  <c r="G2679" i="1"/>
  <c r="G2678" i="1"/>
  <c r="G2677" i="1"/>
  <c r="G2676" i="1"/>
  <c r="G2675" i="1"/>
  <c r="G2674" i="1"/>
  <c r="G2673" i="1"/>
  <c r="G2672" i="1"/>
  <c r="G2670" i="1"/>
  <c r="G2669" i="1"/>
  <c r="G2667" i="1"/>
  <c r="G2666" i="1"/>
  <c r="G2665" i="1"/>
  <c r="G2664" i="1"/>
  <c r="G2663" i="1"/>
  <c r="G2661" i="1"/>
  <c r="G2660" i="1"/>
  <c r="G2659" i="1"/>
  <c r="G2658" i="1"/>
  <c r="G2657" i="1"/>
  <c r="G2656" i="1"/>
  <c r="G2655" i="1"/>
  <c r="G2654" i="1"/>
  <c r="G2653" i="1"/>
  <c r="G2652" i="1"/>
  <c r="G2651" i="1"/>
  <c r="G2650" i="1"/>
  <c r="G2649" i="1"/>
  <c r="G2648" i="1"/>
  <c r="G2647" i="1"/>
  <c r="G2645" i="1"/>
  <c r="G2644" i="1"/>
  <c r="G2642" i="1"/>
  <c r="G2641" i="1"/>
  <c r="G2640" i="1"/>
  <c r="G2639" i="1"/>
  <c r="G2638" i="1"/>
  <c r="G2636" i="1"/>
  <c r="G2635" i="1"/>
  <c r="G2634" i="1"/>
  <c r="G2633" i="1"/>
  <c r="G2632" i="1"/>
  <c r="G2631" i="1"/>
  <c r="G2630" i="1"/>
  <c r="G2629" i="1"/>
  <c r="G2628" i="1"/>
  <c r="G2627" i="1"/>
  <c r="G2626" i="1"/>
  <c r="G2625" i="1"/>
  <c r="G2624" i="1"/>
  <c r="G2623" i="1"/>
  <c r="G2621" i="1"/>
  <c r="G2620" i="1"/>
  <c r="G2619" i="1"/>
  <c r="G2617" i="1"/>
  <c r="G2616" i="1"/>
  <c r="G2615" i="1"/>
  <c r="G2614" i="1"/>
  <c r="G2613" i="1"/>
  <c r="G2611" i="1"/>
  <c r="G2610" i="1"/>
  <c r="G2609" i="1"/>
  <c r="G2608" i="1"/>
  <c r="G2607" i="1"/>
  <c r="G2606" i="1"/>
  <c r="G2605" i="1"/>
  <c r="G2604" i="1"/>
  <c r="G2603" i="1"/>
  <c r="G2602" i="1"/>
  <c r="G2601" i="1"/>
  <c r="G2600" i="1"/>
  <c r="G2599" i="1"/>
  <c r="G2598" i="1"/>
  <c r="G2596" i="1"/>
  <c r="G2595" i="1"/>
  <c r="G2594" i="1"/>
  <c r="G2592" i="1"/>
  <c r="G2591" i="1"/>
  <c r="G2590" i="1"/>
  <c r="G2589" i="1"/>
  <c r="G2588" i="1"/>
  <c r="G2586" i="1"/>
  <c r="G2585" i="1"/>
  <c r="G2584" i="1"/>
  <c r="G2583" i="1"/>
  <c r="G2582" i="1"/>
  <c r="G2581" i="1"/>
  <c r="G2580" i="1"/>
  <c r="G2579" i="1"/>
  <c r="G2578" i="1"/>
  <c r="G2577" i="1"/>
  <c r="G2576" i="1"/>
  <c r="G2575" i="1"/>
  <c r="G2574" i="1"/>
  <c r="G2573" i="1"/>
  <c r="G2572" i="1"/>
  <c r="G2570" i="1"/>
  <c r="G2569" i="1"/>
  <c r="G2567" i="1"/>
  <c r="G2566" i="1"/>
  <c r="G2565" i="1"/>
  <c r="G2564" i="1"/>
  <c r="G2563" i="1"/>
  <c r="G2561" i="1"/>
  <c r="G2560" i="1"/>
  <c r="G2559" i="1"/>
  <c r="G2558" i="1"/>
  <c r="G2557" i="1"/>
  <c r="G2556" i="1"/>
  <c r="G2555" i="1"/>
  <c r="G2554" i="1"/>
  <c r="G2553" i="1"/>
  <c r="G2552" i="1"/>
  <c r="G2551" i="1"/>
  <c r="G2550" i="1"/>
  <c r="G2549" i="1"/>
  <c r="G2548" i="1"/>
  <c r="G2547" i="1"/>
  <c r="G2546" i="1"/>
  <c r="G2544" i="1"/>
  <c r="G2543" i="1"/>
  <c r="G2541" i="1"/>
  <c r="G2540" i="1"/>
  <c r="G2539" i="1"/>
  <c r="G2538" i="1"/>
  <c r="G2536" i="1"/>
  <c r="G2535" i="1"/>
  <c r="G2534" i="1"/>
  <c r="G2533" i="1"/>
  <c r="G2532" i="1"/>
  <c r="G2531" i="1"/>
  <c r="G2530" i="1"/>
  <c r="G2529" i="1"/>
  <c r="G2528" i="1"/>
  <c r="G2527" i="1"/>
  <c r="G2526" i="1"/>
  <c r="G2525" i="1"/>
  <c r="G2524" i="1"/>
  <c r="G2523" i="1"/>
  <c r="G2522" i="1"/>
  <c r="G2520" i="1"/>
  <c r="G2519" i="1"/>
  <c r="G2517" i="1"/>
  <c r="G2516" i="1"/>
  <c r="G2515" i="1"/>
  <c r="G2514" i="1"/>
  <c r="G2513" i="1"/>
  <c r="G2511" i="1"/>
  <c r="G2510" i="1"/>
  <c r="G2509" i="1"/>
  <c r="G2508" i="1"/>
  <c r="G2507" i="1"/>
  <c r="G2506" i="1"/>
  <c r="G2505" i="1"/>
  <c r="G2504" i="1"/>
  <c r="G2503" i="1"/>
  <c r="G2502" i="1"/>
  <c r="G2501" i="1"/>
  <c r="G2500" i="1"/>
  <c r="G2499" i="1"/>
  <c r="G2498" i="1"/>
  <c r="G2496" i="1"/>
  <c r="G2495" i="1"/>
  <c r="G2494" i="1"/>
  <c r="G2492" i="1"/>
  <c r="G2491" i="1"/>
  <c r="G2490" i="1"/>
  <c r="G2489" i="1"/>
  <c r="G2488" i="1"/>
  <c r="G2486" i="1"/>
  <c r="G2485" i="1"/>
  <c r="G2484" i="1"/>
  <c r="G2483" i="1"/>
  <c r="G2482" i="1"/>
  <c r="G2481" i="1"/>
  <c r="G2480" i="1"/>
  <c r="G2479" i="1"/>
  <c r="G2478" i="1"/>
  <c r="G2477" i="1"/>
  <c r="G2476" i="1"/>
  <c r="G2475" i="1"/>
  <c r="G2474" i="1"/>
  <c r="G2473" i="1"/>
  <c r="G2472" i="1"/>
  <c r="G2470" i="1"/>
  <c r="G2469" i="1"/>
  <c r="G2467" i="1"/>
  <c r="G2466" i="1"/>
  <c r="G2465" i="1"/>
  <c r="G2464" i="1"/>
  <c r="G2463" i="1"/>
  <c r="G2461" i="1"/>
  <c r="G2460" i="1"/>
  <c r="G2459" i="1"/>
  <c r="G2458" i="1"/>
  <c r="G2457" i="1"/>
  <c r="G2456" i="1"/>
  <c r="G2455" i="1"/>
  <c r="G2454" i="1"/>
  <c r="G2453" i="1"/>
  <c r="G2452" i="1"/>
  <c r="G2451" i="1"/>
  <c r="G2450" i="1"/>
  <c r="G2449" i="1"/>
  <c r="G2448" i="1"/>
  <c r="G2446" i="1"/>
  <c r="G2445" i="1"/>
  <c r="G2444" i="1"/>
  <c r="G2442" i="1"/>
  <c r="G2441" i="1"/>
  <c r="G2440" i="1"/>
  <c r="G2439" i="1"/>
  <c r="G2438" i="1"/>
  <c r="G2436" i="1"/>
  <c r="G2435" i="1"/>
  <c r="G2434" i="1"/>
  <c r="G2433" i="1"/>
  <c r="G2432" i="1"/>
  <c r="G2431" i="1"/>
  <c r="G2430" i="1"/>
  <c r="G2429" i="1"/>
  <c r="G2428" i="1"/>
  <c r="G2427" i="1"/>
  <c r="G2426" i="1"/>
  <c r="G2425" i="1"/>
  <c r="G2424" i="1"/>
  <c r="G2423" i="1"/>
  <c r="G2422" i="1"/>
  <c r="G2421" i="1"/>
  <c r="G2419" i="1"/>
  <c r="G2418" i="1"/>
  <c r="G2416" i="1"/>
  <c r="G2415" i="1"/>
  <c r="G2414" i="1"/>
  <c r="G2413" i="1"/>
  <c r="G2411" i="1"/>
  <c r="G2410" i="1"/>
  <c r="G2409" i="1"/>
  <c r="G2408" i="1"/>
  <c r="G2407" i="1"/>
  <c r="G2406" i="1"/>
  <c r="G2405" i="1"/>
  <c r="G2404" i="1"/>
  <c r="G2403" i="1"/>
  <c r="G2402" i="1"/>
  <c r="G2401" i="1"/>
  <c r="G2400" i="1"/>
  <c r="G2399" i="1"/>
  <c r="G2398" i="1"/>
  <c r="G2396" i="1"/>
  <c r="G2395" i="1"/>
  <c r="G2394" i="1"/>
  <c r="G2392" i="1"/>
  <c r="G2391" i="1"/>
  <c r="G2390" i="1"/>
  <c r="G2389" i="1"/>
  <c r="G2388" i="1"/>
  <c r="G2386" i="1"/>
  <c r="G2385" i="1"/>
  <c r="G2384" i="1"/>
  <c r="G2383" i="1"/>
  <c r="G2382" i="1"/>
  <c r="G2381" i="1"/>
  <c r="G2380" i="1"/>
  <c r="G2379" i="1"/>
  <c r="G2378" i="1"/>
  <c r="G2377" i="1"/>
  <c r="G2376" i="1"/>
  <c r="G2375" i="1"/>
  <c r="G2374" i="1"/>
  <c r="G2373" i="1"/>
  <c r="G2371" i="1"/>
  <c r="G2370" i="1"/>
  <c r="G2369" i="1"/>
  <c r="G2367" i="1"/>
  <c r="G2366" i="1"/>
  <c r="G2365" i="1"/>
  <c r="G2364" i="1"/>
  <c r="G2363" i="1"/>
  <c r="G2361" i="1"/>
  <c r="G2360" i="1"/>
  <c r="G2359" i="1"/>
  <c r="G2358" i="1"/>
  <c r="G2357" i="1"/>
  <c r="G2356" i="1"/>
  <c r="G2355" i="1"/>
  <c r="G2354" i="1"/>
  <c r="G2353" i="1"/>
  <c r="G2352" i="1"/>
  <c r="G2351" i="1"/>
  <c r="G2350" i="1"/>
  <c r="G2349" i="1"/>
  <c r="G2348" i="1"/>
  <c r="G2346" i="1"/>
  <c r="G2345" i="1"/>
  <c r="G2344" i="1"/>
  <c r="G2342" i="1"/>
  <c r="G2341" i="1"/>
  <c r="G2340" i="1"/>
  <c r="G2339" i="1"/>
  <c r="G2338" i="1"/>
  <c r="G2336" i="1"/>
  <c r="G2335" i="1"/>
  <c r="G2334" i="1"/>
  <c r="G2333" i="1"/>
  <c r="G2332" i="1"/>
  <c r="G2331" i="1"/>
  <c r="G2330" i="1"/>
  <c r="G2329" i="1"/>
  <c r="G2328" i="1"/>
  <c r="G2327" i="1"/>
  <c r="G2326" i="1"/>
  <c r="G2325" i="1"/>
  <c r="G2324" i="1"/>
  <c r="G2323" i="1"/>
  <c r="G2322" i="1"/>
  <c r="G2321" i="1"/>
  <c r="G2319" i="1"/>
  <c r="G2318" i="1"/>
  <c r="G2316" i="1"/>
  <c r="G2315" i="1"/>
  <c r="G2314" i="1"/>
  <c r="G2313" i="1"/>
  <c r="G2311" i="1"/>
  <c r="G2310" i="1"/>
  <c r="G2309" i="1"/>
  <c r="G2308" i="1"/>
  <c r="G2307" i="1"/>
  <c r="G2306" i="1"/>
  <c r="G2305" i="1"/>
  <c r="G2304" i="1"/>
  <c r="G2303" i="1"/>
  <c r="G2302" i="1"/>
  <c r="G2301" i="1"/>
  <c r="G2300" i="1"/>
  <c r="G2299" i="1"/>
  <c r="G2298" i="1"/>
  <c r="G2297" i="1"/>
  <c r="G2295" i="1"/>
  <c r="G2294" i="1"/>
  <c r="G2292" i="1"/>
  <c r="G2291" i="1"/>
  <c r="G2290" i="1"/>
  <c r="G2289" i="1"/>
  <c r="G2288" i="1"/>
  <c r="G2286" i="1"/>
  <c r="G2285" i="1"/>
  <c r="G2284" i="1"/>
  <c r="G2283" i="1"/>
  <c r="G2282" i="1"/>
  <c r="G2281" i="1"/>
  <c r="G2280" i="1"/>
  <c r="G2279" i="1"/>
  <c r="G2278" i="1"/>
  <c r="G2277" i="1"/>
  <c r="G2276" i="1"/>
  <c r="G2275" i="1"/>
  <c r="G2274" i="1"/>
  <c r="G2273" i="1"/>
  <c r="G2272" i="1"/>
  <c r="G2271" i="1"/>
  <c r="G2269" i="1"/>
  <c r="G2268" i="1"/>
  <c r="G2266" i="1"/>
  <c r="G2265" i="1"/>
  <c r="G2264" i="1"/>
  <c r="G2263" i="1"/>
  <c r="G2261" i="1"/>
  <c r="G2260" i="1"/>
  <c r="G2259" i="1"/>
  <c r="G2258" i="1"/>
  <c r="G2257" i="1"/>
  <c r="G2256" i="1"/>
  <c r="G2255" i="1"/>
  <c r="G2254" i="1"/>
  <c r="G2253" i="1"/>
  <c r="G2252" i="1"/>
  <c r="G2251" i="1"/>
  <c r="G2250" i="1"/>
  <c r="G2249" i="1"/>
  <c r="G2248" i="1"/>
  <c r="G2246" i="1"/>
  <c r="G2245" i="1"/>
  <c r="G2244" i="1"/>
  <c r="G2242" i="1"/>
  <c r="G2241" i="1"/>
  <c r="G2240" i="1"/>
  <c r="G2239" i="1"/>
  <c r="G2238" i="1"/>
  <c r="G2236" i="1"/>
  <c r="G2235" i="1"/>
  <c r="G2234" i="1"/>
  <c r="G2233" i="1"/>
  <c r="G2232" i="1"/>
  <c r="G2231" i="1"/>
  <c r="G2230" i="1"/>
  <c r="G2229" i="1"/>
  <c r="G2228" i="1"/>
  <c r="G2227" i="1"/>
  <c r="G2226" i="1"/>
  <c r="G2225" i="1"/>
  <c r="G2224" i="1"/>
  <c r="G2223" i="1"/>
  <c r="G2221" i="1"/>
  <c r="G2220" i="1"/>
  <c r="G2219" i="1"/>
  <c r="G2217" i="1"/>
  <c r="G2216" i="1"/>
  <c r="G2215" i="1"/>
  <c r="G2214" i="1"/>
  <c r="G2213" i="1"/>
  <c r="G2211" i="1"/>
  <c r="G2210" i="1"/>
  <c r="G2209" i="1"/>
  <c r="G2208" i="1"/>
  <c r="G2207" i="1"/>
  <c r="G2206" i="1"/>
  <c r="G2205" i="1"/>
  <c r="G2204" i="1"/>
  <c r="G2203" i="1"/>
  <c r="G2202" i="1"/>
  <c r="G2201" i="1"/>
  <c r="G2200" i="1"/>
  <c r="G2199" i="1"/>
  <c r="G2198" i="1"/>
  <c r="G2197" i="1"/>
  <c r="G2196" i="1"/>
  <c r="G2194" i="1"/>
  <c r="G2193" i="1"/>
  <c r="G2191" i="1"/>
  <c r="G2190" i="1"/>
  <c r="G2189" i="1"/>
  <c r="G2188" i="1"/>
  <c r="G2186" i="1"/>
  <c r="G2185" i="1"/>
  <c r="G2184" i="1"/>
  <c r="G2183" i="1"/>
  <c r="G2182" i="1"/>
  <c r="G2181" i="1"/>
  <c r="G2180" i="1"/>
  <c r="G2179" i="1"/>
  <c r="G2178" i="1"/>
  <c r="G2177" i="1"/>
  <c r="G2176" i="1"/>
  <c r="G2175" i="1"/>
  <c r="G2174" i="1"/>
  <c r="G2173" i="1"/>
  <c r="G2171" i="1"/>
  <c r="G2170" i="1"/>
  <c r="G2169" i="1"/>
  <c r="G2167" i="1"/>
  <c r="G2166" i="1"/>
  <c r="G2165" i="1"/>
  <c r="G2164" i="1"/>
  <c r="G2163" i="1"/>
  <c r="G2161" i="1"/>
  <c r="G2160" i="1"/>
  <c r="G2159" i="1"/>
  <c r="G2158" i="1"/>
  <c r="G2157" i="1"/>
  <c r="G2156" i="1"/>
  <c r="G2155" i="1"/>
  <c r="G2154" i="1"/>
  <c r="G2153" i="1"/>
  <c r="G2152" i="1"/>
  <c r="G2151" i="1"/>
  <c r="G2150" i="1"/>
  <c r="G2149" i="1"/>
  <c r="G2148" i="1"/>
  <c r="G2146" i="1"/>
  <c r="G2145" i="1"/>
  <c r="G2144" i="1"/>
  <c r="G2142" i="1"/>
  <c r="G2141" i="1"/>
  <c r="G2140" i="1"/>
  <c r="G2139" i="1"/>
  <c r="G2138" i="1"/>
  <c r="G2136" i="1"/>
  <c r="G2135" i="1"/>
  <c r="G2134" i="1"/>
  <c r="G2133" i="1"/>
  <c r="G2132" i="1"/>
  <c r="G2131" i="1"/>
  <c r="G2130" i="1"/>
  <c r="G2129" i="1"/>
  <c r="G2128" i="1"/>
  <c r="G2127" i="1"/>
  <c r="G2126" i="1"/>
  <c r="G2125" i="1"/>
  <c r="G2124" i="1"/>
  <c r="G2123" i="1"/>
  <c r="G2122" i="1"/>
  <c r="G2121" i="1"/>
  <c r="G2120" i="1"/>
  <c r="G2119" i="1"/>
  <c r="G2118" i="1"/>
  <c r="G2117" i="1"/>
  <c r="G2116" i="1"/>
  <c r="G2115" i="1"/>
  <c r="G2113" i="1"/>
  <c r="G2112" i="1"/>
  <c r="G2111" i="1"/>
  <c r="G2110" i="1"/>
  <c r="G2108" i="1"/>
  <c r="G2107" i="1"/>
  <c r="G2106" i="1"/>
  <c r="G2105" i="1"/>
  <c r="G2104" i="1"/>
  <c r="G2103" i="1"/>
  <c r="G2102" i="1"/>
  <c r="G2101" i="1"/>
  <c r="G2100" i="1"/>
  <c r="G2099" i="1"/>
  <c r="G2098" i="1"/>
  <c r="G2097" i="1"/>
  <c r="G2096" i="1"/>
  <c r="G2094" i="1"/>
  <c r="G2093" i="1"/>
  <c r="G2091" i="1"/>
  <c r="G2090" i="1"/>
  <c r="G2089" i="1"/>
  <c r="G2088" i="1"/>
  <c r="G2086" i="1"/>
  <c r="G2085" i="1"/>
  <c r="G2084" i="1"/>
  <c r="G2083" i="1"/>
  <c r="G2082" i="1"/>
  <c r="G2081" i="1"/>
  <c r="G2080" i="1"/>
  <c r="G2079" i="1"/>
  <c r="G2078" i="1"/>
  <c r="G2077" i="1"/>
  <c r="G2076" i="1"/>
  <c r="G2075" i="1"/>
  <c r="G2074" i="1"/>
  <c r="G2073" i="1"/>
  <c r="G2071" i="1"/>
  <c r="G2070" i="1"/>
  <c r="G2069" i="1"/>
  <c r="G2067" i="1"/>
  <c r="G2066" i="1"/>
  <c r="G2065" i="1"/>
  <c r="G2064" i="1"/>
  <c r="G2063" i="1"/>
  <c r="G2061" i="1"/>
  <c r="G2060" i="1"/>
  <c r="G2059" i="1"/>
  <c r="G2058" i="1"/>
  <c r="G2057" i="1"/>
  <c r="G2056" i="1"/>
  <c r="G2055" i="1"/>
  <c r="G2054" i="1"/>
  <c r="G2053" i="1"/>
  <c r="G2052" i="1"/>
  <c r="G2051" i="1"/>
  <c r="G2050" i="1"/>
  <c r="G2049" i="1"/>
  <c r="G2048" i="1"/>
  <c r="G2047" i="1"/>
  <c r="G2046" i="1"/>
  <c r="G2044" i="1"/>
  <c r="G2043" i="1"/>
  <c r="G2041" i="1"/>
  <c r="G2040" i="1"/>
  <c r="G2039" i="1"/>
  <c r="G2038" i="1"/>
  <c r="G2036" i="1"/>
  <c r="G2035" i="1"/>
  <c r="G2034" i="1"/>
  <c r="G2033" i="1"/>
  <c r="G2032" i="1"/>
  <c r="G2031" i="1"/>
  <c r="G2030" i="1"/>
  <c r="G2029" i="1"/>
  <c r="G2028" i="1"/>
  <c r="G2027" i="1"/>
  <c r="G2026" i="1"/>
  <c r="G2025" i="1"/>
  <c r="G2024" i="1"/>
  <c r="G2023" i="1"/>
  <c r="G2021" i="1"/>
  <c r="G2020" i="1"/>
  <c r="G2019" i="1"/>
  <c r="G2017" i="1"/>
  <c r="G2016" i="1"/>
  <c r="G2015" i="1"/>
  <c r="G2014" i="1"/>
  <c r="G2013" i="1"/>
  <c r="G2011" i="1"/>
  <c r="G2010" i="1"/>
  <c r="G2009" i="1"/>
  <c r="G2008" i="1"/>
  <c r="G2007" i="1"/>
  <c r="G2006" i="1"/>
  <c r="G2005" i="1"/>
  <c r="G2004" i="1"/>
  <c r="G2003" i="1"/>
  <c r="G2002" i="1"/>
  <c r="G2001" i="1"/>
  <c r="G2000" i="1"/>
  <c r="G1999" i="1"/>
  <c r="G1998" i="1"/>
  <c r="G1996" i="1"/>
  <c r="G1995" i="1"/>
  <c r="G1994" i="1"/>
  <c r="G1992" i="1"/>
  <c r="G1991" i="1"/>
  <c r="G1990" i="1"/>
  <c r="G1989" i="1"/>
  <c r="G1988" i="1"/>
  <c r="G1986" i="1"/>
  <c r="G1985" i="1"/>
  <c r="G1984" i="1"/>
  <c r="G1983" i="1"/>
  <c r="G1982" i="1"/>
  <c r="G1981" i="1"/>
  <c r="G1980" i="1"/>
  <c r="G1979" i="1"/>
  <c r="G1978" i="1"/>
  <c r="G1977" i="1"/>
  <c r="G1976" i="1"/>
  <c r="G1975" i="1"/>
  <c r="G1974" i="1"/>
  <c r="G1973" i="1"/>
  <c r="G1972" i="1"/>
  <c r="G1970" i="1"/>
  <c r="G1969" i="1"/>
  <c r="G1967" i="1"/>
  <c r="G1966" i="1"/>
  <c r="G1965" i="1"/>
  <c r="G1964" i="1"/>
  <c r="G1963" i="1"/>
  <c r="G1961" i="1"/>
  <c r="G1960" i="1"/>
  <c r="G1959" i="1"/>
  <c r="G1958" i="1"/>
  <c r="G1957" i="1"/>
  <c r="G1956" i="1"/>
  <c r="G1955" i="1"/>
  <c r="G1954" i="1"/>
  <c r="G1953" i="1"/>
  <c r="G1952" i="1"/>
  <c r="G1951" i="1"/>
  <c r="G1950" i="1"/>
  <c r="G1949" i="1"/>
  <c r="G1948" i="1"/>
  <c r="G1947" i="1"/>
  <c r="G1946" i="1"/>
  <c r="G1944" i="1"/>
  <c r="G1943" i="1"/>
  <c r="G1941" i="1"/>
  <c r="G1940" i="1"/>
  <c r="G1939" i="1"/>
  <c r="G1938" i="1"/>
  <c r="G1936" i="1"/>
  <c r="G1935" i="1"/>
  <c r="G1934" i="1"/>
  <c r="G1933" i="1"/>
  <c r="G1932" i="1"/>
  <c r="G1931" i="1"/>
  <c r="G1930" i="1"/>
  <c r="G1929" i="1"/>
  <c r="G1928" i="1"/>
  <c r="G1927" i="1"/>
  <c r="G1926" i="1"/>
  <c r="G1925" i="1"/>
  <c r="G1924" i="1"/>
  <c r="G1923" i="1"/>
  <c r="G1922" i="1"/>
  <c r="G1921" i="1"/>
  <c r="G1919" i="1"/>
  <c r="G1918" i="1"/>
  <c r="G1916" i="1"/>
  <c r="G1915" i="1"/>
  <c r="G1914" i="1"/>
  <c r="G1913" i="1"/>
  <c r="G1911" i="1"/>
  <c r="G1910" i="1"/>
  <c r="G1909" i="1"/>
  <c r="G1908" i="1"/>
  <c r="G1907" i="1"/>
  <c r="G1906" i="1"/>
  <c r="G1905" i="1"/>
  <c r="G1904" i="1"/>
  <c r="G1903" i="1"/>
  <c r="G1902" i="1"/>
  <c r="G1901" i="1"/>
  <c r="G1900" i="1"/>
  <c r="G1899" i="1"/>
  <c r="G1898" i="1"/>
  <c r="G1897" i="1"/>
  <c r="G1895" i="1"/>
  <c r="G1894" i="1"/>
  <c r="G1892" i="1"/>
  <c r="G1891" i="1"/>
  <c r="G1890" i="1"/>
  <c r="G1889" i="1"/>
  <c r="G1888" i="1"/>
  <c r="G1886" i="1"/>
  <c r="G1885" i="1"/>
  <c r="G1884" i="1"/>
  <c r="G1883" i="1"/>
  <c r="G1882" i="1"/>
  <c r="G1881" i="1"/>
  <c r="G1880" i="1"/>
  <c r="G1879" i="1"/>
  <c r="G1878" i="1"/>
  <c r="G1877" i="1"/>
  <c r="G1876" i="1"/>
  <c r="G1875" i="1"/>
  <c r="G1874" i="1"/>
  <c r="G1873" i="1"/>
  <c r="G1872" i="1"/>
  <c r="G1870" i="1"/>
  <c r="G1869" i="1"/>
  <c r="G1867" i="1"/>
  <c r="G1866" i="1"/>
  <c r="G1865" i="1"/>
  <c r="G1864" i="1"/>
  <c r="G1863" i="1"/>
  <c r="G1861" i="1"/>
  <c r="G1860" i="1"/>
  <c r="G1859" i="1"/>
  <c r="G1858" i="1"/>
  <c r="G1857" i="1"/>
  <c r="G1856" i="1"/>
  <c r="G1855" i="1"/>
  <c r="G1854" i="1"/>
  <c r="G1853" i="1"/>
  <c r="G1852" i="1"/>
  <c r="G1851" i="1"/>
  <c r="G1850" i="1"/>
  <c r="G1849" i="1"/>
  <c r="G1848" i="1"/>
  <c r="G1847" i="1"/>
  <c r="G1846" i="1"/>
  <c r="G1844" i="1"/>
  <c r="G1843" i="1"/>
  <c r="G1841" i="1"/>
  <c r="G1840" i="1"/>
  <c r="G1839" i="1"/>
  <c r="G1838" i="1"/>
  <c r="G1836" i="1"/>
  <c r="G1835" i="1"/>
  <c r="G1834" i="1"/>
  <c r="G1833" i="1"/>
  <c r="G1832" i="1"/>
  <c r="G1831" i="1"/>
  <c r="G1830" i="1"/>
  <c r="G1829" i="1"/>
  <c r="G1828" i="1"/>
  <c r="G1827" i="1"/>
  <c r="G1826" i="1"/>
  <c r="G1825" i="1"/>
  <c r="G1824" i="1"/>
  <c r="G1823" i="1"/>
  <c r="G1822" i="1"/>
  <c r="G1821" i="1"/>
  <c r="G1820" i="1"/>
  <c r="G1819" i="1"/>
  <c r="G1818" i="1"/>
  <c r="G1817" i="1"/>
  <c r="G1816" i="1"/>
  <c r="G1815" i="1"/>
  <c r="G1813" i="1"/>
  <c r="G1812" i="1"/>
  <c r="G1811" i="1"/>
  <c r="G1810" i="1"/>
  <c r="G1809" i="1"/>
  <c r="G1808" i="1"/>
  <c r="G1807" i="1"/>
  <c r="G1806" i="1"/>
  <c r="G1805" i="1"/>
  <c r="G1804" i="1"/>
  <c r="G1803" i="1"/>
  <c r="G1802" i="1"/>
  <c r="G1801" i="1"/>
  <c r="G1800" i="1"/>
  <c r="G1799" i="1"/>
  <c r="G1798" i="1"/>
  <c r="G1796" i="1"/>
  <c r="G1795" i="1"/>
  <c r="G1794" i="1"/>
  <c r="G1793" i="1"/>
  <c r="G1792"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5" i="1"/>
  <c r="G1744" i="1"/>
  <c r="G1743" i="1"/>
  <c r="G1742" i="1"/>
  <c r="G1741" i="1"/>
  <c r="G1740" i="1"/>
  <c r="G1739" i="1"/>
  <c r="G1738" i="1"/>
  <c r="G1737" i="1"/>
  <c r="G1736" i="1"/>
  <c r="G1735" i="1"/>
  <c r="G1734" i="1"/>
  <c r="G1733" i="1"/>
  <c r="G1732" i="1"/>
  <c r="G1731" i="1"/>
  <c r="G1730" i="1"/>
  <c r="G1728" i="1"/>
  <c r="G1726" i="1"/>
  <c r="G1725" i="1"/>
  <c r="G1724" i="1"/>
  <c r="G1723" i="1"/>
  <c r="G1722" i="1"/>
  <c r="G1721" i="1"/>
  <c r="G1720" i="1"/>
  <c r="G1719" i="1"/>
  <c r="G1718" i="1"/>
  <c r="G1717" i="1"/>
  <c r="G1716" i="1"/>
  <c r="G1715" i="1"/>
  <c r="G1714" i="1"/>
  <c r="G1713" i="1"/>
  <c r="G1712" i="1"/>
  <c r="G1711" i="1"/>
  <c r="G1708" i="1"/>
  <c r="G1707" i="1"/>
  <c r="G1706" i="1"/>
  <c r="G1705" i="1"/>
  <c r="G1704" i="1"/>
  <c r="G1703" i="1"/>
  <c r="G1702" i="1"/>
  <c r="G1701" i="1"/>
  <c r="G1700" i="1"/>
  <c r="G1699" i="1"/>
  <c r="G1698" i="1"/>
  <c r="G1697" i="1"/>
  <c r="G1696" i="1"/>
  <c r="G1695" i="1"/>
  <c r="G1694" i="1"/>
  <c r="G1693" i="1"/>
  <c r="G1692" i="1"/>
  <c r="G1691" i="1"/>
  <c r="G1690" i="1"/>
  <c r="G1689" i="1"/>
  <c r="G1688" i="1"/>
  <c r="G1687" i="1"/>
  <c r="G1685" i="1"/>
  <c r="G1684" i="1"/>
  <c r="G1683" i="1"/>
  <c r="G1682" i="1"/>
  <c r="G1681" i="1"/>
  <c r="G1680" i="1"/>
  <c r="G1679" i="1"/>
  <c r="G1678" i="1"/>
  <c r="G1677" i="1"/>
  <c r="G1676" i="1"/>
  <c r="G1675" i="1"/>
  <c r="G1674" i="1"/>
  <c r="G1673" i="1"/>
  <c r="G1672" i="1"/>
  <c r="G1671" i="1"/>
  <c r="G1670" i="1"/>
  <c r="G1669" i="1"/>
  <c r="G1668" i="1"/>
  <c r="G1667" i="1"/>
  <c r="G1666" i="1"/>
  <c r="G1665" i="1"/>
  <c r="G1663" i="1"/>
  <c r="G1662" i="1"/>
  <c r="G1661" i="1"/>
  <c r="G1660" i="1"/>
  <c r="G1659" i="1"/>
  <c r="G1658" i="1"/>
  <c r="G1657" i="1"/>
  <c r="G1656" i="1"/>
  <c r="G1655" i="1"/>
  <c r="G1654"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6" i="1"/>
  <c r="G1585" i="1"/>
  <c r="G1584" i="1"/>
  <c r="G1583" i="1"/>
  <c r="G1582" i="1"/>
  <c r="G1581" i="1"/>
  <c r="G1580" i="1"/>
  <c r="G1579" i="1"/>
  <c r="G1578" i="1"/>
  <c r="G1577" i="1"/>
  <c r="G1575" i="1"/>
  <c r="G1574" i="1"/>
  <c r="G1573" i="1"/>
  <c r="G1572" i="1"/>
  <c r="G1571" i="1"/>
  <c r="G1570" i="1"/>
  <c r="G1569" i="1"/>
  <c r="G1568" i="1"/>
  <c r="G1567" i="1"/>
  <c r="G1566" i="1"/>
  <c r="G1564" i="1"/>
  <c r="G1563" i="1"/>
  <c r="G1562" i="1"/>
  <c r="G1561" i="1"/>
  <c r="G1560" i="1"/>
  <c r="G1559" i="1"/>
  <c r="G1558" i="1"/>
  <c r="G1557" i="1"/>
  <c r="G1556" i="1"/>
  <c r="G1555" i="1"/>
  <c r="G1553" i="1"/>
  <c r="G1552" i="1"/>
  <c r="G1551" i="1"/>
  <c r="G1550" i="1"/>
  <c r="G1549" i="1"/>
  <c r="G1548" i="1"/>
  <c r="G1547" i="1"/>
  <c r="G1546" i="1"/>
  <c r="G1545" i="1"/>
  <c r="G1544"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5" i="1"/>
  <c r="G1393" i="1"/>
  <c r="G1392" i="1"/>
  <c r="G1391" i="1"/>
  <c r="G1390" i="1"/>
  <c r="G1389" i="1"/>
  <c r="G1388" i="1"/>
  <c r="G1387" i="1"/>
  <c r="G1386" i="1"/>
  <c r="G1385" i="1"/>
  <c r="G1384" i="1"/>
  <c r="G1383" i="1"/>
  <c r="G1382" i="1"/>
  <c r="G1381" i="1"/>
  <c r="G1380" i="1"/>
  <c r="G1379" i="1"/>
  <c r="G1378" i="1"/>
  <c r="G1375" i="1"/>
  <c r="G1374" i="1"/>
  <c r="G1373" i="1"/>
  <c r="G1372" i="1"/>
  <c r="G1371" i="1"/>
  <c r="G1370" i="1"/>
  <c r="G1369" i="1"/>
  <c r="G1368" i="1"/>
  <c r="G1367" i="1"/>
  <c r="G1366" i="1"/>
  <c r="G1364" i="1"/>
  <c r="G1363" i="1"/>
  <c r="G1362" i="1"/>
  <c r="G1361" i="1"/>
  <c r="G1360" i="1"/>
  <c r="G1359" i="1"/>
  <c r="G1358" i="1"/>
  <c r="G1357" i="1"/>
  <c r="G1356" i="1"/>
  <c r="G1355" i="1"/>
  <c r="G1354" i="1"/>
  <c r="G1353" i="1"/>
  <c r="G1352" i="1"/>
  <c r="G1351" i="1"/>
  <c r="G1350" i="1"/>
  <c r="G1348" i="1"/>
  <c r="G1346" i="1"/>
  <c r="G1345" i="1"/>
  <c r="G1344" i="1"/>
  <c r="G1343" i="1"/>
  <c r="G1342" i="1"/>
  <c r="G1341" i="1"/>
  <c r="G1340" i="1"/>
  <c r="G1339" i="1"/>
  <c r="G1338" i="1"/>
  <c r="G1337" i="1"/>
  <c r="G1336" i="1"/>
  <c r="G1335" i="1"/>
  <c r="G1334" i="1"/>
  <c r="G1333" i="1"/>
  <c r="G1332" i="1"/>
  <c r="G1331"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6" i="1"/>
  <c r="G1095" i="1"/>
  <c r="G1094" i="1"/>
  <c r="G1093" i="1"/>
  <c r="G1092" i="1"/>
  <c r="G1091" i="1"/>
  <c r="G1090" i="1"/>
  <c r="G1089" i="1"/>
  <c r="G1088" i="1"/>
  <c r="G1087" i="1"/>
  <c r="G1086" i="1"/>
  <c r="G1085" i="1"/>
  <c r="G1084" i="1"/>
  <c r="G1083" i="1"/>
  <c r="G1082" i="1"/>
  <c r="G1081" i="1"/>
  <c r="G1080" i="1"/>
  <c r="G1079" i="1"/>
  <c r="G1078" i="1"/>
  <c r="G1076" i="1"/>
  <c r="G1075" i="1"/>
  <c r="G1074" i="1"/>
  <c r="G1073" i="1"/>
  <c r="G1072" i="1"/>
  <c r="G1071" i="1"/>
  <c r="G1070" i="1"/>
  <c r="G1069" i="1"/>
  <c r="G1068" i="1"/>
  <c r="G1067" i="1"/>
  <c r="G1066" i="1"/>
  <c r="G1065" i="1"/>
  <c r="G1064" i="1"/>
  <c r="G1063" i="1"/>
  <c r="G1062" i="1"/>
  <c r="G1061" i="1"/>
  <c r="G1060" i="1"/>
  <c r="G1059" i="1"/>
  <c r="G1058" i="1"/>
  <c r="G1057" i="1"/>
  <c r="G1056" i="1"/>
  <c r="G1055" i="1"/>
  <c r="G1053" i="1"/>
  <c r="G1052" i="1"/>
  <c r="G1051" i="1"/>
  <c r="G1050" i="1"/>
  <c r="G1049" i="1"/>
  <c r="G1048" i="1"/>
  <c r="G1047" i="1"/>
  <c r="G1046" i="1"/>
  <c r="G1045" i="1"/>
  <c r="G1044" i="1"/>
  <c r="G1043" i="1"/>
  <c r="G1042" i="1"/>
  <c r="G1041" i="1"/>
  <c r="G1040" i="1"/>
  <c r="G1039" i="1"/>
  <c r="G1038" i="1"/>
  <c r="G1037" i="1"/>
  <c r="G1036" i="1"/>
  <c r="G1035" i="1"/>
  <c r="G1034" i="1"/>
  <c r="G1032" i="1"/>
  <c r="G1031" i="1"/>
  <c r="G1030" i="1"/>
  <c r="G1029" i="1"/>
  <c r="G1028" i="1"/>
  <c r="G1027" i="1"/>
  <c r="G1026" i="1"/>
  <c r="G1025" i="1"/>
  <c r="G1024" i="1"/>
  <c r="G1023" i="1"/>
  <c r="G1022" i="1"/>
  <c r="G1021" i="1"/>
  <c r="G1020" i="1"/>
  <c r="G1019" i="1"/>
  <c r="G1018" i="1"/>
  <c r="G1017" i="1"/>
  <c r="G1016" i="1"/>
  <c r="G1015" i="1"/>
  <c r="G1014" i="1"/>
  <c r="G1013" i="1"/>
  <c r="G1012" i="1"/>
  <c r="G1011"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<sst xmlns="http://schemas.openxmlformats.org/spreadsheetml/2006/main" count="31737" uniqueCount="620">
  <si>
    <t>title</t>
  </si>
  <si>
    <t>company</t>
  </si>
  <si>
    <t>description</t>
  </si>
  <si>
    <t>onsite_remote</t>
  </si>
  <si>
    <t>salary</t>
  </si>
  <si>
    <t>posted_date</t>
  </si>
  <si>
    <t>link</t>
  </si>
  <si>
    <t>Seniority level</t>
  </si>
  <si>
    <t>Employment type</t>
  </si>
  <si>
    <t>Job function</t>
  </si>
  <si>
    <t>Industries</t>
  </si>
  <si>
    <t>City</t>
  </si>
  <si>
    <t>Province</t>
  </si>
  <si>
    <t>Country</t>
  </si>
  <si>
    <t>Data Analyst</t>
  </si>
  <si>
    <t>Data Analyst (Remote)</t>
  </si>
  <si>
    <t>Data Analyst - Loans</t>
  </si>
  <si>
    <t>Data Analyst/Developer</t>
  </si>
  <si>
    <t>Junior Data Analyst - Mississauga, ON</t>
  </si>
  <si>
    <t>Data Analyst, Operations</t>
  </si>
  <si>
    <t>Senior Data Analyst</t>
  </si>
  <si>
    <t>Data Entry/ JR Analyst -6 Month Contract</t>
  </si>
  <si>
    <t>Quality Data Analyst</t>
  </si>
  <si>
    <t>Data Governance Analyst</t>
  </si>
  <si>
    <t>Quantitative Data Intern</t>
  </si>
  <si>
    <t>Data Entry Analyst (Risk)</t>
  </si>
  <si>
    <t>ANALYSTE BI</t>
  </si>
  <si>
    <t>Sr. Data Analyst</t>
  </si>
  <si>
    <t>IT Data Analyst - SQL, Banking Finance</t>
  </si>
  <si>
    <t>Sr. Market Data Analyst</t>
  </si>
  <si>
    <t>Market Conduct Data Analyst - 4 month Co-Op</t>
  </si>
  <si>
    <t>Data Analysts</t>
  </si>
  <si>
    <t>HR Data Analyst</t>
  </si>
  <si>
    <t>Data Analyst/Oracle</t>
  </si>
  <si>
    <t>Analyste de données</t>
  </si>
  <si>
    <t>Data Analyst – Loans/Capital Markets</t>
  </si>
  <si>
    <t>Data Specialist</t>
  </si>
  <si>
    <t>Data Engineer</t>
  </si>
  <si>
    <t>Data Analyst (contract)</t>
  </si>
  <si>
    <t>Business Intelligence Analyst</t>
  </si>
  <si>
    <t>Data Visualization Developer/Analyst</t>
  </si>
  <si>
    <t>Product Data Analyst</t>
  </si>
  <si>
    <t>Cognitive Data Analyst</t>
  </si>
  <si>
    <t>Data Analyst (Operations)</t>
  </si>
  <si>
    <t>Data Analyst - Marketing</t>
  </si>
  <si>
    <t>Senior Data Analyst, APAC Marketplace</t>
  </si>
  <si>
    <t>Senior Data Analyst - Remote</t>
  </si>
  <si>
    <t>Insights Analyst</t>
  </si>
  <si>
    <t>Data Analyst, Trilogy (Remote) - $60,000/year USD</t>
  </si>
  <si>
    <t>Product Data Analyst - WTFast</t>
  </si>
  <si>
    <t>Senior Data Analyst (Toronto, ON)</t>
  </si>
  <si>
    <t>Senior Data Analyst, Analytics &amp; Insights (Toronto, ON)</t>
  </si>
  <si>
    <t>Data Research Analyst, Trilogy (Remote) - $60,000/year USD</t>
  </si>
  <si>
    <t>Gaming Data Analyst</t>
  </si>
  <si>
    <t>Data Engineer - Remote, Full-Time</t>
  </si>
  <si>
    <t>Data Engineer/Big Data Engineer</t>
  </si>
  <si>
    <t>Data Engineer, Totogi (Remote) - $60,000/year USD</t>
  </si>
  <si>
    <t>Technical Support Analyst</t>
  </si>
  <si>
    <t>Data Analyst with Guidewire Experience (Remote | US | Canada)</t>
  </si>
  <si>
    <t>Business Systems Analyst</t>
  </si>
  <si>
    <t>Online Data Analyst</t>
  </si>
  <si>
    <t>BI Reporting Analyst</t>
  </si>
  <si>
    <t>Senior BI Analyst</t>
  </si>
  <si>
    <t>Senior Analytics Engineer (Remote)</t>
  </si>
  <si>
    <t>Senior Data and Reporting Analyst</t>
  </si>
  <si>
    <t>Data Analyst / Consultant (Fire / EMS)</t>
  </si>
  <si>
    <t>Cybersecurity Data Analyst</t>
  </si>
  <si>
    <t>Future Opportunities: Data Analyst &amp; Report Specialist (Remote)</t>
  </si>
  <si>
    <t>Data Science Analyst (Remote)</t>
  </si>
  <si>
    <t>Senior Data Analyst (Vancouver, BC)</t>
  </si>
  <si>
    <t>Data Engineer (Remote)</t>
  </si>
  <si>
    <t>Data Analyst/Forecasting Specialist</t>
  </si>
  <si>
    <t>Data Engineer II</t>
  </si>
  <si>
    <t>BI/Analytics Consultant</t>
  </si>
  <si>
    <t>Job Opportunity: Data Stage Developer || Remote</t>
  </si>
  <si>
    <t>Data Engineer [Remote]</t>
  </si>
  <si>
    <t>Google Cloud Platform Analytics Engineer</t>
  </si>
  <si>
    <t>Cloud Data Analyst</t>
  </si>
  <si>
    <t>Google Analytics Engineer</t>
  </si>
  <si>
    <t>Data Engineer - Data, AWS ,ETL</t>
  </si>
  <si>
    <t>Principal Data Analyst</t>
  </si>
  <si>
    <t>Data Analyst (C117)</t>
  </si>
  <si>
    <t>Business Data Analyst</t>
  </si>
  <si>
    <t>Data Analyst (12 Month Contract)</t>
  </si>
  <si>
    <t>Data Analyst (Hybrid)</t>
  </si>
  <si>
    <t>Data Analyst (Python/SQL)</t>
  </si>
  <si>
    <t>Data Analyst - Reporting</t>
  </si>
  <si>
    <t>Data Analyst (Contract)</t>
  </si>
  <si>
    <t>Data Analyst, Flight Pricing Optimization</t>
  </si>
  <si>
    <t>Sector Data Analyst, Data Driven Investing</t>
  </si>
  <si>
    <t>Data Administrator/Data Analyst</t>
  </si>
  <si>
    <t>Commercial Data Analyst</t>
  </si>
  <si>
    <t>Data Engineer 1</t>
  </si>
  <si>
    <t>Senior Data Analyst (PowerBI)</t>
  </si>
  <si>
    <t>Analyst, Data Science- EN</t>
  </si>
  <si>
    <t>Data Science Analyst</t>
  </si>
  <si>
    <t>Analyst, Data Operations</t>
  </si>
  <si>
    <t>Information Analyst</t>
  </si>
  <si>
    <t>Graduate Geospatial Analyst (Available 2023)</t>
  </si>
  <si>
    <t>Data Analytics</t>
  </si>
  <si>
    <t>Data Analyst 2</t>
  </si>
  <si>
    <t>Researcher</t>
  </si>
  <si>
    <t>Information Governance Analyst</t>
  </si>
  <si>
    <t>Digital Analyst</t>
  </si>
  <si>
    <t>PowerBI Specialist</t>
  </si>
  <si>
    <t>Operational Data Analyst</t>
  </si>
  <si>
    <t>Campaign/Data Analyst</t>
  </si>
  <si>
    <t>BUSINESS INTELLIGENCE ANALYST</t>
  </si>
  <si>
    <t>Analyst, Data Science- FR</t>
  </si>
  <si>
    <t>Business Intelligence Analyst (FP&amp;A)</t>
  </si>
  <si>
    <t>Data Analyst - Land</t>
  </si>
  <si>
    <t>Senior Data Governance Analyst</t>
  </si>
  <si>
    <t>Data Engineer (Azure)</t>
  </si>
  <si>
    <t>Data Engineer with AI &amp;ML Analytics Platforms</t>
  </si>
  <si>
    <t>Senior Analyst, Cyber Governance (Data Analytics)</t>
  </si>
  <si>
    <t>Marketing Data Analyst</t>
  </si>
  <si>
    <t>Business Data Analyst, Finance</t>
  </si>
  <si>
    <t>SEO Data Analyst</t>
  </si>
  <si>
    <t>Axonify</t>
  </si>
  <si>
    <t>B3 Systems</t>
  </si>
  <si>
    <t>Wood Mackenzie</t>
  </si>
  <si>
    <t>LOFT Community Services</t>
  </si>
  <si>
    <t>NAM Info Inc</t>
  </si>
  <si>
    <t>Citi</t>
  </si>
  <si>
    <t>King's College London</t>
  </si>
  <si>
    <t>Cognizant Microsoft Business Group</t>
  </si>
  <si>
    <t>Tata Consultancy Services</t>
  </si>
  <si>
    <t>VUBIQUITY</t>
  </si>
  <si>
    <t>Diverse Lynx</t>
  </si>
  <si>
    <t>Agricorp</t>
  </si>
  <si>
    <t>Arjo</t>
  </si>
  <si>
    <t>Westland Insurance Group Ltd.</t>
  </si>
  <si>
    <t>Fasken</t>
  </si>
  <si>
    <t>Momentum Financial Services Group</t>
  </si>
  <si>
    <t>TES - The Employment Solution</t>
  </si>
  <si>
    <t>Magna International</t>
  </si>
  <si>
    <t>Sonder Inc.</t>
  </si>
  <si>
    <t>Mueller Water Products</t>
  </si>
  <si>
    <t>CSL Group Ltd</t>
  </si>
  <si>
    <t>lululemon</t>
  </si>
  <si>
    <t>Scotiabank</t>
  </si>
  <si>
    <t>Canada Life</t>
  </si>
  <si>
    <t>TS Imagine</t>
  </si>
  <si>
    <t>Zortech Solutions</t>
  </si>
  <si>
    <t>Levio</t>
  </si>
  <si>
    <t>LightBox</t>
  </si>
  <si>
    <t>GFL Environmental Inc.</t>
  </si>
  <si>
    <t>DBRS Morningstar</t>
  </si>
  <si>
    <t>BeachHead</t>
  </si>
  <si>
    <t>MindGeek</t>
  </si>
  <si>
    <t>Synechron</t>
  </si>
  <si>
    <t>Enerkem</t>
  </si>
  <si>
    <t>Wunderman Thompson</t>
  </si>
  <si>
    <t>Integrated Resources, Inc ( IRI )</t>
  </si>
  <si>
    <t>BRP</t>
  </si>
  <si>
    <t>Alstom</t>
  </si>
  <si>
    <t>Tundra Technical Solutions</t>
  </si>
  <si>
    <t>Resolver, a Kroll Business</t>
  </si>
  <si>
    <t>Empire Life</t>
  </si>
  <si>
    <t>Blue Boat Data</t>
  </si>
  <si>
    <t>Libitzky Property Companies</t>
  </si>
  <si>
    <t>Spire</t>
  </si>
  <si>
    <t>Money Mart Financial Services</t>
  </si>
  <si>
    <t>Mojio</t>
  </si>
  <si>
    <t>PDFTron Systems Inc.</t>
  </si>
  <si>
    <t>Wysdom.AI</t>
  </si>
  <si>
    <t>Felix</t>
  </si>
  <si>
    <t>theScore</t>
  </si>
  <si>
    <t>Hopper</t>
  </si>
  <si>
    <t>Insurance Supermarket International USA</t>
  </si>
  <si>
    <t>Thinkific</t>
  </si>
  <si>
    <t>Flashfood</t>
  </si>
  <si>
    <t>System1</t>
  </si>
  <si>
    <t>Crossover</t>
  </si>
  <si>
    <t>BLANKSLATE Partners</t>
  </si>
  <si>
    <t>SSENSE</t>
  </si>
  <si>
    <t>TELUS International Digital Solutions</t>
  </si>
  <si>
    <t>Insight Global</t>
  </si>
  <si>
    <t>Bluelight Consulting | DevOps &amp; Software Development</t>
  </si>
  <si>
    <t>Capgemini</t>
  </si>
  <si>
    <t>Recollective</t>
  </si>
  <si>
    <t>Jitterbit</t>
  </si>
  <si>
    <t>Alybyte Inc.</t>
  </si>
  <si>
    <t>Entrust</t>
  </si>
  <si>
    <t>TELUS International</t>
  </si>
  <si>
    <t>TRADE X</t>
  </si>
  <si>
    <t>Telecon</t>
  </si>
  <si>
    <t>Jungle Scout</t>
  </si>
  <si>
    <t>American Iron &amp; Metal (AIM)</t>
  </si>
  <si>
    <t>MedMe Health (YC W21)</t>
  </si>
  <si>
    <t>Darkhorse Analytics</t>
  </si>
  <si>
    <t>Digital Research Alliance of Canada | Alliance de recherche numérique du Canada</t>
  </si>
  <si>
    <t>Heliolytics</t>
  </si>
  <si>
    <t>Yelp</t>
  </si>
  <si>
    <t>Article</t>
  </si>
  <si>
    <t>CORADIX Technology Consulting Ltd.</t>
  </si>
  <si>
    <t>CSC Generation</t>
  </si>
  <si>
    <t>Flipp</t>
  </si>
  <si>
    <t>Ansid</t>
  </si>
  <si>
    <t>Braintrust</t>
  </si>
  <si>
    <t>Mastek</t>
  </si>
  <si>
    <t>Merkle | Cardinal Path</t>
  </si>
  <si>
    <t>Masterpiece Studio</t>
  </si>
  <si>
    <t>Quantiphi</t>
  </si>
  <si>
    <t>Shogun</t>
  </si>
  <si>
    <t>IHS Markit</t>
  </si>
  <si>
    <t>RUANCO Consultora de RRHH</t>
  </si>
  <si>
    <t>Onlia</t>
  </si>
  <si>
    <t>Electronic Arts (EA)</t>
  </si>
  <si>
    <t>Frostbite</t>
  </si>
  <si>
    <t>Mitsubishi Motor Sales of Canada, Inc.</t>
  </si>
  <si>
    <t>Mphasis</t>
  </si>
  <si>
    <t>Agilus Work Solutions</t>
  </si>
  <si>
    <t>Linkus Group</t>
  </si>
  <si>
    <t>goeasy Ltd.</t>
  </si>
  <si>
    <t>Stafflink Solutions IT Staffing Company</t>
  </si>
  <si>
    <t>Xylem</t>
  </si>
  <si>
    <t>GEOTAB</t>
  </si>
  <si>
    <t>VTRAC Consulting Corporation (Certified Diversity Co.)</t>
  </si>
  <si>
    <t>Priceline</t>
  </si>
  <si>
    <t>Randstad Canada</t>
  </si>
  <si>
    <t>CPP Investments | Investissements RPC</t>
  </si>
  <si>
    <t>Circle K</t>
  </si>
  <si>
    <t>Hays</t>
  </si>
  <si>
    <t>Organigram Inc</t>
  </si>
  <si>
    <t>Vector Institute</t>
  </si>
  <si>
    <t>GSL Group</t>
  </si>
  <si>
    <t>Four Seasons Hotels and Resorts</t>
  </si>
  <si>
    <t>Globant</t>
  </si>
  <si>
    <t>OMERS</t>
  </si>
  <si>
    <t>IG Wealth Management</t>
  </si>
  <si>
    <t>KUBRA</t>
  </si>
  <si>
    <t>BCI</t>
  </si>
  <si>
    <t>Canadian Red Cross</t>
  </si>
  <si>
    <t>Arup</t>
  </si>
  <si>
    <t>Symcor</t>
  </si>
  <si>
    <t>University Canada West</t>
  </si>
  <si>
    <t>College of Physicians and Surgeons of Ontario</t>
  </si>
  <si>
    <t>Acosta</t>
  </si>
  <si>
    <t>Ledcor</t>
  </si>
  <si>
    <t>Jones Lang LaSalle</t>
  </si>
  <si>
    <t>Allstate Canada</t>
  </si>
  <si>
    <t>QuadReal Property Group</t>
  </si>
  <si>
    <t>FLEETCOR</t>
  </si>
  <si>
    <t>Plenty of Fish</t>
  </si>
  <si>
    <t>Iris Software Inc.</t>
  </si>
  <si>
    <t>Fugro</t>
  </si>
  <si>
    <t>PMA Canada</t>
  </si>
  <si>
    <t>Robert Half</t>
  </si>
  <si>
    <t>Day &amp; Ross</t>
  </si>
  <si>
    <t>Tiger Analytics</t>
  </si>
  <si>
    <t>Mevotech</t>
  </si>
  <si>
    <t>Arisoft</t>
  </si>
  <si>
    <t>Liberty</t>
  </si>
  <si>
    <t>Xero</t>
  </si>
  <si>
    <t>IAA Canada</t>
  </si>
  <si>
    <t>AMA - Alberta Motor Association</t>
  </si>
  <si>
    <t>Labelium</t>
  </si>
  <si>
    <t>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t>
  </si>
  <si>
    <t>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t>
  </si>
  <si>
    <t>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t>
  </si>
  <si>
    <t>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t>
  </si>
  <si>
    <t>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t>
  </si>
  <si>
    <t>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Citi.View the "EEO is the Law" poster. View the EEO is the Law Supplement.View the EEO Policy Statement.View the Pay Transparency Posting</t>
  </si>
  <si>
    <t>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t>
  </si>
  <si>
    <t>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t>
  </si>
  <si>
    <t>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t>
  </si>
  <si>
    <t>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t>
  </si>
  <si>
    <t>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Citi.View the "EEO is the Law" poster. View the EEO is the Law Supplement.View the EEO Policy Statement.View the Pay Transparency Posting</t>
  </si>
  <si>
    <t>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t>
  </si>
  <si>
    <t>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t>
  </si>
  <si>
    <t>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t>
  </si>
  <si>
    <t>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t>
  </si>
  <si>
    <t>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t>
  </si>
  <si>
    <t>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t>
  </si>
  <si>
    <t>Review content in tables to confirm compliance to requirements and design.Identify any aberrations to the data that may block effective functioning of the ETLs and data warehouse data model.</t>
  </si>
  <si>
    <t>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t>
  </si>
  <si>
    <t>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</si>
  <si>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t>
  </si>
  <si>
    <t>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t>
  </si>
  <si>
    <t>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t>
  </si>
  <si>
    <t>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t>
  </si>
  <si>
    <t>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t>
  </si>
  <si>
    <t>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</si>
  <si>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Nan</t>
  </si>
  <si>
    <t>Job DescriptionThe Data Governance Analyst is part of the Enterprise Data Governance Team at Canada Life and plays an essential role the advancement of our data strategy. This role provides the opportunity to balance enablement of our business with the governance of our data assets to ensure the trust and protection of the data in our care.The successful candidate will join a skilled team of like-minded colleagues who strive to make sense of our data, protect it and work to enable the business to advance their data roadmaps.What You Will Do Develop, maintain, and enhance our data governance policy, standards, processes and practices.  Support the implementation and adoption of data governance across the enterprise  Work with technology and business users to ensure our data is understood and reflected in our Data Inventory to enable people to find what they need when they need it.  Define requirements and complete analysis as we build out our Connected Data Platform, connecting people to the data they need.  Identify opportunities to improve effectiveness of the data governance organization with focus on operational efficiency and collaboration  Translate a complex topic into simple and effective statements that have impact  Raise visibility of strategic decisions, issues, risks, and milestones related to data initiatives  Investigate, communicate, and report on areas of data risk  Contribute to and promote excellence in data governance, a culture of innovation with data and data protection What You Will Bring 3-5+ years of applied data governance experience  Strong organizational Skills  Expert in Microsoft products (PowerPoint and Excel)  Excellent communication and presentation skills  Agile, practical, customer service-oriented mindset (doesn’t over complicate processes)  Passionately curious and excited to learn new things  Ability to work in a fast paced highly focused team  Experience in financial services and insurance is an asset  Data certification in Data Management or Data Governance an asset (e.g. DGSP or CDMP)  Working knowledge of data governance and management technology an asset (e.g. Collibra, Microsoft Purview) Given the size and scope of our organization, we have the flexibility for this position to be located in the following head office locations: Toronto, London, Winnipeg. Be your best at Canada Life- Apply today!Being a part of Canada Life means you have a voice. This is a place where your unique background, perspectives and talents are valued, and shape our future success.You can be your best here. You’re part of a diverse and inclusive workplace where your career and well-being are championed. You’ll have the opportunity to excel in your way, finding new and better ways to deliver exceptional customer and advisor experiences.Together, as part of a great team, you’ll deliver on our shared purpose to improve the well-being of Canadians. It’s our driving force. Become part of a strong and successful company that’s trusted by millions of Canadians to do the right thing. We are one of Canada's top 100 employers!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Canada Life would like to thank all applicants, however only those who qualify for an interview will be contacted</t>
  </si>
  <si>
    <t>About The JobThe individual hired (on a fixed term basis) would be a member of the Quantitative Data team. We are especially interested in candidates who can demonstrate an aptitude for problem solving and critical thinking. The Quantitative Data team plays a key role in the company by driving projects related to valuation data, such as yield curves or volatility surfaces that are essential elements for an accurate pricing or risk evaluation. The team also maintains the data to ensure high data quality and investigates a wide variety of technical and risk related problems so a keen intellect and a voracious appetite for learning is key.Who Will Love This JobA proud advocate – you enjoy driving projects that involve scrubbing and automating compelling data that engages all parts of the business A learner – you like investigating and troubleshooting data related issues across all dimensions of data quality A doer – you are enthusiastic about new challenges, have a broad spectrum of responsibilities, and work hard to produce high-quality results An excellent teammate – you appreciate the daily operations of a global, highly distributed team that delivers mission critical data services What You’ll Do Participating in the elaboration and implementation of data/risk projects for clientsInvestigating technical valuation data and risk problems Project-based work to improve data quality, data coverage, and operational efficiency via data processes in one or more of the following areas:Security level static data Equity Derived data (Volatility – implied and historical, Correlations, Dividend projections) Interest Rate Data (Yield curves, Floating Rate Indices, Bond Spread Data, Credit Derivative Data) You should haveObtained or working towards a degree in finance (or related subject) or stem Knowledge of financial products and their use Technically proficient including a strong interest in learning programming (ability to code in Java Script and/or Python is a plus) Good problem-solving skills Detail oriented Ability to multi-task Excellent communication skills Highly motivated Ability to thrive in a fast-paced environmentAbout TS ImagineCreated out of the combination of two best-in-class SaaS platforms, TradingScreen and Imagine Software, TS Imagine delivers integrated trading, portfolio and real-time risk solutions for capital markets. The platform is uniquely positioned to streamline complex and time-consuming workflows across front, middle, and back office functions. TS Imagine has close to 400 employees in 10 offices worldwide, serving approximately 500 global buy-side and sell-side institutions across North and South America, EMEA, and Asia Pacific including hedge funds, traditional asset managers, pension funds, mutual funds, and financial institutions.We challenge our employees every day to think creatively and innovate across silos and across platforms.Join us!</t>
  </si>
  <si>
    <t>Role: Senior Data AnalystLocation: Remote/CanadaDuration: 12+ MonthsMandatory SkillsTableau, SQL, python pandas, numpy, good to have experience with GCP is must (data analyst)</t>
  </si>
  <si>
    <t>About The JobTS Imagine is seeking a Data Entry Analyst to play a critical role in the success of the Professional Services team. This is an exciting opportunity for a self-starting and highly motivated team player with strong core technical and business analysis skills to join a well-established yet rapidly evolving company. This role will be responsible for handling client data, curing rejects, performing QA tests, and applying critical problem-solving skills for the upload process. Specialists must be able to drive projects to completion by managing their time and deliverables ensuring completion of monthly upload projects.Who Will Love This JobA collaborator – who can interact and work with team members at varying levels within the company, including shareholders, external partners, managers, staff, and contract workers An excellent teammate – you appreciate the daily operations of a global, highly distributed team that delivers mission critical data services An independent self-starter – you are a subject matter expert providing technical consulting and product expertise enabling comprehensive solutions to be delivered to the market What You’ll DoWork with internal teams to finalize project timelines and milestones, document ongoing progress and highlight concerns in good timeEnsure proactive communication to internal staff, managing enhancement requirements and escalations Code technical solutions for QA, product extension, and enhancements and follow established guidelines for deploying into a production environment Produce and manage documentation Train new employees and internal teams on the essentials of the Risk Aggregation platform to identify areas for process improvement within the Professional Services department and make recommendations to management Other duties as assigned by senior management You should haveFamiliarity with capital markets and the fin-tech industry Strong experience in dealing with data sets, ETL, quality assurance Proactivity, resourcefulness, and ability to juggle multiple tasks and priorities Excellent oral and written communication, drafting, and negotiation skills Strong attention to detail Why TS Imagine / Benefits Currently hybrid home-office Vacation and Personal days Annual bonus and salary review Training budget $1,500 RRSP with 3% company matching Health insurance Subvention for public transportation About TS ImagineCreated out of the combination of two best-in-class SaaS platforms, TradingScreen and Imagine Software, TS Imagine delivers integrated trading, portfolio and real-time risk solutions for capital markets. The platform is uniquely positioned to streamline complex and time-consuming workflows across front, middle, and back office functions. TS Imagine has close to 400 employees in 10 offices worldwide, serving approximately 500 global buy-side and sell-side institutions across North and South America, EMEA, and Asia Pacific including hedge funds, traditional asset managers, pension funds, mutual funds, and financial institutions.We challenge our employees every day to think creatively and innovate across silos and across platforms.Join us!</t>
  </si>
  <si>
    <t>Vous souhaitez vous épanouir dans un environnement de travail stimulant ? Joignez-vous au leader en transformation numérique et boostez votre carrière chez Levio. Nous vous proposons une opportunité unique de développer votre savoir-faire au sein d’une équipe de haut calibre. La variété des défis proposés par nos clients vous donnera l’occasion de vous dépasser et de maintenir votre expertise au top. Partagez le quotidien de nos clients et soyez un acteur important dans les projets les plus ambitieux en matière de technologies et de solutions logicielles. DESCRIPTION DU POSTE : Nous sommes à la recherche de plusieurs Analyste BI pour différents projets d'envergure. RÔLE ET RESPONSABILITÉS : Agir comme expert-conseil auprès des différentes unités d’affaires dans l’analyse, la compréhension, la définition et l’organisation de leurs besoins informationnels et analytiques;Réaliser des analyses complexes de données en réponse aux besoins informationnels exprimés par les unités d’affaires;Participer à l’élaboration des indicateurs de performance permettant de mesurer l’efficacité des activités;Assurer le suivi et le soutien fonctionnel des « utilisateurs clés » des solutions en intelligence d’affaires livrées et des outils d'analyse;Animer des groupes de discussions de la communauté de pratique d’intelligence d’affaires;Assurer le fonctionnement du processus de gestion des requêtes informationnelles;Supporter le groupe TI dans l’élaboration, la réalisation et l’implantation de nouvelles solutions d’intelligence d’affaires ainsi que dans le développement de nouveaux objets informationnels;Assurer une vigie dans le domaine de l'intelligence d'affaires, notamment au niveau des outils technologiques, des métadonnées et de la documentation;Appuyer l’organisation dans toutes autres tâches connexes relatives à son expertise.QUALIFICATIONS ET EXPÉRIENCE : Baccalauréat en informatique, en administration des affaires, en mathématiques ou dans une discipline appropriée avec un programme en intelligence d’affaires, en sciences des données ou l’équivalent;Démontrer une maîtrise évidente à l’utilisation avancée d’Excel (tables pivots, macros, PowerQuery, PowerPivot), d’outils de visualisation (Ex : Tableau, Power BI, Qlik) et d’outils de modélisation statistique (Ex : SAS, SPSS, R);Cinq (5) années d'expérience pertinente selon la pratique;Toute autre combinaison de formation et d’expérience jugée équivalente sera considérée.APTITUDES ET HABILETÉS:Esprit d’analyse poussé, curiosité intellectuelle et capacité à explorer et interpréter les données;Polyvalence, débrouillardise et autonomie;Excellentes habiletés relationnelles et de communication;Habiletés en gestion du changement et capacité d’adaptation;Être proactif et innovateur;Posséder des connaissances des données structurées telles que les entités, les classes, les hiérarchies, les relations et les métadonnées;Posséder des connaissances en écosystèmes physiques et logiques des systèmes de gestion de bases de données (SGBD) et maîtriser les outils reliés aux bases de données (Ex : SQL, SSIS).AVANTAGES SOCIAUX : Levio offre plusieurs avantages dans le but d’offrir la plus grande flexibilité possible à ses employés! En plus d’offrir un environnement de travail stimulant et dynamique, nous offrons entre autres : Des assurances collectives Un fond de pension Une allocation pour le développement professionnel de 2500$ Le transport en commun ou le stationnement est payé Des primes au référencement Un club social actif Statut du poste : Temps plein, 37,5h/semaine Levio souscrit au principe d'équité en emploi et applique un programme d'accès à l'égalité en emploi pour les femmes, les autochtones, les minorités visibles, les minorités ethniques et les personnes handicapées. Le genre masculin est utilisé sans aucune discrimination et dans le seul but d’alléger le présent texte.</t>
  </si>
  <si>
    <t>Job DescriptionSr. Data Analyst Toronto, ONFull timeJD - Sr. Data Analyst (5-8 years exp.)Perform EOD fit for purpose testingData discovery, Ability to write Hive SQL queries (Spark, Python, SQL - min. 3 Years Experience), data analysisMust have credit risk and financial banking sector background especially in Wholesale banking; Consulting experience Collect and document feed level requirements for migration of tactical CCAR feeds migration to End of dayPerform EOD - CCAR/CECL gap analysis. Collect and document data source requirements to cover existing gapsDocument data mapping and transformation technical specifications for DEV, QE teams. Assist Business and Development teams during testing and UAT activities, including the creation of User Testing StoriesWrite functional level specifications for CUSO teamAssist any additional requirement to maintain Audit and FRB complianceDiverse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</si>
  <si>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Job Id: 22421415The IT Data Analyst is a seasoned professional role. Applies in-depth disciplinary knowledge, contributing to the development of new techniques and the improvement of processes and work-flow for the area or function. Integrates subject matter and industry expertise within a defined area. Requires in-depth understanding of how areas collectively integrate within the sub-function as well as coordinate and contribute to the objectives of the function and overall business. Evaluates moderately complex and variable issues with substantial potential impact, where development of an approach/taking of an action involves weighing various alternatives and balancing potentially conflicting situations using multiple sources of information. Requires good analytical skills in order to filter, prioritize and validate potentially complex and dynamic material from multiple sources. Strong communication and diplomacy skills are required. Regularly assumes informal/formal leadership role within teams. Involved in coaching and training of new recruits. Significant impact in terms of project size, geography, etc. by influencing decisions through advice, counsel and/or facilitating services to others in area of specialization. Work and performance of all teams in the area are directly affected by the performance of the individual.Responsibilities:Applies in-depth disciplinary knowledge, contributing to the development of new techniques and the improvement of processes and work-flows.Coordinates and contribute to the objectives of data science initiatives and overall business through leveraging in-depth understanding of how areas collectively integrate within the sub-function.Assumes informal/formal leadership role through coaching and training of new recruits.Significantly influences decisions, work, and performance of all teams through advice, counsel and/or facilitating services to others in the business.Conducts strategic data analysis, identifies insights and implications and make strategic recommendations, develops data displays that clearly communicate complex analysis.Mines and analyzes data from various banking platforms to drive optimization and improve data quality.Delivers analytics initiatives to address business problems with the ability to identify data required, assess time &amp; effort required and establish a project plan.Consults with business clients to identify system functional specifications. Applies comprehensive understanding of how multiple areas collectively integrate to contribute towards achieving business goals.Consults with users and clients to solve complex system issues/problems through in-depth evaluation of business processes, systems and industry standards; recommends solutions.Leads system change process from requirements through implementation; provides user and operational support of application to business usersFormulate and define systems scope and objectives for complex projects through research and fact-finding combined with an understanding of applicable business systems and industry standards.Impacts the business directly by ensuring the quality of work provided by self and others; impacts own team and closely related work teams.Considers the business implications of the application of technology to the current business environment; identifies and communicates risks and impacts.Drives communication between business leaders and IT; exhibits sound and comprehensive communication and diplomacy skills to exchange complex information.Appropriately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transparency.Primary skills (Must have):Strong SQL/PL-SQL skills.Must have exposure to Finance Domain with Data Analyst skillSecondary skills (Good to have):Working knowledge of PythonBIG DATA concept awarenessMS office / Excel skillsOptional SkillsExposure to Data Visualization Tools/TechniquesOther preferred skills:Proven interpersonal, diplomatic, management and prioritization skills. Consistently demonstrate clear and concise written and verbal communication Proven ability to manage multiple activities and build/develop working relationships Proven self-motivation to take initiative and master new tasks quickly Demonstrated ability to work under pressure to meet tight deadlines and approach work methodically with attention to detailQualifications:5-8 years experience using tools for statistical modeling of large data setsAbility to effectively use complex analytical, interpretive and problem solving techniquesDemonstrated interpersonal, verbal and written communication skillsEducation:Bachelor’s/University degree or equivalent experienceThis job description provides a high-level review of the types of work performed. Other job-related duties may be assigned as required.Citi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Family:Applications Development------------------------------------------------------Time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Citi.View the "EEO is the Law" poster. View the EEO is the Law Supplement.View the EEO Policy Statement.View the Pay Transparency Posting</t>
  </si>
  <si>
    <t>Position OverviewThe Sr. Market Data Analyst will report to our Manager, Content Acquisition. This role will be part of our Content Acquisition team and help us become the leading source of real estate information within Canada by expanding our existing content coverage, introducing new data sources, and ensuring the highest standards of quality while updating our data. This role will work with cross functional leaders from Engineering, Product, Support and Sales to help maintain and grow our Canadian products.What You Will Do And AchieveSourcing content from public and partner sources to support our Canadian products.Work closely with the data ingestion team to build best in class processes for data capture, loading, and maintenance. Additionally, this role will work with Product Leaders within LightBox to source and manage content in support of new product development.Work closely with the Manager, Content Acquisition to establish best practices for data procurement, process documentation, automation and vendor management.Manage vendor and partner content agreements by collaborating with internal stakeholders (business segments, Legal and Finance teams) to meet our business needs. This role will also influence establishing best practices and processes for content procurement.Monitor and maximize efficiencies for our Canadian market data budget.Efficiently procure, source, onboard existing and new data sources with a high bar for qualityCollaborate with data engineering team for onboarding new content and advocate for process improvements to drive our data platform forward with a metrics-driven, continuous improvement approachCreate, test, monitor, and improve key data quality metrics tied to the customer experienceProactively manage existing data licensing agreements and develop performance/relationship management metrics to ensure budget dollars are aligned with our overall corporate strategy. Maintain relationships and directly interface with third party data providers to onboard and update content successfully.Research and identify alternate data sources to ensure that we are positioned effectively in the market from a content quality standpoint.Who you are:EducationCompletion of Undergraduate DegreeExperience4+ years of relevant experience at a software (GIS) or data company. 2+ years of experience sourcing and maintaining large data sets for use in commercial products/offerings.Experience with contract management and negotiationsKey Knowledge &amp; SkillsComfortable working with large datasets. Preferably GIS oriented datasets.Strong excel, SQL skillsStrong working knowledge of data licensing concepts and contract verbiageWorking knowledge of managing data/vendor partner agreementsOther Desirable Attributes Working with Product, Finance, and Legal teams is preferred Familiarity with mapping or location intelligence or real estate data sector within Canada is a plus.Detail-oriented, outstanding communicators, and are quick to learn new technologies/conceptsStrong verbal and written communication skills.This job description is a general listing of the required tasks and expectations of the position and in no way implies that the duties listed above are the employee’s only responsibilities. The employee is expected to perform other tasks, responsibilities and training as instructed by their supervisors. Duties and responsibilities may change at any time with or without notice.This position may require additional hours outside of the standard work schedule including occasional holiday, evening and/or weekend hours in order to meet deadlines or to accommodate customers.LightBox and all its holding companies are an equal opportunity/affirmative action employer. It is the policy of the LightBox and its holding companies to prohibit discrimination of any type and to afford equal employment opportunities to employees and applicants, without regard to race, color, religion, sex, national origin, age, disability, or veteran status.NO TELEPHONE CALLS OR AGENCY SOLICITATION PLEASE.</t>
  </si>
  <si>
    <t>Job Description (EN)Advisor Monitoring is a team of data analysts in Market Conduct (part of Corporate Compliance) that perform descriptive analytics looking for insights into advisor behaviour and market conduct risk while performing second line oversight of Advisory Network.Reporting into the Manager – Advisor Monitoring, the Data Analyst role contributes to the execution of the Advisor Monitoring team by combining advanced analytical skills with strong industry knowledge. The ideal candidate is able to combine these abilities to efficiently and effectively draw conclusions and make recommendations to mitigate risk in Advisory Network. This includes detecting anomalous data patterns, analyzing these patterns using knowledge of Distribution processes and products and projecting the results across the rest of the business to recommend control changes where appropriate.What You Will Do Provide valuable data analytics to influence effective change: Combine expert industry knowledge with advanced data analytics skills to enhance predictive capabilities of Advisor Monitoring team while detecting emerging trends.  Collaborate with data scientists and other IT partners to continuously enhance the efficiency and effectiveness of the Advisor Monitoring program.  This includes tying trends identified during advisor case assessments to population studies to determine the prevalence of trends and recommend next steps.  Assist with the execution of advisor monitoring program: Analyze large volumes of transactional data to identify key risks with a focus on advisor misconduct. This includes ongoing advisor case assessment work.  Apply industry knowledge to assess potential advisor misconduct and resolve findings. This may require contacting advisors and/or customers where appropriate.  Conduct root cause analysis of market conduct complaints and use findings to set business requirements and execute upgrades to existing data analytics program.  Provide effective oversight of Advisory Network: Leverage program findings and understand controls framework and leverage program findings to provide effective challenge for upstream controls.  Share analytical best practices with business partners to drive the continuous improvement of business processes across Risk &amp; Compliance.  Follow up on referred cases to ensure successful achievement of advisor outcomes. What You Will Bring Advanced data analytics skills with ability to work effectively in Microsoft Excel, Microsoft Power BI and Tableau Software.  Creative thinker with the ability to understand the root cause of an issue and use data to establish detective controls for the issue.  Strong interpersonal skills and a demonstrated experience working effectively in a team environment as well as independently.  Well-developed planning and organizational skills with the ability to prioritize and handle multiple tasks while meeting tight deadlines.  Excellent verbal and written communication/documentation skills.  Strong influencer with the ability to provide effective challenge to legacy processes.  Advanced knowledge of insurance and wealth products, particularly for Individual Customer.  Understanding of advisor compensation is an asset.  Knowledge of internal admin systems an asset (ie. Univeris, legacy systems, OnBase, etc.)  Post-secondary education in a related field.  Professional designation or diploma (ie. CPA, CFA, CSC, IFIC) an asset.  Be your best at Canada Life- Apply today  !Being a part of Canada Life means you have a voice. This is a place where your unique background, perspectives and talents are valued, and shape our future success.You can be your best here. You’re part of a diverse and inclusive workplace where your career and well-being are championed. You’ll have the opportunity to excel in your way, finding new and better ways to deliver exceptional customer and advisor experiences.Together, as part of a great team, you’ll deliver on our shared purpose to improve the well-being of Canadians. It’s our driving force. Become part of a strong and successful company that’s trusted by millions of Canadians to do the right thing. We are one of Canada's top 100 employers!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Canada Life would like to thank all applicants, however only those who qualify for an interview will be contacted</t>
  </si>
  <si>
    <t>Job Description Job Title:   Data Analysts  Location: Remote (Canada) Job Type: ContractJob Summary Job Details:Data analysts Expert in data analysis using SQL Proficient in conducting analysis via Excel Hadoop/Bigquery experience is a plus 4&amp;plus;years in data analysis Ability to understand business requirements and self-start analysis in client setup Good communicator to demo analysis results Knowledge about Tableau is a plus</t>
  </si>
  <si>
    <t>GFL Environmental is looking for an HR Data Analyst to join our team based out of our Corporate Office in Vaughan! The Human Resources Data Analyst provides administrative and data support to the HR department. The position is best suited to a strong administrator with an interest in Human Resources who enjoys variety and thrives when working independently.Key Responsibilities:Updates and maintains employee records and HR databases using HRIS system (Workday)Maintains records in system; ensures employee profiles are accurate and up to dateProcesses documentation for all employees in accordance with company policy and proceduresProcesses new employee requisite forms necessary to set up payrollAnalyzes employee related statistics and reports exceptionsKnowledge, Skills and Competencies:Completion of a college diploma or university degree in HR or BusinessPrevious experience working in an HR departmentAptitude with Microsoft Office (Word, Excel, Outlook, PowerPoint) and HRISWorkday experience is an assetExcellent verbal and written communication skills, as well as excellent interpersonal skillsAbility to multi-task in a fast-paced environment with minimal supervisionCollaborative team player with a strong client service approachActs responsibly and ethically while working with sensitive and confidential personal informationStrong organizational skills and excellent attention to detailAbility to learn new things quickly and adapt to changing prioritiesWe thank you for your interest. Only those selected for an interview will be contacted. GFL Environmental is an equal opportunity employer and encourages women, Aboriginal people, persons with disabilities and members of visible minorities to apply. We seek to hire individuals with diverse characteristics, backgrounds and perspectives. We strongly believe that world-class talent makes no distinctions based on gender, ethnic or national origin, sexual identity and orientation, age, religion or disability, but enriches itself through these differences. GFL will provide accommodations to job applicants with disabilities throughout the recruitment process. If you require an accommodation, please notify us and we will work with you to meet your needs.</t>
  </si>
  <si>
    <t>The Role:DBRS Morningstar is seeking an Senior Data Analyst to join the Credit Data team within Credit Operations, located in Toronto. The Senior Data Analyst is part of the team responsible for maintaining critical credit ratings and origination data. In this role, you will be asked to gather and interpret data requirements, perform research and analysis, and data mappings from multiple sources. The Senior Data Analyst will partner with our technology team to assist in the development and testing of new requirements when necessary. This position would also be expected to lead key data projects within DBRS Morningstar, such as partnering with Credit Practices with work on performance metrics and analytics around our rating actions. This position will report into the Data Director, Data Analytics located in Toronto.Responsibilities:Hands-on development will be an integral part of the responsibilitiesConceptualizing, building and maintaining pre-aggregated datasets, reports and other analytical products (data feeds)Leveraging BI Tools (ie. Tableau) and building dashboards to maintain key metrics and provide internal stakeholders self-service reporting capabilitiesDeveloping insights on large scale data, performing ad-hoc data cleaning and statistical analysis as neededCommunicating results to rating analysts, senior management and other key stakeholdersDeveloping and automating reports for regulators and other external partiesMentor and guide junior members of the teamQualificationsA minimum of 2 years’ experience working as a senior data analyst using Python and SQL, with a total experience of 4+ yearsSkilled in Tableau or Power BI (data visualization experience a must)Exposure to database managementExcellent written and verbal communication skillsA bachelor’s degree in engineering or finance fieldNice to haveKnowledge of Fixed Income and Capital MarketsExperience with Bloomberg and/or Thomson Reuters terminalExperience developing using Git or other workflow systemsExperience with AWS &amp; Cloud ApplicationsMorningstar employees are required to be fully vaccinated or submit to regular testing to work in any office. Morningstar’s vaccine policy may be modified to comply with evolving legal requirements and other changing circumstances.About UsDBRS Morningstar is a global credit ratings business, currently with 700 employees in eight offices globally. Formed through the July 2019 acquisition of DBRS by Morningstar, Inc., the ratings business is the fourth-largest provider of credit ratings in the world.DBRS Morningstar is committed to empowering investor success, serving the market through leading-edge technology and raising the bar for the industry. DBRS Morningstar is a market leader in Canada, the U.S. and Europe in multiple asset classes.DBRS Morningstar rates more than 2,600 issuers and 54,000 securities worldwide and is driven to bringing more clarity, diversity of opinion, and responsiveness to the ratings process. DBRS Morningstar’s approach and size provide the agility to respond to customers’ needs, while being large enough to provide the necessary expertise and resources.If you received and accept an offer from us, we require that personal and any related investments be disclosed confidentiality to our Compliance team (days vary by region). These investments will be reviewed to ensure they meet Code of Ethics requirements. If any conflicts of interest are identified, then you will be required to liquidate those holdings immediately. In addition, dependent on your department and location of work certain employee accounts must be held with an approved broker (for example all, U.S. employee accounts). If this applies and your account(s) are not with an approved broker, you will be required to move your holdings to an approved broker.</t>
  </si>
  <si>
    <t>Are you driven by collective success? Do you believe collaboration can transform a good idea into a great one? Do you understand the power of an inclusive team that enjoys working together to create a shared vision? Then, Apply Now!Working with one of the top financial clients this role calls for a Data Analyst/Oracle who will be responsible for supporting the business needs of financial operations for the clients. The ideal candidate has experience with Oracle and working hands-on with Excel Macros.Desired Skill Set2 years of experience as a Data Analyst2 years of hands-on experience with ExcelBackground in business analysis or related fieldIT-related Certificate Strong verbal and written communication skillsExcellent teamwork and people skillsNice To HaveSolid experience with Oracle Strong exposure to Incident management Experience in Test programs or databases, correcting errors and making necessary modifications.BeachHead is an equal opportunity agency and employer. We advocate for you and welcome anyone regardless of race, color, religion, national origin, sex, physical or mental disability, or age.Privacy Policy</t>
  </si>
  <si>
    <t>L'analyste de données du département d'Analytique d'affaires agit en tant qu'expert dans l'exploitation des données pour identifier, créer et communiquer une stratégie avec les produits, les analystes, les clients ainsi que la haute direction. Celui-ci se concentre sur les affaires et la stratégie.Ce que vous ferez:Recherche: Recherche et identification d'opportunités stratégiques pour l'entrepriseAnalyse: Utilisez des données et construisez des modèles pour vous aider dans vos recherches et hypothèses. Propositions commerciales: Transformez vos idées et hypothèses en propositions commerciales concises à présenter aux partenaires et à la haute direction. Coordination de projets: Travailler avec des partenaires pour planifier, mettre en œuvre, tester et surveiller les opportunités stratégiques. Rapports: Créez des rapports et des présentations pour suivre et surveiller le rendement et les objectifs. Communication: Développer et maintenir la capacité à communiquer des recherches, des tests, ainsi que des critères et des objectifs pour de nouveaux tests. Création: Participez à des réunions de remue-méninges hebdomadaires pour identifier les points critiques et élaborer une stratégie pour améliorer toutes les facettes de l'entreprise. Ce dont vous aurez besoin pour réussir:Compétences essentielles:Baccalauréat En Commerce, Marketing, Psychologie ou tout autre champ relié aux affaires ou à la rechercheAu moins 1 an d'expérience dans une entreprise dans un rôle stratégique similaireMicrosoft Excel et SQLCompétences: Stratégie, communication, propositions commerciales, coordination de projet, présentationsAtouts:Axé sur la recherche et les donnéesCapable d'identifier des problèmes ou des opportunités d'affaires et de proposer des solutions claires et efficacesCapable de communiquer des propositions d'affaires aux clientsOrganisé et ne ratez jamais des délaisCurieux et prêt à constamment élargir vos connaissancesPrêt à jouer un rôle actif dans une équipe en pleine croissancePassionné par ce que vous faites et constamment motivéPositif et excité de faire face à de nouveaux défisPower BI ou autres outils de création tableau de bord (exemple : Tableau, Looker, GA, MixPanel, DAX etc.)Expérience en commerce electroniqueEn tant qu'employeur souscrivant au principe de l'égalité d'accès à l'emploi, notre entreprise célèbre la diversité et s'engage à créer un environnement inclusif pour tous ses employés.Ce poste peut vous exposer à du contenu pour adultes.</t>
  </si>
  <si>
    <t>Strong SQL, Excel VBA/Macros, JIRA, Strong in Data Model/Mapping and ETL knowledge. Looking for resources with solid VBA/Macro skills. • Data Analyst with 7+ years of experience responsible for organizing data related issues/projects to Capital Markets, Investment or Consumer Banking (Loans). Utilize their technical expertise to ensure the data is accurate, and of a high-quality. Data is subsequently analyzed and presented in a way that assists the businesses in making more informed decisions. • Lead and support research activities, by using statistical tools to identify, analyze, interpret patterns and trends for complex data sets. Which could prove beneficial by determining the diagnosis through the symptoms and the implementation of preventive measures. • Plan and coordinate activities with the data administrator in order to ensure regular, accurate updates to the databases, validation checks and new enhancements. •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t>
  </si>
  <si>
    <t>Company DescriptionBeing part of a growing company in the cleantech sector and contributing to the global transition to a circular economy appeals to you? That’s exactly what our employees do every day when they come to work. Enerkem is based on a revolutionary idea: transforming non-recyclable and non-compostable waste into clean fuels and renewable chemicals. Our Canadian-born solution offers an innovative and sustainable alternative to landfilling and incineration while reducing dependency on fossil fuels.Such an ambitious mission requires people who strive to make a difference. Our employees are the best in their field; they are resilient and passionate contributors who transform challenges into opportunities. Our culture values individual ideas and contributions for the company’s success. It’s a place where you can lead and inspire others within a creative and dynamic team.Job DescriptionYou are recognized for your ability to implement emerging solutions that create insights for our stakeholders; there isn’t much about data management and analytics that you don’t know. Also, you are looking to have an impact, in your job, your workplace, and the World too, by working for a company that brings innovation to another level.YOUR CONTRIBUTIONUpon your arrival, you will support the Business Application Delivery team in the Information Technology Department. You will report to the IT Business Applications Delivery Manager. This is an opportunity to collaborate with a dynamic team as you enrich your career and work on Enerkem’s unique and disruptive technology.Your Role And Responsibilities Will Be The FollowingGather and elicit requirements from stakeholdersDesign the layout and structure of dashboards and reports when requiredTransform requirements into technical and business requirements for approvalWork with third-party partners to deliver high-quality reusable reports and dashboardsMay be called upon to create reports and dashboardsDAX, hands-on experience retrieving data from SQL Server, Excels &amp; Flat files using reporting tools publishing to Workspaces, sharing Reports and Dashboards with enterprise users. Understands the Operational &amp; Security modelCreate ETL code or writes scripts that automate process of retrieving, transforming, and delivering information to stakeholders.Participate in the creation of DataMart, APIs and dashboards for stakeholdersEnsures daily data processes operate smoothlyTroubleshoot errors in processes and independently resolve issuesMaintain communication with stakeholders, keeping them informed of issues with their data and time to resolutionReach out directly to established data owners if problems are detected in their data and work with them to achieve resolution.Be able to independently suggest improvements and make process changes as requested.Documents all operational processes (code documentation best practices, process flowcharts and technical word documents).Assist in building and maintaining systems and processes that improve data quality and availability to the organization.Create and maintain the organization’s data dictionary. Keep definitions, ownership, lineage and validation rules of data up to date and catalogued with relevant stakeholders.Develops specifications and scripts that load data into Data systems and perform data validation as defined in the data dictionary.Participates in the design of data models to solve organizational problems and independently implements models in group’s data systems.Identify continuous improvement opportunities to improve reporting and analyticsYour Qualifications5-7 years of hands-on data visualization experience.Technical diploma in Data Management, or Visualization/Communication or Degree in Computer ScienceCertification: DA-100: Analyzing Data with Microsoft Power BI or equivalentCertification: PL-300: Microsoft Power BI Data AnalystExperienced on Interaction Design, User Interface (UI), User Experience (UX), User Flows, wireframes, hi-fidelity prototypes, and detailed design specifications.Should have strong experience on PowerBI &amp; DAXShould have experience on SSRS, SSIS, SSASShould have experience on ADF (Azure Data Flow), ADLS (Azure Data Lake Storage) etc.Data modeling basicsUnderstanding of data visualization best practices and essential graphics theory.YOUR COMPETENCIESAbility to work independently with little supervision as well as in a team environmentExcellent ability to communicate clearly and effectively, both verbally and in writing.Innovative – seeks out innovative solutions and champions continuous improvementPrioritization – ability to organize workflow to accomplish multiple and changing priorities within specified timeframe.Results oriented – Strives to achieve high levels of individual and organizational performance.Creative thinking - develops solutions and innovative ways of thinking about a situation, problems, and opportunitiesWhile we know this is a hybrid profile and that you may not check all the criterias, why don’t you reach out anyway!Additional InformationAt Enerkem, the well-being of our employees is at the heart of our priorities! We provide a living environment where each individual counts and is recognized for their contribution to the success of the organization. We believe in the importance of celebrating our successes and having fun! We focus our efforts on developing talents and, among other things, offer opportunities for everyone to participate in stimulating projects as well as learning opportunities and feedback / coaching that allow them to succeed, develop and flourish professionally.Enerkem also offers a total compensation package that includes competitive salary, performance bonus, and comprehensive benefits to meet all the needs of our employees and their families, including telemedicine.And that's not all, here are some other unique benefits:A $400 credit for health care and/or physical activities to support the well-being of our employeesAn employee recognition programSocial activities organized by a committee to promote well-beingPaid training fees, dues and membership of professional associationsA flexible work environment with autonomy of action.Enerkem adopts a hybrid work model where employees can balance working from home and at the office according to business needsEnerkem subscribes to the principle of equity in employment. We are committed to creating a diverse and inclusive workplace that offers equal opportunities for all, where people of diverse backgrounds and characteristics feel valued, respected, supported and can thrive. These values, which reflect the talent, experience and qualities of our employees, allows us to get the best out of each and every one of us.</t>
  </si>
  <si>
    <t>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technology.Who We Are Looking ForWunderman Thompson is looking for a Data Engineer to join the cross-functional team dedicated to an iconic automotive brand. Reporting into the Director, Data &amp; Analytics you will be responsible for provisioning, maintaining and optimizing enterprise data pipelines. You will be focused on ensuring reliable access to the data for key stakeholders and automated systems, as well as documenting technical processes and procedures.What You’ll DoDirect | Understand business goals and develop solutions to drive the desired results.Innovate | Drive continuous improvement including data pipeline design, implementation, automation, and maintenance of enterprise ETL processes.Develop | Create repeatable and scalable code that processes data in an automated and efficient manner to ensure data availability.Quality control | Ensure data accuracy and security compliance.Who You AreData-Driven | Entrepreneurial attitude coupled with a strong technical acumen.Agile | A get-things-done attitude. You strive for accuracy and excellence.Curious | Proactive in finding creative solutions. Innately curious with a “what if” attitude.What You’ll Need2+ years of relevant experience required; experience in a creative/digital agency an asset. In-depth knowledge of SQL, Python and Linux OS.Working knowledge of enterprise data management tools (i.e., Apache Nifi, DBT, Talend, Etc.)Knowledge of data visualization software (i.e., Tableau, PowerBI or Qlik) an asset.What We OfferPassionate, driven people | We champion a culture of people that do extraordinary work.Consciously cultivated culture | We aim to embody the behaviours to build an inclusive community that is in it together, bringing both positivity and active listening into the workplace as we simultaneously strive to empower creative bravery.Competitive benefits | What we offer full time hires ranges from the full spectrum of group health coverage options (medical, dental, vision) and a variety of paid time off offerings that reflect our investment in all aspects of your overall life balance and wellness.Growth-minded opportunities | We aim to nurture a culture of real-time feedback, growth-oriented mindset, and plenty of training opportunities through Wunderman Thompson and WPP, so you can continue to grow personally and professionally.Wunderman Thompson welcomes and encourages applications from people with disabilities. Accommodations are available upon request for candidates taking part in all aspects of the selection process.At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"Submit Application"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t>
  </si>
  <si>
    <t>Data Analyst    Project Role   We are looking for an Individual that can work collaboratively with Company team   members and has strong analytical and communication skills.   Someone who is comfortable in a Unix or cloud environment and has some basic   scripting skills to help us review existing clinical datasets and load them into our clinical graph data platform.    Education   Bachelor degree in one of the related fields (Data Science, Computer Science, Information   Systems) or equivalent work-related experience    Required skills   Experience as a data analyst or Data curator.   Experience with Python scripting.   Experience with data wrangling, pre-processing and handling of large datasets.   Exquisite attention to detail; the data analyst will be responsible for maintaining healthy   datasets, document and to ensure a high degree of quality control is maintained.   Flexible and adaptable, able to learn quickly and work on various engagements.   Excellent communication, advanced English reading, writing, listening and speaking   skills.    Nice to have skills   Experience working in Pharma/ Medical/ biotech industries.     Skills:   Keywords:   Education:   Skills and Experience:   Required Skills:   DATA ANALYST   PYTHON   SCRIPTING   DATA SCIENCE   DATASETS   Additional Skills:   DTD   HTML   MICROSOFT WORD   QUALITY CONTROL   UNIX   WORD   Languages:   English   Read   Write   Speak   Minimum Degree Required: Bachelor's Degree   Patents: No   Publications: No   Veteran Status: No   A Job Description Document has been uploaded to this request. The parsed skills and experience section in this request is based on the content of this file: Data Analyst (ECD) (1).pdf # of Positions: 1    Location:   Mississauga, ON   7070 Mississauga Road,    Schedule:   Start Date: 04/05/2022   Estimated End Date: 04/07/2023   Hours Per Week: 40.00   Hours Per Day: 8.00</t>
  </si>
  <si>
    <t>BRP is looking for a Data Engineer to join our team and bring the analytics practice to the next level. We are looking for a motivated person who thrives in a dynamic and challenging environment, who loves working with tools on the edge, who has no problem switching between multiple programming languages, and who is able to find out-of-the-box solutions to solve complex problems. In this role, you will be at the heart of the definition and implementation of world-class analytics solutions, and you will contribute to set data as a strategic advantage for BRP.Your Key ResponsibilitiesDesign, develop, implement and support robust ETL/ELT/Data Pipelining solutionsCoordinate with multiple development teams to achieve delivery objectivesProvide support in requirements definition, estimation, development and delivery of robust and scalable solutionsDevelopment and support of real-time data ingestion processes from various data sourcesDevelopment and support of data models optimized for business intelligence usageBuild integrations with APIs from external providers such as Google, Facebook, Salesforce, SAP and othersAdhering to industry standards and laws such as GDPR and SOXBe a leader in best-practices definition and creative thinkingYour Qualifications And SkillsMaster Degree in Business Intelligence or equivalentSolid and demonstrated experience on following technologies: Snowflake DBT Talend and/or Azure Data Factory Microsoft SQL Server Power BIFluent in various programming languages such as: T-SQL Python Javascript / Node.js JavaUnderstands and puts into practice data modeling, design and development of solid ETL/ELT data pipelinesFluent in writing, executing and optimizing complex SQL queriesExperience implementing API Service architectures ( REST)Develop clean and maintainable code in a CI-CD EnvironmentExperience in using cloud BI technologies such as Azure or similarExperience in translating business requirements into advanced data models able to fulfill analysts and data scientists requirementsExperience in data profilingExperience in working within an agile team to build big data / analytics solutionsStrong interpersonal relations, motivated and loves to work on multiple challenging projectsStrong communication skills, both speaking or writingFluent in french and englishOpen-minded and able to adapt to new ways of working (data vault, event-driven architecture, unstructured data, self-service analytics, etc..)Well organized and able to self-prioritize, sometimes with conflictual deadlinesStrong communication skills, both speaking or writing, in both french and englishContinuously seeks for improvements and craves to put hands on new technologiesWELCOME TO BRPWe’re a world leader in recreational vehicles and boats, creating innovative ways to move on snow, water, asphalt, dirt and even in the air. Headquartered in the Canadian town of Valcourt, Quebec, our company is rooted in a spirit of ingenuity and intense customer focus. Today, we operate manufacturing facilities in Canada, the United States, Mexico, Finland, Australia and Austria, with a workforce of over 14,500 spirited people, all driven by the deeply held belief that at work, as with life itself, it’s not about the destination; It’s about the journey. Yours.</t>
  </si>
  <si>
    <t>Leading societies to a low carbon future, Alstom develops and markets mobility solutions that provide the sustainable foundations for the future of transportation. Our product portfolio ranges from high-speed trains, metros, monorail, and trams to integrated systems, customised services, infrastructure, signalling and digital mobility solutions. Joining us means joining a caring, responsible, and innovative company where more than 70,000 people lead the way to greener and smarter mobility, worldwidePURPOSE OF THE JOBLead the development and deployment of the next generation data-driven solutions for Mobility, within a lean startup pathway and in collaboration of engineering &amp; mobility experts.Key accountabilities: Design technical solution for data-driven approach, including engineering and financial impacts Build feature extraction model and programming Build learning models, including unsupervised predictive models and simulation tool Assess and enhance the data quality of incoming data and model responses Apply Data management practices Build report and explanatory materials to share with engineering experts Apply a strong testing and quality assurance practices Design scalable data model, including SQL and NoSQL modeling Build customizable Analytical Dashboards Serve as a Key user for Maximo (30%) Support the Planning department (5%-10%)Experience 1 to 5 years in IT and/or digital companies or software or startups  Extensive practice of data processing and software development using Java, C# 1-5 years experience in end-to-end business solutions(Power APPS) 1-5 years experience in Data Visualization software (Power BI) Experience of data modelling Experience with database management (SQL) Experience with ERP software such as Maximo or SAPCompetencies &amp; Skills Proven track record for designing stable solution, testing and debugging. Demonstrated teamwork and collaboration in a professional setting  Knowledge of Artificial Intelligence &amp; Machine Learning algorithms  Proven capabilities with worldwide teams  Fluent English Alstom is the leading company in the mobility sector, solving the most interesting challenges for tomorrow’s mobility. That’s why we value inquisitive and innovative people who are passionate about working together to reinvent mobility, making it smarter and more sustainable. Day after day, we are building an agile, inclusive and responsible culture, where a diverse group of people are offered opportunities to learn, grow and advance in their careers, with options across functions and geographic locations. Are you ready to join a truly international community of great people on a challenging journey with a tangible impact and purpose?Equal opportunity statement:Alstom is an equal opportunity employer committed to creating an inclusive working environment where all our employees are encouraged to reach their full potential, and individual differences are valued and respected. All qualified applicants are considered for employment without regard to race, colour, religion, gender, sexual orientation, gender identity, age, national origin, disability status, or any other characteristic protected by local law.Job Type: Experienced</t>
  </si>
  <si>
    <t>DATA ANALYST (ERP)Start: ImmediatelyEnd: March 31st, 2023Type: Part-time (3 days a week, 7.5-hour day)Position And TermThe Data Conversion Analyst will work with stakeholders from various business units across the TransLink Enterprise and with related suppliers to define and document Data related to the Business processes and requirements for one or more Technical &amp; Enablement-related projects, initiatives, or consultations. The Data Analyst will review User Stories to ensure that the Business Data needs are met via the Data Conversion and Data Migration work stream.The Data Analyst will also participate in, support, and/or lead key aspects of the implementation of finance, supply chain and technology solutions. This may include data analysis, identifying gaps, solution design, development, communications, testing, and delivery of training. Work product will require the use of productivity tools to capture and present project information including Excel pivot tables and charts, SharePoint Lists, Visio diagrams (swim lanes, org charts), etc.The contracted candidate may also be assigned to other full life-cycle projects as required by the Business Technology Services (BTS) Project Management Office. Project assignment will also depend on the candidate’s suitability and qualifications.Location of Work:The main location of work will be TransLink’s corporate head office at 400-287 Nelson’s Court, New Westminster, British Columbia, Canada (near Sapperton SkyTrain Station).Secondary work locations include other locations of TransLink and its operating companies in the Greater Vancouver area, as required.Travel to other work locations in the Metro Vancouver area may be required. Travel costs between locations are not reimbursable.Translink is currently working within the current COVID-19 Restrictions imposed by the Provincial Medical Health Officer.Hours Of WorkThe Contractor shall be available to work a 7.5-hour workday within TransLink’s standard business office hours of 7AM and 5PM.Note that there may be a requirement to work additional hours to ensure the project is successful. All hours are paid at normal rates. Lunch breaks are not reimbursable.Note that this is a part-time engagement at an estimated 3 days a week (on average) over the project’s duration.Start Date: ImmediatelyTerm: End date is currently March 31st, 2023, with possibility for extension, subject to funding approval and contractor performance.Project Description And BackgroundThe Data (Conversion) Analyst is primarily responsible for definition, design, development, implementation, validation and maintenance of business data conversions associated with the migration from TransLink legacy finance and asset management systems to Infor ERP FSM and EAM applications. The role is a member of Technology &amp; Enablement team, providing direct support to the migration to Infor ERP. The role is a key, hands-on contributor in the migration projects. The purpose of this project is to support data and technical readiness for the Technical &amp; Enablement project within the ERP Program. The Data Analyst will have a technical focus on translating data solution outputs into Finance and Supply Chain requirements, both at a conceptual, high-level and a detailed technical one. This is an agile project with a fast pace with evolving requirements at the implementation stage that requires quick turnarounds in solutions, procedures and toolsets.The project is currently underway, and the incumbent is expected to ramp-up and become productive quickly. The successful candidate will complement TransLink’s contingent of Staff and Contract Project Managers in the Business Technology Services Project Management Office (PMO) and will be invited to monthly PMO RoundTable (Peer Sharing) meetings. This Program consists of several concurrent projects related to the implementation of an Enterprise-wide Enterprise Asset Management, Supply Chain, and Financial System. The successful candidate will be the Data Analyst of TransLink’s Technical &amp; Enablement Project.ServicesTechnical &amp; Enablement, the Data Analyst will provide the following services to an appropriate level of detail as determined by the project manager (in consultation with stakeholders). The successful candidate will provide Data Analysis, including testing and developed packages.Specific services to be provided include (but are not limited) to the following:Provides input for the extraction of data from legacy systems.Provides input and/or data within data template for data loads.Provides data analysis and data cleansing for data load processes.Provides input and clarification for data integration processes.Provides validation and test for data integration processes.Provides input on the transformation to Infor load standardsDesign and Develop data models.Support execution of system testingSupport execution of User Acceptance Testing (UAT).Create deployment plans for BI technology deliverables.Support deployment of BI technology deliverables.Assist with end-user training of data models and reporting interfaces.Assist with Organization Change Management (OCM) activities as required.Liaises with business stakeholders and supports data analysis.Contributes to the project plan as required.Define the business problem, opportunities, risks, and primary objectives related to the project or initiative.Lead discussions with stakeholder groups to identify and analyze requirements using a variety of techniques such as interviews, document analysis, requirements workshops, surveys, use cases/scenarios, workflow analysis.Evaluate information gathered from multiple sources, reconcile conflicts, and decompose high-level information into detailed functional and technical specifications.Knowledge And ExperienceDiploma in Computer Science from a recognized institute of technology including courses in database design, programming, and systems analysis.5+ years of Data Warehouse projects.Ability to test SSIS packages in a large data warehouse environment.Ability to prepare and analyze data Excel and SQL.Knowledge and experience of Microsoft BI technologies, including SSIS and SQL Server Database.Strong data analytical and communication skills.Ability to gather, analyze and consolidate information from a variety of data sources (i.e., Documents, interviews, brainstorming sessions, etc.).Ability to work collaboratively, professionally, and effectively with the project team, stakeholders, and end users.Other Desirable Skills And Knowledge IncludeData model design and Reporting interface designDatabase performance tuningETL &amp; data warehousing development lifecycle in a SQL Server environmentData management and data qualityExperience working in a Hybrid Agile / Scrum environmentExperience working in a unionized environmentExperience with Microsoft SharePointInfor knowledge and experience is an asset.DeliverablesNormal data analysis deliverables and supporting documentation will be expected although they may be modified to suit the scope and scale of the project.These Include, But Are Not Limited To, The FollowingCreate related documentation.Input to project.Assistance with UAT Documents &amp; testing plans.Assistance with user training.Update conceptual subject area models of the current applications’ data structures.Logical (entity and attribute level) data models for the current data structures.Dataflow diagrams showing the physical flow of data in/out of current applications.Detailed description of each point of integration among applications including source/target/mappings and any transformations performed.List of master data elements.Data dictionaries and business glossaries for the data repositories included in the migration plan.Data Profile and QA for data to be migrated.Requirements Definition Documents.Job 61615</t>
  </si>
  <si>
    <t>DescriptionResolver operates as a hybrid workforce with the option to work at home, in the office, or a mix of both.Resolver is looking for a Business Intelligence Analyst who will help define, develop and deploy our company-wide data infrastructure. As an integral part of our high achieving marketing team, you will partner with senior leadership to define and build how data impacts our business.Sounds important right? We think so!About Resolver:Resolver is a high-growth SaaS company whose intuitive, no-code platform gives our customers a clear picture of their risks so they can make quick and effective decisions. As a part of the Resolver team, your work will help transform risk management to risk intelligence so organizations can protect people and assets and deliver on their purpose.We are ambitious in both our mission and our culture. As a business within Kroll, we offer an innovative, non-hierarchical work environment blended with the stability and financial security of an enterprise. Resolver has also been named one of Canada’s Great Places to Work six years in a row!So what does that really mean for you? Let the hiring manager tell you! Hi! I’m Joe.I’m the Marketing Analytics &amp; Site Optimization Lead at Resolver, leading a team within marketing responsible for our website, lead routing and data. As Resolver continues to expand, we are looking to add a Business Intelligence Analyst who will help define, develop and deploy our companywide data infrastructure.You will partner with senior leadership to define and build how data impacts our business. The future state is a data-centric culture where key stakeholders are empowered with self-service data for decision-making. You will work with teams across Resolver to create dashboards and provide data insights. You’ll have a lot of autonomy in how to go about that, so it will require being highly organized and strategic. If you this is you, we want to hear from you!Your Day-to-Day - Let's break it down!Process Design and Improvement (20%)Understand stakeholder requirements and anticipate future needs as it relates to data and data management;Design, build and optimize all parts of the data warehouse infrastructure to support analysis of key data (requirements gathering, ETL, data modelling, metric design, reporting, etc.) in conjunction developers as needed;Detect data quality issues and their root causes; implement fixes and design data audits to capture the issues in the future;Explore new data sources that can provide useful insights and inform company-wide strategy; andCollaborate with key stakeholders on necessary division-level reports across services, product, sales, marketing and division leads.Data Analysis (40%)Serve as ad-hoc reporting agent for all divisions at Resolver, adjusting monthly reports with updated data sources and resolving issues with current reporting as requiredProvide new reporting, dashboards and other visualization to the business that will support growthProactively identify trends and business insights that improve results against core corporate KPIs: ARR, win-rate, back-to-base revenueGenerate hypotheses on cross-functional data and run experiments to test efficacyData Management (30%)Write and maintain documentation to support our goal of being a data-centric culture; own data integrityDocument all potential data sources at Resolver; prioritize the data sources that will make the biggest impact on business results and bring them together into one view for ease of management reporting in TableauSet out standards for key metrics to avoid inconsistency in reporting across dashboards and teamsLeverage key business objectives and metrics when setting up reporting, with aim of enabling teams to deliver and exceed on Division-level and corporate-level objectivesStrategy (10%)Leverage data to make short- and long-term decisions to optimize performanceRegularly report to the executive team on the business impact of the BI infrastructure and BI-related projectContinuously advance our data culture by researching the market and recommending industry best-practices People Who Excel (Your Background):3–5+ years experience in software or technology, with specific focus on industries that have enterprise/corporate buyers2+ years of data modelling and data analysisExperience with common BI tools (e.g. Tableau, Power BI, Looker, Domo) and data sources (e.g. Salesforce, Google Analytics, Google Ads). Extra bonus points if you love visualizationExperience in data modelling, designing ETL processesYou love data, full stop. But this is next level, you’re able articulate the power of data to executives and all Resolverites as a highly effective communicator.You are a problem-solver who will put on your scuba-gear, dive into the data lake, and navigate through murky waters.Background in analytics, mathematics or another quantitative field is a plusExperience with Python, R and/or Snowflake is a plus What we’ll give you in return:Resolver is one of Canada's Great Workplaces. Culture isn't just something we write about (although we do), we live our values and challenge each other to be our best selves. We invest in Resolverites who will grow with us. Here’s how we do it:Health and Wellness Benefits: 100% paid by us for health and dental from day one. And our vision care is every 12 months! We also offer a wellness/fitness reimbursement, that can go towards things like gym memberships, yoga classes, soccer membership fees or a bike.Professional development: we have an external learning budget to help you grow and develop. We host a learning workshop about every 6 weeks on topics like Time Management, Self-Awareness and Giving Feedback; we also have e-learning to meet the needs of our remote team. We offer a Career Development Program to help you identify and build your skillsets for internal growth opportunities and beyond. We also have a Coaching Program for all our managers. We know how important it is to have a good boss, so we invest in their development.Vacation: it's open, which means we don't worry about an accrual clock. On average, we see most folks enjoying between 3-4 weeks off a year.Parental leave: Best-in-class top-up for new parents - 100% for 15 weeks new parents and 5 additional weeks of pregnancy leave for birth mothers.Flexibility &amp; trust – While we are remote for now, we enable our team to create a work environment that will set them up for success. We hire adults and we trust you to manage your outcomes. Day-to-day, everyone is given the option to decide whether they want to work remote or in-office depending on the needs of their role.Back in the Office – If you choose to come into the office once we’re back, you will have access to snacks and beverages and in-office games like Switch, chess and ping-pong. We will be offering up lots of opportunity for team socials too, including the folks who are remote!Interested?If you want to work in a highly collaborative environment and are committed to making a difference, click here to get the process rolling.We truly appreciate all interest and will happily reply to qualified candidates.Resolver is committed to providing accommodations for all persons with disabilities. If at any point in the recruitment process you require accommodation, please notify the applicable recruiter or contact us directly at [email protected]</t>
  </si>
  <si>
    <t>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t>
  </si>
  <si>
    <t>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t>
  </si>
  <si>
    <t>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t>
  </si>
  <si>
    <t>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t>
  </si>
  <si>
    <t>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t>
  </si>
  <si>
    <t>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t>
  </si>
  <si>
    <t>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t>
  </si>
  <si>
    <t>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t>
  </si>
  <si>
    <t>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t>
  </si>
  <si>
    <t>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t>
  </si>
  <si>
    <t>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t>
  </si>
  <si>
    <t>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t>
  </si>
  <si>
    <t>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t>
  </si>
  <si>
    <t>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t>
  </si>
  <si>
    <t>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t>
  </si>
  <si>
    <t>Crossover is the world's #1 source of full-time remote jobs. Our clients offer top-tier pay for top-tier talent. We're recruiting this role for our client, Trilogy. Have you got what it takes?Are you looking for an entry-level role in the software industry that will give you the skills and exposure to move into any speciality later? We’re looking for curious individuals who love searching for meaningful answers.In this role, you’ll be given a business problem and will scour the internet for possible solutions. The problems will come from every area of our business: operations, finance, hiring, engineering, and more - giving you broad exposure.Not only will you gain knowledge, you’ll receive regular coaching and training from a team of global tech experts and operations professionals.Jumpstart your career with us today!What You Will Be DoingResearch a variety of high-priority topics that are critical to the businessEvaluate results against provided evaluation criteriaWhat You Won’t Be DoingResearching the same topics repeatedlyWorking on loosely-scoped research with desired outputs not clearly definedGetting lost chasing tangentially-related solutions; our systems and processes will help you focus your research and optimize your timeData Analyst Key ResponsibilitiesProvide high-quality research data to support company-wide business decisionsBasic RequirementsExcellent written and verbal communication skillsBasic financial analysis skillsAbility to work in the US timezoneAbout TrilogyHundreds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LJ-4718-CA-Toronto-DataAnalyst.015</t>
  </si>
  <si>
    <t>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t>
  </si>
  <si>
    <t>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t>
  </si>
  <si>
    <t>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t>
  </si>
  <si>
    <t>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t>
  </si>
  <si>
    <t>Crossover is the world's #1 source of full-time remote jobs. Our clients offer top-tier pay for top-tier talent. We're recruiting this role for our client, Trilogy. Have you got what it takes?Are you looking for an entry-level role in the software industry that will give you the skills and exposure to move into any speciality later? We’re looking for curious individuals who love searching for meaningful answers.In this role, you’ll be given a business problem and will scour the internet for possible solutions. The problems will come from every area of our business: operations, finance, hiring, engineering, and more - giving you broad exposure.Not only will you gain knowledge, you’ll receive regular coaching and training from a team of global tech experts and operations professionals.Jumpstart your career with us today!What You Will Be DoingResearch a variety of high-priority topics that are critical to the businessEvaluate results against provided evaluation criteriaWhat You Won’t Be DoingResearching the same topics repeatedlyWorking on loosely-scoped research with desired outputs not clearly definedGetting lost chasing tangentially-related solutions; our systems and processes will help you focus your research and optimize your timeData Research Analyst Key ResponsibilitiesProvide high-quality research data to support company-wide business decisionsBasic RequirementsExcellent written and verbal communication skillsBasic financial analysis skillsAbility to work in the US timezoneAbout TrilogyHundreds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LJ-4718-CA-Ontario-DataResearchAn.005</t>
  </si>
  <si>
    <t>Must-haves 5+ years of experience working in a prior analytical role, demonstrating expertise producing high-quality results, building analysis delivery plans with clear deliverables  Bachelor's degree in Statistics, Economics, Data Science, Mathematics or a related field  Previous work experience in the gaming, entertainment, ecommerce, or VFX industry  Excellent SQL skills querying complex data sets  Data visualization experience with either Tableau or Looker  Familiarity with at least one scripting language, ideally Python or R  Experience in practical applications of statistical modelling (e.g., multivariate regression, predictive modelling, clustering)  Strong business and technical acumen  Plusses Previously worked at a gaming company  Day-to-Day Insight Global is looking for a Senior Data Analyst to join a large employer remotely in Canada. This employee will be expected to join a large analytics team that supports other LOBs within the company. This person will come from a gaming or digital products background, with the ability to find relevant insights from massive volumes of data. This person should have leadership qualities and be able to lead by example to maximize the team's impact. As this is a collaborative position, there will be an expectation that this individual will build partnerships with other Producers, Software Engineers, Designers, and Marketers. The successful candidate will be the ideal liaison between data and the business through the creation of analysis, dashboards, illustrating the ongoing story told by the company's data.</t>
  </si>
  <si>
    <t>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t>
  </si>
  <si>
    <t>Capgemini’s financial services specialists provide a complete range of technology services to help our clients capture sustainable business results. Our Financial Services Strategic Business Unit (FS SBU) is a global organization that focuses on key financial services domains: banking, capital markets, insurance, cards &amp; payments, wealth and asset management, and risk management &amp; compliance.Job Title:- Data Engineer/ Big data EngineerLocation: Toronto, CanadaEmployee Type: Full Time with BenefitsJob Description· At least 5 years of experience in data engineering big data, Python, spark, AWS analytics and operations concepts · SQL, ETL, performance tuning, job scheduling continuous deployment and operations support· 3 Years pf experience in Tableau · 2 years of experience in Pyspark · Knowledge on programming languages such as Python Spark version control tools like GitHub· Preferred experience with Cloud technologies such as AWS Snowflake· Preferred experience in PL SQL and use of databases such as Oracle and SQL Server · Experience with end to end Data Warehousing architecture and concepts and ETL best practices · Delivery experience including full lifecycle from conception to successful implementation· Experience with Insurance domain Nice to haveDisclaimerCapgemini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t>
  </si>
  <si>
    <t>Who We AreRecollective is the world’s leading online qualitative research platform. Over the past decade we’ve worked with some of the largest and most ambitious organizations to help them engage communities to better understand stakeholder behaviours and gain valuable and actionable customer insights.With an award-winning suite of powerful research functionalities supported by highly skilled in-house research and service professionals, Recollective makes it easy for our customers to conduct their online research. Whether as a fully customizable DIY solution or implemented with the support of our growing network of global service partners, Recollective is in use at thousands of organizations around the world.As a fast growing tech company located in Ottawa, Canada, we have very ambitious goals and we’re not slowing down. We like to dream big, get things done and have fun while doing it. Interested? Apply today!Scope of the RoleThe Senior Data Analyst is responsible for leading, developing, managing and executing critical analytics, reporting and data visualization needed for reporting and processes. The incumbent will help develop analytics, views/queries and models to provide business stakeholders and senior leadership the information and actionable intelligence they need to make informed business decisions. Proactive identification of opportunities to enhance reports and identify business profitability improvement opportunities is also a key focus of this position.The ideal candidate will be a seasoned, well-organized, skilled analyst who is experienced in dealing with many disparate systems, data sets, tools, processes and responsibilities. You will be successful if you are a self-starter who can manage work priorities and schedules independently.ResponsibilitiesAnalyze results and trends in order to assist in making appropriate recommendations and present results / findings to stakeholdersResponsible for the development and insights of weekly, monthly, quarterly &amp; annual digital reportingCollect performance data from internal and external data sourcesManage timeline for all digital reportingProvide planning teams with key research and insights that help steer quality digital strategiesActively engage with industry partners to build relationships and grow understanding of Recollective’s present and future vision from a analytics and measurement perspectiveHelp to build key presentationsWork to evolve digital measurement process for both client and companyExperience and QualificationsUniversity degree in Finance, Economics, MIS, Information Systems, Mathematics or related discipline field of study required2+ years of relevant work experienceExperience with data visualization software (Tableau, Datorama, etc.)Strong attention to detailExcellent analytical and problem solving skillsAbility to clean and dive into messy data to find insightsIntermediate to advanced experience with relational databases (i.e. SQL, mySQL)Experience with open source programming languages (R, Python) is an assetExperience with web analytics software (Google Analytics, Omniture, etc.) is an assetLocationThis position is open to all applicants located in Canada, although preference will be given to those willing to work within the Eastern Time Zone.We offer fully flexible work arrangements to all our employees - fully remote, hybrid, or in-office, with no pressure to do either.Take a 3D tour of our beautiful, new head office in downtown Ottawa (World Exchange Plaza).________________________________________________________________________What We Can Offer You! When you join Recollective, you become part of a friendly, welcoming culture that we are particularly proud of. Choose to build your career with us at Recollective and here’s what you can expect…We communicate constantly, openly and honestly; our CEO hosts company-wide meetings twice per week and candidly shares important business updatesWe do what’s right for our customers and then some so they come back and bring friendsWe have fun doing serious workWe seek new ways to grow the company and each otherWe embrace flexibility, fairness and equalityWe learn and get better from every experienceCompetitive compensationSuperior health benefits (Health, dental, vision etc.)RRSP matching and much more..________________________________________________________________________Recollective is an equal opportunity employer and welcomes applications from all qualified individuals including women, Indigenous peoples, people with disabilities and racialized people, people from gender and sexually diverse communities.We want to be sure that everyone is able to participate fully and equally in our selection process. If you are selected for an interview, please let us know if you require any special accommodation.We would like to thank all applicants for their interest in our company, however, only those candidates selected for an interview will be contacted by our Talent Acquisition team.</t>
  </si>
  <si>
    <t>Crossover is the world's #1 source of full-time remote jobs. Our clients offer top-tier pay for top-tier talent. We're recruiting this role for our client, Totogi. Have you got what it takes?Here’s some advice: If you’re in the early stages of your career, don’t join a company that is hesitant to update its technology from the 90s and adapt to new trends. Five years from now, your skill set will be dead in the water and your resume will be a non-starter.In the telecommunications industry, Totogi is the main adversary to such companies. Totogi is disrupting this multibillion-dollar industry by introducing the world’s most advanced customer management system, which allows our enterprise customers to scale at an unprecedented pace. We’re looking for telecommunications technicians to help us deliver this service to our customers.Unlike in most companies, you won’t just sit around all day pulling tickets and wondering whether you’re doing them correctly. Instead, we’re actively invested in your growth and development, providing dedicated coaches who will help you build your skill set and launch your career.If you have technical telecommunications experience and want to hitch your career to a rocket, join Totogi’s technical delivery team!What You Will Be DoingActivating New Customers’ Services: Platform configuration for standard engagements or coding for customized engagementsContinual Learning: Totogi’s constant innovation gives you the opportunity to learn new technologies and platforms on a regular basisWhat You Won’t Be DoingFixing outages or providing technical support for existing customersInterfacing directly with customersBasic RequirementsData Engineer key responsibilitiesBasic coding ability (in any language) and experience using MySQLProficiency in at least 3 of the following technologies: Gitlab, Jenkins, Chaos Monkey, Kubernetes, Grafana, Redis, Hazelcast, Kiali, Active MQ, Artemis, Kafka, Bootstrap, EJB, jBPM, Hibernate, Oracle, PostgreSQL, JQuery, FTL, Struts, Core Java, Hibernate, Spring Boot, Apache Tomcat, JSP, Spring MVC, Angular, Drools, PHP, NodeJS, Yarn, Airflow, Hive, Scala, HadoopAbout TotogiTotogi is focused on building telco software for the public cloud and is completely redefining how carriers engage with their subscribers to drive customer love! We are a product-driven telco software company made up of some of the best minds from the telecoms industry and the brightest engineering talent across the globe. Change the game with us.There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LJ-4659-CA-Toronto-DataEngineer.012</t>
  </si>
  <si>
    <t>Company DescriptionJitterbit is a market-leading Enterprise Integration Platform as a Service (eiPaaS) &amp; API Management (API-M) solution provider, headquartered in Alameda, CA - recognized by Gartner as a Leader in the Magic Quadrant for the 5 out of the last 6 years!Jitterbit helps businesses make faster, more effective decisions by enabling them to unify and exploit data from all sources.Using the Jitterbit API integration platform companies can rapidly connect cloud and on-premises applications and instantly infuse artificial intelligence into any business process. Our intuitive API creation technology enables companies to reuse business-critical applications and data to bring new offerings to market in days, not months.Jitterbit has recently moved into the fast growing low-code application platform market with the launch of App Builder - a low-code application development tool that helps organisations rapidly build, deploy and maintain web and mobile- based applications. It extends development of business applications beyond the traditional IT department and into the hands of business technologists.As an extension of the capabilities within Jitterbit Harmony, App Builder is designed to provide easy-to-use drag-and- drop visual application tools to users with little to no coding. With a built-in connector, APIs exposed using Harmony can be used to move data from the application to backend systems. This means data can flow continuously between App Builder and an organization’s APIs exposed within Harmony.In this role, you are responsible for generating new and expansion business with mid-market and enterprise companies across all verticals.Job DescriptionBeing a Technical Support Analyst means you’re a hero during times of triumph and crisis. A job like this can truly be impactful and rewarding. In this position, you’ll be human-centered, ready for high-quality customer experiences, and you’ll find a way to help the customer with speed and quality.In this position, you are responsible for fixing application and system problems and incidents that are disrupting the application service that business users depend on.You will ensure customer service through your customer support skills, business, and technical knowledge to triage, diagnose, troubleshoot, and escalate or resolve customer application issues.You will be involved in providing service to clients in handling technical inquiries, proactively managing all application support issues, and help maintain the stability of the products.Specific duties you are measured against: Multi-task with 3-5 cases at once over email, phone and possibly live chatEnsure a super quick and cheerful response time (same day ticket review) Act as a partner and friend to the customerDocument your learnings and work with the Support Squad andDevelopment to help elevate eBridge as we learn and grow ID opportunities for our clients to grow and offer needs-based solutions(not pushy sales)Own itBe energeticDon’t ever leave a customer hangingGet the case solved and high-five everyone around you!QualificationsShould have experience in a software company, or software educational background. Flexible with work hours. This will include shift work and may include weekends. Not afraid to advocate for a customer to the eBridge/Jitterbit team. Proven track record of being incredibly resourceful and finding solutions even when there is no clear path. Proficient with technology. Cheerful, energetic communication skills. Willingness to learn and bring your own flairShould have either application support experience or a “Level 1 &amp; 2” technical support background. Additional InformationWhat You’ll Get:Work for a growing leader within the Integration Platform as a Service (iPaaS) tech spaceJoin a mission-driven company that is transforming the industry by changing the way customers use API creation within business-critical processes. Career development and mentorshipA flexible, remote-friendly company with personality and heart</t>
  </si>
  <si>
    <t>Job Title: Data Analyst with Guidewire Experience (Remote | US | Canada)Location: Remote | US | CanadaDuration: Full Time | ContractJob DescriptionMandatory Data Analyst experience of working in a Guidewire environment.Data Analyst with 10 years of professional experience in business system analysis, business Data analysis, business requirements, in Data warehousing and in IT business. Domain knowledge of insurance industry with very challenging work environment. Broad experience in P&amp;C Insurance including Auto, Property, Business owners, General Liability, Marine, Life insurance/Annuities and Claims.Impeccable knowledge i in Guidewire policy admin system and Claims system, Data hub and Info center.Strong experience in Software Development Life Cycle (SDLC) methodologies such as Agile-Scrum and Waterfall. Expertise in Data Mapping, ETL, Data Quality Management, Data Analysis, Requirement Analysis, Business Modeling, Data Migration, Data profiling, Dimensional Modeling, Entity Relationship Diagrams ERD, Data modelling, SQL and reporting process.Skilled in preparing Integration system requirement Documents, Use Cases, Functional and Technical Specification Documents, Requirement Traceability, Traceability matrices, Test plans and Scripts. Skillful GAP analysis.Widespread experience with data warehousing, extraction, transformation and loading ETL and business intelligence BI tools.Expert in using JIRA for bug tracking, issue tracking, and project management.Defining Test Cases, analyzing bugs, interaction with team members in fixing errors, User Acceptance Testing (UAT), Client Acceptance Testing (CAT) and knowledge of QTP and Quality Center. A customer oriented, multitask professional with excellent analytical and logical skills possesses rich experience as Business System Analyst.Excellent Team Building and Problem-Solving skills in conjunction with strong Technology and Engineering background Ability to manage (Multiple) projects with changing priorities and tight deadlines. Excellent communication and presentation skills along with strong interpersonal &amp; analytical skills.Alybyte Inc. is an independent firm providing business and technical service to the United States and Canada customers. We specialize in the design, procurement and delivery of digital services and associated business change activities.Our technical services focus on ensuring that our customers make best use of emerging information and communications technologies in achieving their business objectives. We combine our strong technical expertise with an excellent understanding of process transformation to harness technology to create solutions that deliver substantial business benefits to our clients.Our business services combine knowledge of best practice in transformational and process change with 'real world' experience of project delivery to manage and deliver the practical outcomes required to ensure benefits realization.</t>
  </si>
  <si>
    <t>Career Growth, Flexibility and Collaboration!Entrust is dedicated to securing a world in motion by enabling trusted identities, payments, and data protection around the globe. Headquartered in Minnesota, we offer our colleagues the ability to work globally, in a flexible and collaborative environment. Our team makes an impact!!The Company: Entrust relies on curious, dedicated and innovative individuals whom anticipate the future and provide solutions for a more connected, mobile and secure world. Entrust’s technologies and expertise help government agencies, enterprises and financial institutions in more than 150 countries serve and safeguard citizens, employees and consumers.We Believe: Securing identities is most effective when we value all identities. We are committed to ensuring that, through diversity and inclusion, the many voices that make up our communities are heard. From unconscious bias training for managers to global affinity groups that create connections both within and across our enterprise, Entrust expects and encourages all individuals to accept and respect one another. And, of course, to be themselves.This position consists of functional, technical, and support related tasks that will play an integral role in the success of digital enablement throughout Entrust. The Business Systems Analyst will report to the VP of Digital Transformation within the Entrust Office of the CTO. The Business Systems Analyst will be the subject matter expert on specific Entrust platforms, process and configuration best practices and trends in the economy.ResponsibilitiesDeliveryKey Actions/Activities Leads new features enablement initiatives for the Entrust subscriptions platformGathers business and technical requirements for new subscriptions platform featuresDefines, documents, and implements system configuration changes within the Salesforce and other applicationsCreates and modifies application Workflows and document templatesProvides functional and technical expertise on integrating Salesforce with related applications, including knowledge of REST APIsPerforms QA testing, creates knowledge base articles, trains users and coordinates user acceptance testing on changes to the platformCoordinates platform changes with related business application and functional teamsTroubleshoots and resolves platform production support issuesPerforms Salesforce, Financial force and other system administration tasksEvaluates product releases and planned patchesCoordinates platform planned &amp; unplanned outagesBasic QualificationsB.S. Degree in Computer Science, Information Systems, Accounting or related business area2+ years of experience supporting CRMs and marketplace applications and business processesStrong desire and ability to learn new technical skills required to perform minor application development tasks and support related system integrationsAbility to think outside-of-the-box to solve challenging problems and drive continuous improvementAbility to juggle competing demands and priorities while maintaining strong attention to detailMust be able to lawfully work within the US and have unrestricted work authorization for US Preferred QualificationsExperience with Marketplace (AWS, Azure, Google) listings and managementExperience with Zuora, Salesforce CPQ, Financial Force, Oracle EBS, or other Quote to Cash business applicationsExperience with Agile development and Scrum processesTechnical experience with HTML or template/markdown languageExperience with calling REST APIs using Postman or similar API clientAbout EntrustEntrust keeps the world moving safely by enabling trusted identities, payments and data protection around the globe. Today more than ever, people demand seamless, secure experiences, whether they’re crossing borders, making a purchase, or accessing corporate networks. With our unmatched breadth of digital security and credential issuance solutions, it’s no wonder the world’s most entrusted organizations trust us.For more information, visit www.entrust.com. Follow us on, LinkedIn, Facebook, Instagram, and YouTubeEntrust Corporation is an EOE/AA/Veteran/People with Disabilities employer.Vaccination for Covid-19 is currently a condition of employment for field service roles in the U.S. and designated workers in Canada, subject to accommodation for qualifying reasons (i.e., medical, religious, etc.) under applicable law. If you would like more information about accommodations, contact accommodations@entrust.com.For US roles, or where applicable: Entrust is an Equal Opportunity, Affirmative Action, Veteran, and People with Disabilities employer.RecruiterSteve DonahueSteve.Donahue@entrust.com</t>
  </si>
  <si>
    <t>TELUS International AI-Data Solutions partners with a diverse and vibrant community to help our customers enhance their AI and machine learning models. The work of our AI Community contributes to improving technology and the digital experiences of many people around the world. Our AI Community works in our proprietary AI training platform handling all data types (text, images, audio, video and geo) across 500+ languages and dialects. We offer flexible work-from-home opportunities for people with passion for languages. The jobs are part-time, and there is no fixed schedule. Whoever you are, wherever you come from, come join our global AI community. www.telusinternational.comWe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task.RequirementsFull Professional Proficiency in English You must be living in the Canada the last 2 consecutive yearsAbility to follow guidelines and do research online using search engines, online maps and website informationYou must have familiarity with current and historical business, media, sport, news, social media and cultural affairs in CanadaBeing open to work across a diverse set of Task Types (e.g. Maps, News, Audio tasks, Relevance)Applicants must be 18 years or over. ID verification must be attached when submitting your application.Working on this project will require you to go through a standard recruitment process (including passing an open book assessment). This is a long-term project and your work will occasionally be subject to quality assurance checks.Why Join the TELUS International AI Community?Earn extra incomeAccess to our community wellbeing initiativeRemote work &amp; Location IndependenceBe your own bossFlexible Hours to fit in with your lifestyleBe a part of an online community</t>
  </si>
  <si>
    <t>TRADE X is looking for a BI Reporting Analyst who is ready to take this unique opportunity to join a top-tier, cutting-edge global company and play a key role in executing our strategic vision.Whom WE ARE LOOKING FOR (not exhaustive):Working with key business users to understand current business problems and identify reporting opportunities.Document Business Intelligence requirements for different business needs.Document business rules and validate data mappings.Perform impact analysis.Support related teams in the investigation and design of business solutions.Collaborate in the selection of the best solutions.Present and validate with the business partners the alternative(s) of the proposed solution(s).Must understand different operational systems: systems functioning (engineering concept), what they contain (understanding available data, investigating data, etc).Must show strong adaptability to discuss expertise, training, and hierarchy with different stakeholders.Handle support requests related to reporting by providing sound, innovative, and practicable solutions.Work closely with Data teams to understand data models, availability, and integrity.Analyze required data sources and the health of data as it pertains to a reporting solution.Communicate business needs to the teams responsible for development so they can design and propose solutions.Providing timely status updates on all work requests and issues/concerns.Work autonomously and accountable for acting as a lead within a specialized business management function.Own &amp; manage a reporting tool.WHAT WE ARE LOOKING FOR:At least 2-3 years of relevant experience in Business Intelligence projects/Reporting &amp; dashboard building.Excellent communication.Know how to manage time and multiple projects simultaneously.Demonstrate highly developed analytical skills.Be rigorous and quality conscious.Work efficiently in a team setting.Expert with SQL, Excel, and visualization software (Tableau/Toucan etc).Knowledge in data extraction and manipulation (Cloud Data/Redshift/Neptune).Experience presenting ideas, products, concept papers to varied audiences.Experience coaching business stakeholders navigating on BI dashboards.Experience in the Automotive industry would be an asset.WHAT WE WILL OFFER:Competitive salary and benefits with a focus of a work/life balance.Challenging Work - We never stop innovating as our work is never done. That is because across our Teams and in all roles, every employee is empowered to bring their best ideas forward and to jump in and solve the problems they are passionate about.Great People - Every person is valued here and plays an important role in our shared successGlobal Impact - As a Global Team spanning continents, boundaries, and cultures, every day we are inspired by the impact our work has on our colleagues, our customers, our communities, and the world at large.Diversity, Equity and Inclusion - Diversity, equity and inclusion are more than words to us. They are the guiding principles for building a culture where we celebrate each others’ differences, continuously strive for equality and recognize that inclusion makes us stronger as individuals, a company and a global citizen.Rewarding work in a fast-paced, creative environment with colleagues who are passionate about the Automotive Industry.Chance to grow within the Organization.TRADE X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We are committed to fostering an inclusive and accessible environment, where all employees feel valued, respected, and supported.Candidates whose backgrounds most closely match the requested skills and desired attributes as outlined in this announcement will be invited to interview. We thank you for considering TRADE X.JOB DETAILSEmploymentFull-timeJob FunctionBI Reporting AnalystIndustryAutomotive Export TradeJob ID20221031</t>
  </si>
  <si>
    <t>Relevant du Chef d’équipe, Intelligence d’affaires, vous participeriez à la mise en place et la gestion de contrôles de sécurité, en suivant les bonnes pratiques telles que NIST ou ISO 27K. Dans un but de maintenir à un bas niveau tous les risques auxquels l’entreprise fait face, tous les domaines autour de la sécurité et de conformité pourraient être abordés.RESPONSABILITÉSEntretenir de bonnes relations avec nos clients internes en adoptant une posture conseil;Concevoir et mettre en place des solutions d’analyse de données et de production de rapports à l’échelle de l’entreprise;Procéder à l’examen et à l’analyse de données provenant de multiples sources internes et externes;Examiner et valider des données;Collaborer étroitement avec l’équipe d’intégration de Système et les équipes opérationnelles pour l’analyse et développement des solutions d’intégration à des fins analytiques;Réaliser et maintenir des rapports et tableaux de bord dans Power BI à travers des visualisations impactantes, un modèle de données pertinent et une automatisation robuste;EXIGENCESExpérience minimale de 5 ans dans un poste similaire;Détenir un diplôme d’études supérieur dans un domaine pertinent (Intelligence d’affaires, Commerce électronique, Marketing, etc.);Maîtrise d’au moins un langage de programmation associé à l’analyse de données ainsi que le langage SQL. Expérience avec SSIS et/ou SSAS est un atout;Maîtrise de PowerBI: Conception visuelle, DAX et PowerQuery/M maîtrise d’un outil équivalent (Tableau, Qlik) est un atoutBilingue (Français et Anglais)Aptitude à adopter une posture de conseiller et de propositions vis-à-vis de ses clients internes;Aptitude à travailler en équipe;À PROPOS DU GROUPE TELECONFondée en 1967, Telecon est le plus grand fournisseur de services en infrastructure de réseaux de télécommunications au Canada. La société s’appuie sur sa présence nationale, ses milliers de professionnels qualifiés, ses relations clients et ses plus de 50 ans d’existence pour offrir des solutions de conception, de localisation, d’infrastructure et de connectivité de pointe aux entreprises de télécommunications et entreprises clientes à l’échelle du pays. Selon la région et le type de travaux à effectuer, Telecon s’affiche sous l’une ou l’autre de ces marques: Telecon, Telecon Design, AGIR Consultants, Promark-Telecon, Expercom, Chemco-Telecon Infrastructure, Telecon Entreprises, Marcomm, Plexus, Unified Systems Group, SC360, Questzones et TRJ Telecom. Pour plus de renseignements sur Telecon, visitez telecon.com .Nous vous remercions de votre intérêt mais nous communiquerons seulement avec les candidats sélectionnés pour une entrevues. L’usage du masculin a pour unique but d’alléger le texte. Reporting to the Team Lead, Business Intelligence, you would participate in the implementation and management of security controls, following best practices such as NIST or ISO 27K. In an effort to keep all risks facing the company low, all areas around security and compliance could be addressed.RESPONSIBILITIESMaintain good relations with our internal clients by adopting an advisory stance; Design and implement enterprise-wide data analytics and reporting solutions; Review and analyze data from multiple internal and external sources; Review and validate data; Work closely with the System Integration team and operational teams for the analysis and development of integration solutions for analytical purposes; Realize and maintain reports and dashboards in Power BI through impactful visualizations, a relevant data model and robust automation;REQUIREMENTSMinimum experience of 5 years in a similar position; Hold a graduate degree in a relevant field (Business Intelligence, E-Commerce, Marketing, etc.); Proficiency in at least one programming language associated with data analysis as well as SQL. Experience with SSIS and/or SSAS is an asset; Mastery of PowerBI: Visual design, DAX and PowerQuery/M mastery of an equivalent tool (Tableau, Qlik) is an asset Bilingual (French and English) Ability to adopt an advisory posture and proposals vis-à-vis its internal clients; Ability to work in a team;ABOUT TELECON GROUPFounded in 1967, Telecon is Canada’s leading telecommunication network infrastructure services provider. The company leverages its national presence, thousands of skilled professionals, client relationships and more than 50-year history to offer industry-leading design, locate, infrastructure and connectivity solutions to telecommunication companies and corporate clients nationwide. Depending on the region and the type of work to be performed, Telecon operates under one of the following brands: Telecon, Telecon Design, AGIR Consultants, Promark-Telecon, Expercom, Chemco-Telecon Infrastructure, Telecon Entreprises, Marcomm, Plexus, Unified Systems Group, SC360, Questzones and TRJ Telecom. For more information on Telecon, visit telecon.comWe thank all applicants for their interest, however only those candidates selected for interviews will be contacted.#LI-hybrid</t>
  </si>
  <si>
    <t>At Jungle Scout, we are on a mission to empower entrepreneurs and brands to grow successful e-commerce businesses, and we provide the industry-leading data, powerful tools, and resources they need.Do you want to work with one of the biggest eCommerce datasets in the world?Do you get excited about extracting insights from TBs of data?Do you want to help build some of the most sophisticated data-driven products in the eCommerce industry?Are you passionate about building tools that have an immediate impact on your customers?Amazing, then you’re the type of person we’re looking for!The roleWe are looking to add a Senior Analytics Engineer to our fast-paced and customer-oriented R&amp;D team. The Senior Analytics Engineer will build reporting systems and perform analysis to support the Enterprise group in identifying opportunities to improve our customer-facing data products and measure the impact of those initiatives.Location: We’re a remote-first company and looking to hire this person anywhere between the PST - EST timezone.Interested in learning more? Let’s get into the details:In the Senior Analytics Engineer role, you will:Design, create and own dashboards and reports to clearly convey progress of our most important goalsCollaborate with Product, Data Science, and Data Engineering teams to identify, define, and track key metrics used for monitoring and measuring the success of our data productsIdentify the data needed for key metrics and work with engineering teams to instrument our systems to ensure availability of dataPerform deep analysis to understand trends and opportunities in our data products and recommend actions to improve themWork with data from a variety of sources to perform analysis and build dimensional models for business processesMaintain data documentation &amp; definitionsWho you are: Strong SQL skillsStrong Python skillsExperience in ETL design, data modeling, implementation, and maintenanceExperience extracting data from various systems (e.g. relational databases, API endpoints, data lakes, data warehouses) and tying this to business meaningAbility to perform basic statistical analysis to inform business decisionsProven ability to succeed in both collaborative and independent work environmentsHigh degree of ownership in ambiguous analytical tasksStrong communication skills, both written and verbalExperience working with Data Science teamsExperience with AWS, Azure, GCP, etc. Working at Jungle Scout:The BEST team. Remote-first culture.International Meetups.Access to Jungle Scout tools &amp; experts.Performance Bonus. Flexible Vacation. Comprehensive Health Benefits &amp; Retirement Program. About Jungle ScoutJungle Scout is the leading all-in-one platform for selling on Amazon, supporting more than $40 billion in annual Amazon revenue. Founded in 2015 as the first Amazon product research tool, Jungle Scout today features a full suite of best-in-class business management solutions and powerful market intelligence resources to help entrepreneurs and brands manage their e-commerce businesses. Jungle Scout is headquartered in Austin, Texas and supports 10 global Amazon marketplaces.The Jungle Scout team is a group of smart, motivated, and fun-loving professionals working hard to help our customers achieve success. We have a remote-first culture with employees across the world as well as in our hub offices in Austin, TX; Vancouver, BC; and Shenzhen, China. We believe team members should have the opportunity to choose the work environment that works best for them, so we give our team members the option of working from home, at one of our hub offices, or from a co-working space.We offer workplace flexibility, competitive compensation packages, 401K/RRSP matching, generous vacation, and professional development to help you thrive in your career. The entire Jungle Scout team also gathers for annual all-expenses-paid retreats — past locations have included Bali, Bangkok, Vietnam, Budapest, Mexico, Colombia, and Costa Rica. Check us out!We prioritize Diversity, Equity, and Inclusion At Jungle Scout, we hire great people from a wide variety of backgrounds, not just because it’s the right thing to do, but because it makes our company stronger.Jungle Scout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status.All offers of employment at Jungle Scout are contingent upon clear results of a comprehensive background check. Background checks will be conducted on all final candidates prior to start date.</t>
  </si>
  <si>
    <t>Company DescriptionBecome a part of AIM’s growing success. American Iron &amp; Metal (AIM) is a recognized global leader in the metal recycling industry, with more than 125 site locations and 3500 employees worldwide. We have continued to prosper for the last eight decades (we just celebrated our 86th birthday!) thanks to the dedication of our employees and the ongoing trust and support of our customers.Become part of team AIM, a growing team who has over the years, successfully evolved into a multifaceted company with business divisions that include metal recycling (AIM Recycling), construction waste recycling (AIM Eco-Centre), manufacturing of solder assemblies (AIM Solder), demolition and decommissioning (AIM Delsan) and auto-recycling (Kenny U-Pull). We take pride in doing good things for the environment to help create a greener, more sustainable future for all.It’s simple; we do it right. We AIM for excellence.What we offer! Competitive salary + other perks Group insurance &amp; RRSP program Company-wide events throughout the year (BBQ, Holiday party etc.) Free gym on site Two cafeterias on site (subsidized meal program available) Dynamic &amp; rewarding work environment- work on high-impact, meaningful projects while also having fun! Job DescriptionParticipate in the preparation of consolidated results including compliance reports on a monthly and quarterly basis.Build and maintain reports and models in various reporting tools.Support building process documentation of key processes in financial reporting and provide automation solutions.Evaluates existing business processes to assess current efficiency, efficacy and/or internal controls. Participate in ongoing reviews of existing business processes, development of optimization strategies and related business cases, considering costs, savings, issues, risks, and benefits of proposed solutions.Support the implementation and management of Enterprise Performance Management tool (EPM).Performs Data analysis using Excel, SQL Server and Power BI tools.Build scalable, reusable, and interactive Power BI dashboards, leveraging best practices and DAX.Involved in the annual external audit process and preparation of external financial statements.Verify consolidated results for compliance with credit facility financial covenants and baskets.Handling of various ad hoc tasks including requests from various corporate departments.QualificationsLet talk about you !You have a bachelor’s degree in accounting or finance.You have a minimum of three (3) years relevant experience in Data analytics and financial reporting working as part of a large, complex organization with multiple divisions and locations.Proven experience with querying, organizing, analyzing data in SQL and debugging SQL queries.Proficiency with BI tools such as Excel and Power BI and Microsoft D365 (ERP).Experience with leveraging data from CRM and ERP systems.You have a good knowledge of MS Office applications (Excel, PowerPoint and Word).Ability to work concurrently across multiple technologies.You have excellent analytic skills and are a team player.Bilingual (English and French) both written and oral.Conscientious and organized with strong problem-solving skills.Capable of prioritizing multiple projects while still achieving deadlines.Very strong Excel skills including advanced formulas and macros.Additional InformationThe American Iron &amp; Metal Company and its subsidiaries offer equal employment opportunities to all. The masculine gender is used only to lighten the text. Only those selected for an interview will be contacted.</t>
  </si>
  <si>
    <t>Hello there, I’m [Michael](https://www.linkedin.com/in/michael-barajas-5160645a/) and I joined MedMe this year as the Director of Engineering! I am no stranger to scaling healthcare technology companies and I am thrilled about leading and growing our dynamic, impact-driven team.As an engineer at heart, I thrive on building modern cloud-based applications that help make healthcare better for everyone. We’re looking for a Data Engineer to join our growing team, where you will get the chance to build a modern patient care management platform on AWS using cloud-native technology. Our vision and product at MedMe have already disrupted the legacy platforms in pharmacy care delivery and we would love you to join us in further excelling our impact within our healthcare system. [Co-founders Purya, Nick &amp; Rui](https://www.youtube.com/watch?v=VXvKFNK76sg) built MedMe together after identifying the biggest problem to be existing pharmacy software built 20 years ago with the primary purpose to sell drugs . [Purya ](https://www.linkedin.com/in/purya/?originalSubdomain=ca) was a health data scientist for the government, [Nick ](https://www.linkedin.com/in/nihui/) a product engineer for the Tesla Roadster, and [Rui ](https://www.linkedin.com/in/surui?originalSubdomain=ca)is a Pharmacist. Our team is equally passionate about using pharmacists to provide more services for patients in the community. We are building software for an industry that has relied on paper and pen for a long time. This is why crafting, building, and constantly improving the end-to-end customer experience is an essential part of our company. It’s crucial that we listen deeply to the diverse needs of our pharmacies - located anywhere from dense urban jungles to northern remote communities - to design and build for their needs to ultimately provide more proactive and sustainable care for the patients in their communities.Our mission** MedMe is building the operating system to transform pharmacies into community health hubs. Pharmacies are increasingly doing more than just selling drugs, offering services like vaccinations, prescribing meds, and blood tests. MedMe Health builds software that helps schedule, document, and manage these services at scale.Our clients include the two largest pharmacy chains in Canada, servicing coast-to-coast in 3500+ pharmacies across 10 provinces, serving millions of patients. **The opportunity**Building a new real-time streaming data warehouse using AWS native infrastructureCollaborating on the key technology decisions to shape the architecture and product roadmapDocumenting our data model and making it presentable for our enterprise customers to ingest and operate againstSharing your depth and breadth of knowledge through peer mentorshipTaking an active role in developing our ETL and streaming processes through code reviews, sprint planning, and retrospectivesBuilding CI/CD Pipelines and automating workflows using GithubWorking with code and project management tools such as JIRA/Notion/GitHubKeeping up to date with industry best practices for HIPAA / SOC2 environmentWork with other engineering staff to help resolve technical challenges and build best-in-class solutionsDeploy a repeatable AWS architecture using Infrastructure as Code (AWS CDK) **The tech stack**AWS Glue, Kinesis, Kinesis Data AnalyticsPython 3+Apache KafkaPostgres, DynamoDBAWS infrastructure: Terraform or AWS CDK (preferred)GitHub and GitHub actions to automate daily tasksFamiliarity with S3, Cognito, Cloudwatch is a plusSlack &amp; Giphy &amp; Tenor (Our gif game is strong) As an example, here are some projects you could expect to work on:Unifying our multi-tenant database into a single source of truth for operational data for MedMeCreating an ideal schema and CDC process for third parties to ingest millions of changes per day at peak timesCreate an event-based model to push updates to third parties, including EMRs and other data warehousesRefactoring existing schemas to improve performance and reusabilityCreate a robust living document to define our data’s interface and definition to external customers and Data Analytics staffWorking with healthcare IoT manufacturers to ingest data at scale **What you bring to the table**You are an experienced full-stack engineer with more than a few years of experience. (^ We don’t believe in years of experience, however, a typical senior member on our team has 5+ years)You are a team player and you enjoy working with your fellow team members to work through the ideas, problems,You have a growth mindset and you seek out opportunities to grow.Your communication style is open, concise, and effective; you can easily explain technical to non-technical parties.You care about the product and about the end-user.You are a process-builder; we enjoy working with engineers who are ready to help improve our processes and make them more scalable.Don’t sweat it if you don’t have everything listed above. We believe in growth and curiosity. If you have some of these qualities and are excited about this opportunity, then we want to hear from you! **How We Hire** MedMe is committed to a fair and equitable hiring process for all candidates. To ensure that each candidate’s journey is consistent and the selection process is unbiased, the team at MedMe will not be responding to any personal messages regarding this role or other opportunities.The Interview Process**Round 1: Phone Screen with a member of the teamRound 2: Virtual 30-minute technical interview with Michael, Director of EngineeringRound 3: Virtual 60-minute coding challenge + review with Michael, Director of EngineeringRound 4: Virtual 60-minute with the Co-FoundersRound 5: Conduct ReferencesRound 6: Offer Following the advice of Canadian health authorities, to mitigate the risk of potential spread of COVID-19 and support social distancing, all recruiting activities including interviews and new hire on-boarding will be conducted virtually.Annual Salary ranges from $90,000 - $130,000 CAD + stock options** **Perks at MedMe**Flexible health benefit planFull dental, vision, physical &amp; mental health plus health spending accountPerformance development support (yearly budget for courses &amp; conferences) **Location** We are fully remote in Canada, however, we like to plan on-site team retreats! MedMe is a proud equal opportunity workplace that is committed to equal employment opportunity regardless of race, color, ancestry, religion, sex, national origin, sexual orientation, age, citizenship, marital status, disability, gender identity or Veteran status. We’re looking for motivated and compassionate people who can execute from the ground up and support the work that MedMe believes in. MedMe is committed to developing an inclusive, barrier-free recruitment process and work environment. Should you require any accommodation, please inform us and we will work with you to meet your accessibility needs. For any accessibility-related assistance, requests for information in accessible alternative formats or to report any accessibility problems, please share in your application.</t>
  </si>
  <si>
    <t>What we doDarkhorse Analytics is an Edmonton-based consulting firm specializing in predictive analytics and data visualization. Our visualization team is internationally recognized for building custom interactive visualizations with a focus on impact and clarity. But our company first began with Darkhorse Emergency.Darkhorse Emergency provides software and custom analytics for fire, EMS and police services to make data-driven decisions and better serve their communities. What began as a loose collection of Excel spreadsheets and Ph.D. thesis Matlab code has evolved into an ecosystem of database-driven web apps and best practices. We work with clients to provide them with bespoke software and advisory services.Every client is different. The interpretation of their data and unique needs requires strong analytical skills.What you'll be doingWork at Darkhorse Emergency is diverse and ever-changing. We implement our proprietary software and solve interesting and challenging business problems for a wide variety of fire and emergency clients.You will work to understand our clients' data and bring it into our proprietary software and provide them with an in-depth analysis that highlights root causes and opportunities. You will work with a team of analysts and take part in the project life cycle from start to finish, including:Gathering and interpreting Fire and EMS data. Our data can come from different sources, including client tools and open databases, as well as flat files. Bringing data together in our databases will be a big part of what you do here. Data cleaning and summary analysis. Data is rarely what you want it to be. Cleaning and understanding your inputs are the first required step in any quantitative project. Implementing our Darkhorse Emergency Platform. Matching clients' unique data to the fields required for our platform is a crucial step, and requires business context as well as technical savvy. Validating findings and stories in the data. Do your findings pass the smell check? A mix of experience, expertise and creativity is required to validate your findings and distinguish the right signals from data errors. Creating stunning data visualizations. Using tools like QGIS, Jupyter Notebooks or even Excel, you will work with the data to create visually engaging visualizations and maps to clarify our findings. Creating succinct presentations and reports. Often times our analyses need to be translated into a report that is readable, actionable, and isn't going to collect dust on the shelf. We believe less is more, and we take the time to make it succinct. Translating client needs into achievable solutions. Using your understanding of the industry and the client's unique challenges, you will provide our clients with actionable recommendations. Understanding our clients means that we can confidently approach their business problems. Brainstorming creative approaches. Theory and practice never align, so creativity is a must in planning a solution. Improving our tools and processes. As a growing company, we must continually search for the better way. We expect you to spend a good portion of your time on improving processes. What we look forWe believe the right person is not defined by years of experience or education. We look for the right people at all levels of their career. Here are some of the things that will make you stand out:You are a wizard with data, and comfortable using some combination of Excel, SQL, and Python. You ideally have some experience using GIS tools like QGIS to visualize data geographically. Ideally, you have experience with the Fire and Emergency Management industry, and are familiar with municipal datasets, city planning, land use zoning, etc. A strong desire to learn is also acceptable. You genuinely enjoy problem-solving and finding patterns. The harder the challenge, the harder it is to put it down until you crack it. You are intrigued by a career in consulting and data analysis. You believe that being constantly pushed out of your comfort zone is a thrilling opportunity. You are able to focus on the most critical parts. In a haystack of data, you are able to find the needle that can pinpoint issues or root causes. You can communicate well. Having the correct analytical solution is one thing, but you should also be able to develop your solution methodically and explain the whole thing to your grandmother in the end. You are motivated and comfortable immersing yourself in data and understanding the message behind it. You can be skeptical about your findings if they don't seem correct. You're detail-oriented but can see the big picture. You are creative in your ways of interpreting and analyzing the data. When one avenue leads to a dead-end, you can use different data sources to come to an outcome that satisfies the business need. You share our valuesWhat we offerCompetitive salaries within a transparent salary environmentCompetitive benefits and a profit-sharing programUnlimited vacation plus a summer shutdown Flexible working conditions; remote or in-person in EdmontonUnlimited career opportunities in a high-growth companyThe ability to make an impact and do work that mattersWe look forward to hearing from you!</t>
  </si>
  <si>
    <t>JOB DESCRIPTION - CYBERSECURITY DATA ANALYSTABOUT THE ALLIANCE The Digital Research Alliance of Canada (the Alliance) serves Canadian researchers, with the objective of advancing Canada’s position as a leader in the knowledge economy on the international stage. By integrating, championing and funding the infrastructure and activities required for advanced research computing (ARC), research data management (RDM) and research software (RS), we provide the platform for the research community to access tools and services faster than ever before.We have an ambitious mandate — to transform how research across all academic disciplines is organized, managed, stored and used. We work with other ecosystem partners and stakeholders across the country to help provide Canadian researchers with the support they need for leading-edge research excellence, research, innovation and advancement across all disciplines. POSITION SUMMARYThe Cybersecurity Data Analyst position will be accountable for monitoring and delivering timely and relevant cybersecurity analytics as well as guidance and support for the Alliance’s cybersecurity operations team. The position will primarily focus on support for security monitoring and auditing services for the National Advanced Research Computing (ARC) Platform but is expected to provide widespread support as the Alliance’s cybersecurity program and operations mature. The Cybersecurity Data Analyst is a member of the Operations &amp; Security team and reports to the Cybersecurity Manager.RESPONSIBILITIES Liaise with stakeholders to understand and identify data requirements to support the implementation of use cases.Develop data visualisation and dashboards to be utilized by the Federation in the implementation of security and operational functions.Develop and maintain the national data standard used for sharing and use of datasets.Support the Alliance’s operational portfolio, Federation, and working groups in preparing their data for ingestion in the data platform and ensure compliance with the organization data security standards.Work closely with partners to expand data collection as required by used cases.Support and provide training to the Alliance’s operational portfolio, Federation, and working groups in developing their own visualisation and dashboards.Develop and deliver training material and process documentation on the use of the monitoring platform and how to perform data analytics to implement security functions.Document the use of the analytics tools being developed.Document the data lifecycle management process and participate in the management of the existing dataset.Implement data navigation, query, and filtering tools to ensure timely and effective access to complex data needed to implement various security functionalities.Identify and prioritize vulnerabilities and research attempted breaches of data security, rectify security weaknesses, and collaborate with stakeholders to ensure they are understood and triaged effectively.Formulate and contribute to security policies and procedures.Provide recommendations for enhancing data systems security, for future projects, security tools, and applications.Perform cross-functional and/or other duties consistent with the job classification, such as a security operations rotation as assigned or requested.REQUIRED QUALIFICATIONSPost-secondary/undergraduate degree or similar level education in computer science, engineering, information sciences or in a related field.Minimum 3 years of relevant experience in the field of data analysis within a cybersecurity team.Experience utilizing OpenSearch/Elastic stack in a Security Information and Event Management context.Strong knowledge of computer and network security, including such areas as firewall administration, encryption technologies and SIEM tools.In-depth knowledge of OpenSearch / Elastic stack including (but not limited to) (OpenSearch Dashboards/Kibana, Grafana, APIs, etc.).Advanced programming skills (scripting, Kibana Query Language, git, web rest API such as HTTP and JSON API, etc.).Basic web programming skills (Python web framework like flask or django, Jupyter Notebook).Experience with data management skills (schema/index design, backups, etc.).Data Analytics, such as anomaly detection, BI/OLAP thinking.Experience and familiarity working in a Linux environment.Familiarity with tracking, alerting, coordinating tools (tickets, alerts, Asana, Slack, Jira, OTRS, alert manager, etc.).Experience working in and/or with the Academic Research landscape and knowledge of the ways and methods by which technology supports the Canadian research community.Excellent time management, prioritization, and organizational skills are required.Ability to work in a fast paced, high-volume environment with multiple and changing priorities.Ability to establish and maintain effective working relationships with a wide variety of internal and external stakeholders.Ability to communicate effectively, both orally and in writing is required. Having these skills in both of Canada’s two official languages would be considered an asset.Other relevant professional security certifications like CISSP, CISM and COBIT would be considered an asset.Familiarity with security and risk standards including COBIT, NIST, ITIL, ISO 27001-2, or PCI-DSS would be considered an asset.BENEFITS/WORK PERKS:In addition to a competitive salary and a rewarding career where you can truly make a difference in the Canadian research community, we offer a comprehensive benefits package that meets the various needs of our diverse team and that spans across Canada, including:● Comprehensive Benefits Plan, including:o Healtho Dentalo Long-Term Disabilityo Life Insuranceo Flexible Spending Accounto Wellness Spending Accounto Mental Health Supports● Defined Benefit Pension Plan● Paid Vacation● Remote Work anywhere in Canada – Flex HoursPlease apply here: https://workforcenow.adp.com/mascsr/default/mdf/recruitment/recruitment.html?cid=61008c6c-69b0-4ac1-8727-d86f6a6d54f5&amp;ccId=19000101_000001&amp;type=JS&amp;lang=en_CAFull-time positionInterested candidates are asked to supply a statement that details salary expectations for the role.The Alliance recognizes that challenges remain in achieving the full participation of equity-seeking groups (including women, Indigenous Peoples, persons with disabilities, members of visible minority/racialized groups, and members of LGBTQ2+) in research careers and is committed to identifying and eliminating barriers that may exist within its own hiring process, programs, and practices.</t>
  </si>
  <si>
    <t>Job Title: Snowflake Data EngineerLocation: remote Canada – PST HoursContract Length: 6-month – continual renewal + opportunity for conversion to permInterview rounds: 2 interviewsMust-haves 5+ years of experience working as a Data Engineer implementing large scale solutions  3+ years of experience with Snowflake  Bachelor's Degree in Computer Science or a related field  Strong experience with modern data stack tools such as DBT and Airflow  Proficient experience with SQL and Python  Knowledge on agile software delivery methodologies  Good communication skills both verbal and written  Plusses Gaming experience  Core Metric Platform experience  Day-to-Day Insight Global is looking for a Senior Data Engineer to join a large gaming company remotely in Vancouver, BC. This candidate will join a large business unit that specifically supports other major line of business within the company. More specifically, this person will help design, build, and launch scalable and reliable data pipelines to move and transform data. This is a highly collaborative position where the candidate will be working with Data Architects, Analysts and BI Developers to understand and develop technical specifications. In addition, this candidate will be joining a fast-paced environment and will be expected to make an impact at the forefront.</t>
  </si>
  <si>
    <t>Over the last two years, we’ve seen a massive increase in global demand for our services. As a team, we are working to set new standards on how to build and run solar energy sites at peak efficiency. As we continue to scale in 2022, we’re looking for more entry-level Data Analyst &amp; Report Specialist’s to join our diverse remote-first team. This is a unique opportunity to start your career as an Analyst in the renewable energy industry.What We're Building~Roughly 70% of global power still comes from non-renewable polluting energy sources. As a climate-friendly and cost-effective energy solution, solar has the potential to drastically reduce our global CO2 emissions, helping to meet the World’s climate obligations for a clean energy transition. However, getting sites up and running is only the beginning. Once solar projects are built, many factors can interfere with performance. What we know from a recent industry report is that solar projects are underperforming by up to 6.3% on average. This number may seem inconsequential, but if these facilities continually perform shy of targets, this could interfere with private investment causing a ripple effect. Aligning financial risk and reward with low-carbon energy investments is critical for shifting the economy in the direction of reduced emissions. Without substantial private sector investment in clean energy, it will be more difficult, more costly, and more time-consuming to address climate change on a global scale.At Heliolytics, we’re working with our client partners to close that performance gap in order to enable a sustainable transition to clean energy and secure the future of our industry. We’re building a suite of industry-leading tools and services to enable our clients, which include some of the largest solar energy producers in the world, to maximize their energy output each year. Every marginal increase in efficiency is a huge win for our team, our client partners, and the environment. To date, our optimizations have resulted in increased energy production equivalent to 130,500 car-years of CO2 reductions.Our Analysis &amp; Reporting Team~We manage our entire workflow in-house, from gathering imagery data using industry-leading tools and techniques to providing clear, actionable insights for clients to make the best decisions for their renewable energy assets. Our Analysis &amp; Reporting Team plays an instrumental role in ensuring that the collected solar field data is processed correctly, and turned into clear, consistent deliverables for our clients.As an Analyst, You Will~Onboard client assets into our internal systemsAnalyze collected field imagery and resulting anomaly distribution, suggest potential issues and remediation for client assetsIdentify trends across client portfolios and ensure that these are communicated through our reportsReview data with our technical experts and write client reportsCreate other client deliverables using specialized software toolsComplete tasks related to our analysis workflow, such as database management, troubleshooting and consulting projectsAdditionally, you’ll gain insight into~The North American and global renewable energy industriesSolar (PV) system components, layouts, and maintenanceProcessing and presenting spatial datasetsWhat You Bring~An interest in aerial imagery interpretationA keen eye for detail and a commitment to high quality standardsExperience working on analysis-related projects (Internship &amp; Academic experience considered)Experience working on projects with tight timelines, multiple stakeholders, or other complexities (Internship &amp; Academic experience considered)Demonstrated ability to learn and adapt to new software technologies, and experience with broadly-used software packages (Adobe suite, Excel, Google suite, etc)A resourceful approach to problem solving A collaborative approach to communication and a genuine interest in the success and growth of the people you work withA passion for sustainability and an interest in renewable energyBonus Points~Imagery interpretation experience (satellite-based imagery analysis, or aerial photo interpretation)GIS software or packages or geospatial analysis (note~ this is not a GIS technician position)Some experience with Python or programming languages (Analysts regularly interact with our Development team)Experience with scientific classification schemesWorking at HeliolyticsHeliolytics is a mosaic of talented people with different interests and goals united by our mission to build a sustainable transition to clean energy. As a remote-first organization, we work hard to optimize all of our systems and processes to operate remotely whenever possible, however, we do like to meet in person on occasion.We value employee life outside of work and provide many ways to accommodate and support our staff in achieving their goals. You'll find a few ways we enact this below~Remote-First EnvironmentExtended Health BenefitsHealth Spending AccountPaid Vacation PolicyTeam SocialsEducation BudgetExperience comes in many forms, many skills are transferable, and passion goes a long way. If the job description gets you pumped but your background isn’t exactly what we’ve described above, or if you strongly believe you bring qualifications beyond what we’ve outlined that would help you excel in this position, please consider applying.Heliolytics is committed to providing accommodations for people with disabilities. If you require accommodation, we will work with you to meet your needs.</t>
  </si>
  <si>
    <t>At Yelp, it’s our mission to connect people with great local businesses. From a coffee connoisseur’s review of a neighborhood cafe, to a homeowner’s request for a quote to remodel their kitchen, Yelp’s data captures millions of user-business interactions every day.The Data Science &amp; Analytics team prides itself on harnessing the power of this data. We test and learn, build tools and lead meaningful analyses to extract insights that influence Yelp’s product and business strategy.We’re looking for a self-motivated critical thinker whose intellectual curiosity is met with a healthy dose of skepticism. You value the integrity of your work, sanity check analyses before drawing conclusions, and take pride in telling stories with data. You are a team player who is an excellent communicator, quick learner, and as excited about Yelp as we are.We’d love to have you apply, even if you don't feel you meet every single requirement in this posting. At Yelp, we’re looking for great people, not just those who simply check off all the boxes.This opportunity is fully remote and does not require you to be located in any particular area in Canada. We welcome applicants from throughout Canada.Where You Come InLead broad analytics projects core to Yelp’s business, communicate key insights to decision makers, and help product leaders uncover new opportunities.Manage tight deadlines and quickly iterate analyses to answer unstructured business questions, deliver actionable learnings, and make strategic recommendations.Work cross-functionally with product and engineering to define, log, and track Yelp’s key product metrics and opportunity size new initiatives.Generate dashboards and automate reports that empower teams across the organization to make data-driven decisions.Grow and maintain impactful relationships with stakeholders of both technical and non technical backgrounds with clear and frequent communication.Think critically about experimental design and advocate for thoughtful experimentation.What It Takes To SucceedBA/BS or graduate degree in a quantitative field (mathematics, statistics, economics etc.) or equivalent experienceIdeally 3 or more years of quantitative industry experience, ideally within the consumer product spaceExcellent SQL skills, fluency in Python, and experience with at least one statistical package (R, Pandas/NumPy/SciPy/matplotlib, Stata, Matlab).An eye for compelling data visualization and extensive experience with related tools (Tableau, Mode, Looker).Solid understanding of statistical inference, experimental design and analytic bias. Familiarity with financial modeling and advanced statistics (regression, non parametrics, predictive modeling) a plus.Local businesses are turning to Yelp because we’re uniquely positioned to help them reach their customers during these challenging times. Our Engineering &amp; Product teams have responded by quickly identifying their needs and building innovative products and features to support them. Our commitment to connecting people with great local businesses has never been stronger.At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“Authenticity.”We’re proud to be an equal opportunity employer and consider qualified applicants without regard to race, color, religion, sex, national origin, ancestry, age, genetic information, sexual orientation, gender identity, marital or family status, veteran status, medical condition, disability, or any other protected status.We are committed to providing reasonable accommodations for individuals with disabilities in our job application process. If you need assistance or an accommodation due to a disability, you may contact us at accommodations-recruiting@yelp.com or 415-969-8488.Note: Yelp does not accept agency resumes. Please do not forward resumes to any recruiting alias or employee. Yelp is not responsible for any fees related to unsolicited resumes.</t>
  </si>
  <si>
    <t>Department: TechEmployment Type: Full TimeLocation: VancouverReporting To: Subodh KumarDescriptionHey, we’re Article. We’re an online furniture company creating remarkably better furniture experiences one sofa at a time. And as the Data Engineer, you’ll support multiple departments across the company with their Data needs.Why We Need You?You'll dive into multiple data sources and use your technical skills to source, modify and build data pipelines. We encourage our engineers to take full ownership of their work from start to finish. You'll work closely with the Analysts' on your team to make sure they have what they need to help their users throughout the business.You'll be reporting to the Data Software Engineer Manager and working closely with a team of other Data Engineers and Analysts.Why Article?Article makes beautiful, modern furniture, but we think like a tech company. Our founders are technologists, and the challenges you’ll solve extend far beyond eCommerce. Our technology teams create and integrate custom solutions that power our supply chain and home delivery in the pursuit of a smoother customer experience. You’ll do all this while growing your skills within a company that is redefining the furniture industry.We’re a remote-first team, with Particles across Canada and a few based in Latin America (+4/-4 hours from PST). We’ll support you where you do your best work – your house, our office, a coffee shop, or wherever you’re inspired.What You'll Do You’ll build scalable data pipeline infrastructure to deliver data to Analytics Engineers and Data Scientists as well as supporting the development of tools for the delivery of transformed data to the data analysis and data science teams and other stakeholders. You’ll also build instrumentation for end-to-end data observability to ensure accurate, timely, and high-quality data. You’ll be collaborating with cross-functional engineering teams to create and utilize shared standards to reduce waste. You'll be responsible for any data projects driven either by new systems being added, or updated, or by a new way of delivering large data files, etc. You will have a voice in shaping the Article Data Engineering team’s future direction. This role reports to Data Engineering Manager and is part of a cross-functional Technology department.Who You Are 3+ years of Data Engineering experience in a professional environment Proficiency in Python programming language and SQL for data processing Experience working with large data sets - both SQL and NoSQL databases (e.g. MySQL, PostgreSQL, DynamoDB, etc.) in Linux environment Strong fundamental data integration background working in multiple development environments Experience building ETLs and data pipelines using tools such as Apache Airflow and PySpark Experience with Amazon Web Services - RDS, EC2, S3, Lambda, Amazon Redshift Experience integrating with real-time data feeds using Apache Kafka Demonstrated ETL/data programming skills (using scripts or products like Informatica, DataStage) Experience with DevOps practices, CI/CD, managing production deployments, Git and GitHub Awareness of security, performance, high-availability and fault-tolerance and best practices Ability to communicate design, concepts, and decisions both verbally and in writingNice To Have Skills Retail Domain Experience Experience with virtualization, containers, and orchestration (Docker, Kubernetes) Knowledge of data visualization and reporting tools like Tableau AWS EMR, AWS DMS, Talend, Apache Airflow, StitchPerks &amp; Benefits  You’ll start with at least 29 days off between vacation, wellness days, holidays, and an Inclusion and Diversity Day  We offer access to excellent dental and health benefits packages, plus a health/lifestyle spending account for your total physical and mental well-being We want you to experience the obsession our customers have for Article furniture. You’ll enjoy a 45% discount (15% for friends and family, too) on our whole product offering In the “Ownership Mindset” mentality, we offer stock options after one year of employment When you do decide to come into the Vancouver office, we’ll think you’ll love: The Article HQ is a converted warehouse, with an open layout, and well-stocked kitchens filled with snacks, premium coffees, and teas (and ALL the milks) If you’re a few times a month you can book a hot desk, or if you’re in the office 3 or more days a week, you can have a permanent desk.  A dog-friendly office. If you have a well-behaved, well-socialized pup, they’re welcome too Onsite fitness equipment, change rooms, and bike storage#INDARTICLETECH</t>
  </si>
  <si>
    <t>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t>
  </si>
  <si>
    <t>This is an exciting opportunity to build products that reach millions, you’ll have a hand in next-generation technology for a technology-first retailer.CSC Generation is saving Retail. We acquire store and catalog-based retailers and transform them into high-performing, “digital-first” brands. In just four years, we’ve acquired and turned around brands including Sur La Table, Z Gallerie, and One Kings Lane, saving over 3,000 jobs and reaching $1B in revenue, with a path to over $5B in revenue in the near term.As a Data Engineer, you will be responsible for creating data-driven solutions to solve operational goals; including reporting, systems integration, data warehousing and making legacy data real-time enabled.· Building robust data solutions on top of a variety of storage topologies.· Creating scalable, production quality ETL and ETL like solutions· Collaborate cross-functionally to create innovative solutions bridging legacy technology to modern patterns and systemsOur ideal candidate:· 5 plus years of software development· 3 plus years as a dba or data engineer· Experience with AWS and pros/cons of their storage, compute, &amp; DB options· Exposure to retail and shopping applications and vocabulary· Fluent most flavors of SQL· Detail-oriented and data-driven decision making· Excellent communication skills and the ability to get organizational buy-in· Strong SDLC fundamentals· Belief that “if it isn’t tested, it doesn’t exist”Bonus points if you have:· Experience integrating with legacy retail systems· Past work developing data stream processing patterns· Experience in normalizing business objects across disparate backendsBenefits· Competitive salary and benefits (medical, dental, vision)· Casual work environment and ability to work remotely· Professional growth opportunities with a growing company</t>
  </si>
  <si>
    <t>Flipp is a retail technology company that is reinventing the way people shop. We work with the largest retailers and manufacturers in the world to help them transform their business and connect them with tens of millions of shoppers through the next generation digital shopping marketplace. Our award-winning Flipp app is used by millions of shoppers every week to make better purchase decisions and to save 20-40% off their bill.We are looking for a Data Engineer to join our team! In this role, you will work within an engineering team to design and develop data processing platforms and software frameworks for Data Science, Engineering and Analytics organizations.Most Of The Things You’ll Work OnDesign and implement real-time and batch data processing frameworksDevelop and manage scalable data processing platforms used by Data Science, Engineering and Analytics organizationsConsult with Data Science and Analytics to provide best practices for data modelingImplement and maintain data pipelines through collection, storage, transformation and normalization of large data sets.Planning and estimating features the roadmap to determine the next sprint goalsFixing bugs and refactoring to improve Flipp internal and open source packageDesign and implement automated unit and integration test strategiesAnalyzing datasets and automating data quality checks to ensure top-notch data quality and consistencyDevelop proper data governance approaches by ensuring security, integrity and auditability standards are metYou’ll Need To HaveBachelor’s degree Computer Science/Engineering or equivalent2+ years of experience writing ETLs on big data platforms such as Hadoop, HDFS, Spark, Kafka2+ years of designing and managing big data platforms such as Hadoop, Kafka or cloud based managed solutions.2+ years of experience working with data processing languages such as pySpark, Hive, Scala &amp; SparkTrack record of shipping quality code and delivering high quality featuresHigh growth expectations for yourself and your team, and a willingness to push yourself and your team to achieve themHere’s How We WorkFrom working with top technologies to sending you to industry-leading conferences, we will make sure you have all that you need to expand your knowledge and grow your career. We have a trust-based culture where all team members are empowered to work in the way that’s best for them to thrive.Our culture is at the center of all that we do, and it has been recognized through numerous accolades over the past three years including: Best Workplaces in Canada, Deloitte 50 Best Managed, Best Workplaces in Canada for Women, Most Admired CEO and Top 10 Most Admired Corporate Cultures.Here’s How To ApplyIf you’re interested in working with us on the future of shopping, click the “Apply now” button to submit your application. While experience and skill sets are valuable, growth potential and attitudes are equally important. If you’re prepared to grow dramatically with your team at a world-class learning organization, consider applying. We understand that the most creative solutions require diversity in thought and life experiences.Flipp is an equal opportunity employer and value diversity at our company. We do not discriminate on the basis of race, religion, color, national origin, gender, sexual orientation, age, marital status, veteran status, or disability status. Accommodations are available on request for all aspects of the selection process.</t>
  </si>
  <si>
    <t>The FirmAnsid provides fractional/virtual CFO, cloud accounting, reporting, and data analytics services to high growth small and medium size companies in technology, business services, manufacturing, retail, and marketing sectors. Ansid CFOs and consultants have extensive experience helping clients with operational financial management, digital transformation, data analytics, and providing strategic business consulting services. The RoleThe successful candidate will support Ansid’s clients in implementing BI and analytics in their operations and enabling their evolution in the analytics journey.  More specifically, the BI/Analytics Consultant will: Develop and maintain data pipelines,Design and develop dashboards and reports,Analyze financial, operational, marketing, and other relevant data to provide actionable insights that drive meaningful outcomes for clients, andAssist in process automation. The Candidate The successful candidate will have the following attributes: Undergraduate degree in Computer Science, Mathematics, Statistics, Finance, Accounting, Economics, or a related quantitative field.Have a minimum of 2 years of demonstrated experience in a similar role.Expertise in data analysis applications: Tableau, Power BI (M, DAX), SQL, Python, Power Query and Excel, and in scripting/programming languages for data mining, modeling and ETL development.Experience working with cloud environments (Azure, AWS, GCP).Team oriented individual with strong communication skills, who is comfortable engaging with different groups within client organizations (including non-technical audiences).Strong project management and organizational skills and ability to work under pressure and manage high priority projects with multiple or competing deadlines.Eagerness to learn new tools, topics and explore opportunities to leverage technology to generate efficiencies and improve capabilities.</t>
  </si>
  <si>
    <t>Title: Sr DataStage DeveloperLocation: RemoteDuration : ContractJob DescriptionIn this role, you will be responsible for expanding and optimizing our data and data pipeline architecture, as well as optimizing data flow and collection for cross functional teams. You will support our software developers, database architects, data analysts and data scientists on initiatives and will ensure optimal data delivery architecture is consistent throughout ongoing projects. You are self-directed and comfortable supporting the data needs of multiple teams, systems and products. You are excited by the prospect of optimizing and innovating existing data architecture to support the next generation of products and data initiatives.ResponsibilitiesThis requires understanding of the activities involved in legacy ETL code to migration of to Cloud using latest technology stack like data build tool and Snowflake database. Leverage existing/build new processes/framework to for quicker and control migration. This involves and not limited to:Analysis and Reverse Engineering of Data Stage code.Develop ELT data pipeline to migrate applications using DBTScheduling and dependency management of data pipeline with proper auditingRegister and Build ingestion pipeline with test automation of code.Implement test automation in the data pipeline.Build detailed technical design, conduct analysis, development of applications and proof of concepts.Responsible for translating functional ETL requirements into a technical design document, building the DataStage jobs and sequences to pull data from the source into staging tables, from staging tables into historical tables using Change Data Capture methodologies, and then from historical tables into dimensional data marts for reporting.Communicate progress across organization and levels from individual contributor to senior executive. Identify and clarify issues/problems that need action and drive appropriate decisions and actions relating to system integrations, compatibility, and multiple platforms.Research, test, build, and coordinate the conversion and/or integration of new products based on client requirements.Design and develop new software products or major enhancements to existing software.Overseeing the testing, implementation, maintenance, and enhancement of the applications.Consult with project teams and end users to identify any further application requirements.Troubleshoot and resolve software issues and respond to suggestions for improvements and enhancements.Instruct, assigns, directs, and checks the work of other software developers on development team.Participate in development of software user manuals.Design and build applications as per the given requirement adhering to the guidelines.Ensure consistent unit testing and support the technology infrastructure team implementation.Notify clients once updates have been made.Alybyte Inc. is an independent firm providing business and technical service to the United States and Canada customers. We specialize in the design, procurement and delivery of digital services and associated business change activities.Our technical services focus on ensuring that our customers make best use of emerging information and communications technologies in achieving their business objectives. We combine our strong technical expertise with an excellent understanding of process transformation to harness technology to create solutions that deliver substantial business benefits to our clients.Our business services combine knowledge of best practice in transformational and process change with 'real world' experience of project delivery to manage and deliver the practical outcomes required to ensure benefits realization.</t>
  </si>
  <si>
    <t>ABOUT US:Braintrust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good.JOB TYPE: Freelance, Contract Position (no agencies/C2C - see notes below)LOCATION: Remote - Work from anywhere (TimeZone: GMT/WET | Partial overlap)HOURLY RANGE: Our client is looking to pay $30 – $40/hrESTIMATED DURATION: 40h/week - Long termTHE OPPORTUNITYRequirementsAnalytical mindset and ability to 'connect the dots' Proven track record of working with data and producing consistent results in adynamic environment with many stakeholdersDemonstrable experience with processing complex datasets using Python and SQL,ideally including BigQueryExperience with a BI platform like Tableau, PowerBI or Looker is of advantage Knowledge of any systems like HubSpot, Chargebee, ZenDesk, accounting and billingsuites would be advantageousExcellent communication skills Good working knowledge of productivity suites like MS Office or Google Docs Excellent knowledge of MS Excel and Google Sheets Overall purpose of the roleAs our client's business grows, they have an increasing need to understand and manage data between their systems.The initial purpose of the role would be extracting data from their existing systems in reproducible ways as required, including performing transformations on the data to produce actionable intelligence.Over time, the role is expected to develop in helping design and implement Business Intelligence dashboards with data from integrated systems that will allow them to capture a 360 view of their business. At that stage, this role would likely involve cooperation with in-house and/or external teams.Key areas of responsibilityProducing and automating reports to the specifications of the Executive, Finance and RevOps teams Executing integrations and implementing required data transformation, including finding and filling in gaps in the data Creating and maintaining a consolidated view of our client's data estate and helping design structures and transformations for dashboards that cannot be facilitated within dashboards bundled with systems they use Assisting FP&amp;A with data retrieval and transformations Over time, executing on setting up and creating dashboards in the BI platform ofchoice, actively working with the vendor and all stakeholders under CTO's guidanceApply Now!ABOUT THE HIRING PROCESS:Qualified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project.C2C Candidates: This role is not available to C2C candidates working with an agency. If you are a professional contractor who has created an LLC/corp around their consulting practice, this is well aligned with Braintrust and we’d welcome your application.Braintrust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t>
  </si>
  <si>
    <t>One of our top retail client is seeking a Data Engineer based in Canada. It's a remote project with long term stability and extensive learning opportunities. About this teamThe Data Engineer will be part of the Data &amp; Analytics Delivery team of GEC (Guest Education Center) building real time enterprise data streams ingesting data from multiple data sources into Snowflake. The ideal candidate will be designing and implementing data pipelines using the full stack of Azure data services to satisfy business needs. The data engineer would also be responsible for continuously identifying opportunities for automation and reduction of technical debt &amp; manual data manipulations to create efficiencies &amp; optimize data delivery. They should also work with cross-functional business teams, identify data hydration solutions, assess the feasibility, and provide recommendations to other developers on automation opportunities ensuring that delivered frameworks are scalable.Qualifications:· BS in Computer Science or related· 5+ years of experience as a Software developer in BI space is needed· 2+ years of experience in Azure data engineering tools (e.g., Azure data factory, data bricks, Functions, Logical Apps, azure synapse, ADLS etc) · Expertise in designing data pipelines, table structures, and sql queries · Experience working with Snowflake technologies is preferred· Working experience of scripting, data science and analytics (SQL, Python, PowerShell, JavaScript) is needed· 2+ Years of performance tuning and optimization, bottleneck problems analysis, and technical troubleshooting in a sometimes, ambiguous environment. Desired Qualifications:· Experience working with Dynamics365 data is preferred· Experience with Azure DevOps and infrastructure.· Working experience with reporting and analytical layer (SSRS / Power BI / SSAS) is desirable· Experience working with large volume data; retail experience strongly desired. · Working knowledge of CI/CD · Working knowledge of building data integrity checks as part of delivery of applications.· Technical expertise to build code that is performant as well as secure.· Technical depth and vision to perform POC’s and evaluate different technologies. Have an entrepreneurial spirit and continuously innovates to achieve great results.· Communicates with honesty &amp; kindness and creates the space for others to do the same.· Fosters connection by putting people first and building trusting relationships.· Integrates fun and joy as a way of being and working, aka doesn’t take themselves too seriously.A day in the life:· Co-ordinate with multiple data source teams in getting data published to BI Data warehouse (Snowflake)· Building Scalable Data Solutions · Mentor Junior resources and drive end to end design, implementation and delivery of engineering components.· Communicate with and educate both senior and junior colleagues to further embed data science and analytics across the organization· Strive for continuous improvement of code quality and development practices· Self-learn new technologies and deliver on them.· Building and maintaining solutions on highly available environments.· Translate business issues to technical terms.· Understand, leverage and apply best practices effectively. Also leads by example and comes up with coding standards and best practices for technology.· Collaborate with cross-functional teams – business stakeholders, engineers, program management, project management, etc. - to produce the best solutions possible.· Building CI/CD pipelines.· Anticipate system/application challenges and proposes solutions for the same.· Contribute to story sizing and work estimates for implementation, validation, delivery and documentation.· Review user stories to ensure a quality user experience, well-defined acceptance criteria and thorough test coverage.· Participate in design and code review to ensure quality and testability of feature code.</t>
  </si>
  <si>
    <t>Company DescriptionMerkle Cardinal Path, part of Dentsu Aegis Network, is a leading digital analytics and digital marketing firm focused on delivering insight, understanding, and outcomes that create a competitive advantage for our clients. We engage at the strategic, business, and technical levels to generate tangible and quantifiable value for our partners. Merkle Cardinal Path’s mission is: To know. To Share. To be our Partners’ competitive advantage. And our company culture reflects the importance of our people's expertise, wellness, and happiness in everything we do.Merkle Cardinal Path is rapidly expanding its Google Marketing Platform strategy with our clients, including media strategy, activation, platform management, analytics, and managed services to deliver transformational outcomes.Job Description"Remote Opportunity"We are looking for Analytics Engineer to join our team who will be responsible for providing clients with guidance on marketing analytics use cases and delivery of technical solutions built primarily on BigQuery and Google Cloud Platform. Ideal candidates will have experience in data preparation, analysis, and data modelling. This experience should include work analyzing and managing data within cloud hosted analytics environments.The candidate will work directly with various internal stake-holders to deliver ad-hoc analysis of raw data, statistical model development, research into emerging analytics trends, presentation development, as well as technology research. The position will help to expand our clients’ web analytics and digital marketing programs. Opportunities will include application of analytics skills within a robust cloud environment, as well as supporting modelling work relating to the analysis.The ideal candidate will have previous experience in the realm of data science, which includes data preparation, data analysis, statistical programming skills, and data visualization. For this job level, previous experience delivering data solutions for analytics is required. The ability to communicate to help gather requirements, coordinate with internal resources, and deliver clear value to clients is key. The consultant will have the ability to develop their data science skills and experience in working with Google Cloud Platform, with opportunities to learn a variety of related platforms (such as Looker, Tableau, Azure, and more).This position primarily supports the analysis of web analytics, mobile analytics, and marketing platform data. Experience with any of these tools is beneficial: Google Analytics, Adobe Analytics, Adobe Audience Manager, Google Campaign Manager, Google Display &amp; Video 360, Salesforce Sales Cloud, Salesforce Marketing Cloud.Synthesize business needs and create business/functional design documents which can be used to build analysis and data modelsClient-facing skills which will include providing quantitative analyses, recommendations and presentations to clientsAssess data for validity and work on required data preparation with attention to detail and alignment to business requirementsTranslate data into analytical outputs that enables our clients to answer fundamental questions that are central to their business success.Develops, implements, and supports methodologies, standards, and tools for analysis and data science work.Partners with insights and analysis team leads from the Digital Intelligence team as well as Digital Marketing team within Cardinal Path to help deliver quality insights as requiredBuild cooperative, productive relationships with clients and vendors by utilizing excellent communication skills, while also interacting effectively internally and externally.Participation and development of data science and analytic products while identifying key areas for improvement of products and services.Research, prototype, and explore future, non-standard analytics approaches that push the limits of current analysis output. QualificationsMinimum Qualifications:Bachelor’s degree in a technical field of study (Applied Statistics, Business Analytics, Operations Research, Computer Science, or relevant quantitative field) with a minimum of 3 years’ experience as an Analyst / Data Scientist or a Master’s degree with a minimum of 2 years’ experience as an Analyst / Data ScientistProficiency with classical statistical modelling methods and machine learning techniques to solve complex business problemsStrong Python skills for model design and developmentProficiency with SQL and an experience working with cloud environmentsExperience visualizing and presenting data and analytics findingsSelf-motivation, creativity and ability to work independently in meeting deadlinesExceptional written and verbal communication skills and is comfortable working with remote teamsWhat Will Make You Stand OutUnderstanding of performance marketing metrics and channelsPrevious experience with web analytics tools such as Adobe Marketing Cloud, Google Analytics, etc. Previous experience with marketing and media analytics including database marketing techniques, digital attribution and media mix modellingFamiliarity with analyzing data for digital marketing and ecommerce, as well as all other non-digital aspects of a businessAdditional InformationWe know through experience that different ideas, perspectives and backgrounds foster a stronger and more creative work environment that delivers better business results. We strive to create workplaces that reflect the clients we serve and where everyone feels empowered to bring their full, authentic selves to work. We are committed to working with our candidates from all ability levels throughout the recruitment process to ensure that they have what they need to be at their best. If you need accommodation during the application or interview process, please contact Canada.Recruitment@dentsuaegis.com or to begin a conversation about your individual accessibility needs throughout the hiring process.</t>
  </si>
  <si>
    <t>Masterpiece Studio makes it effortless to create 3D content from concept to animation. We harness the power of virtual reality and machine learning to let creatives easily create in 3D.Our software makes it easy to create 3D content for games, animation, and education today, but just as important, our software is a fundamental requirement to build the metaverse of tomorrow.Our mission is to help people easily create 3D content of whatever they can imagine.We are looking for team members that are creative, fearless, collaborative, and problem solvers who want to help us create the new world of 3D content creation.The RoleThe data engineer/analyst is a “full data stack” position that will work with the data team to architect data infrastructures as well as surface meaningful analytics that impact key business decisions and company directions through the use of data. As a member of our data science team, you will work cross-functionally to provide hands-on technical support, including:Build a trusted and reliable set of data sourcesLeverage Google Analytics to collect data on where users are going on the web-based platform and translate findings to help understand business needsManage the data warehouse ETL pipelineDesign, implement, and scale data pipelines transforming various data types into data models that enable actionable insightsTroubleshoot and solve production database issuesDevelop a quality framework for the delivery of high-quality data and analyses to stakeholdersConstruct analytics dashboards and ad hoc analysis for the business/growth teamThe Day to DayWe suspect our next hire will accomplish their goals by:You will conduct meaningful data analysis that impacts key business decisions and company directions through analyzing and using data from Google AnalyticsCollaborate, develop and deploy robust and scalable databases making sure all systems meet the organizational requirements as well as industry best practicesTranslate business requirements into data models that are easy to understand and used by different disciplines across the companyContinually work to improve data reliability, quality, and supports ongoing incorporation of new data sourcesConstruct analytics dashboards and ad hoc analysis for the business/growth teamWhat We Believe Our Next Hire Will Bring to the BusinessDemonstrated strong expertise in:3+ years “full-stack” data experience, preferably with SaaS productsGoogle Cloud Platform (GCP) experienceGoogle AnalyticsStrong SQL and analysis dashboard experienceFirebase: Firestore, real-time databaseGoogle Data Studio or other Business Intelligence toolsERD documentationETL (Ideally experience with Stitch and DBT)Managing data warehousesIt would be beneficial (though not required) if they also have a working knowledge of:API design for CRUDNodejs, javascript, typescript, PythonSecurity testing experienceGrowth metricsWhat to expect when you apply:We’re motivated to have our new teammate join us soon so if the above resonates with you, feel free to reach out and say hello. :)As much as we'd love to be able to speak with everyone that applies, only those selected to move forward in our process will be contacted within 5 business days of applying.EEOCMasterpiece Studio is an equal opportunity employer. All qualified applicants are given consideration regardless of race, religion, colour, gender, sex, age, sexual orientation, gender identity, national origin, marital status, citizenship status, disability, veteran status, or any other protected class as provided in applicable employment laws. If you have a disability or special need that requires accommodation, please contact us at careers (at) masterpiecestudio (dot) com.</t>
  </si>
  <si>
    <t>Skills Required:Bachelor’s degree in Computer Science or similar field, or equivalent work experience. Minimum 5+ years of experience with implementing data solutions in AWS Cloud Environment. It is a must to have well-versed and hands-on experience in AWS services like DMS, Glue, Lambda, S3, Redshift, Kafka, Kinesis, etc. is a must.Strong knowledge &amp; hands-on experience in SQL, Spark, and Python is a must.A good understanding of Data Warehousing, Data Integration, Data Ingestion, and Data transformation projects is a must-have.Must have worked on large data migration and transformation projects using any of the ETL tools like AWS GLU, Informatica, Infoworks, etc.Knowledge of Data data ingestion and engineering platforms is must haveA good understanding and experience in Data Warehousing or Data Integration projects is a must-have. IICS / Informatica knowledge is a good thing to have.Knowledge of the insurance domain is good to have.Expert with data warehousing standards, strategies, and tools. Strong knowledge of relational databases, preferably Oracle and SQL Server. Good knowledge of UNIX/LINUX shell scripting. Strong problem-solving, multitasking, and organizational skills. Good written and verbal communication skills. Demonstrated experience in leading a team spread across multiple locations.Role &amp; Responsibilities: Analyze and troubleshoot delivery issues in a timely fashionWork with clients on technology evaluation, technical thought leadership, and direction. Manage a delivery team to ensure timely and accurate customer deliveriesOversee daily activities of the delivery team and provide direction and guidance as neededEnsure that the team maintains a high level of competence and operational excellence.Develop process improvements to achieve cost-effectiveness and time-savingReport delivery status to internal leadership and develop required delivery documentation.Take a lead in preparing functional and technical specification documents. Lead project deliveries while managing multiple responsibilities in a high-paced environment, where you are empowered to make a difference. Constantly sync with the Client &amp; Business team to align on business priorities, and plan for the long-term and short-term architecture goals. Own the complete SDLC of the project(s) by managing the solutioning, engineering, testing, release, and maintenance. Work closely with client-partners to align on, and manage their expectations and plan for engineering. Guide and help team members debug and solve technical problems. Lead engagements with multiple work streams; prepare project plans and manage deliverablesReview and perform code walkthroughs and quality reviews. Showcase thought leadership on technology roadmaps, agile development methodologies, and best practices</t>
  </si>
  <si>
    <t>Shogun is on a mission to empower brands to create exceptional ecommerce experiences, and in the process, build the best remote company.Since being in the Winter 2018 batch of Y-Combinator, we've seen tremendous growth while intentionally creating a culture where people from all backgrounds belong. Our company and products are informed by diverse perspectives from the best talent around the world. We are fully remote, have no offices, and are looking for team members who are excited to work remotely.We closed our Series A and B in 2020, and after raising a $67.5M Series C in 2021, we are scaling faster than ever. Some of our investors include Insight Partners, Initialized Capital, Accel, VMG Partners, and Y Combinator. Join us to grow your career with our rapidly growing company!LocationFor this position, we are looking for candidates located in the United States and Canada.What You'll DoAs a Principal Data Analyst here at Shogun, you understand startups are chaotic and you kind of like it. You'll navigate and reign in the chaos to take ownership of our data analytics strategy and execution. By partnering directly with business stakeholders, you will work proactively to ensure the right questions are being answered. You use data to tell a story - one that will inform and influence Shogun's strategic and investment decisions.You will also be Shogun's "data steward", ensuring both the integrity of our data, and access to it. Through your rigorous management of our data stack (SQL, Looker, dbt, Fivetran, Snowflake, Census and Salesforce) business leaders across the organization will have the right information when they need it.Here you'll work at the intersection of quantitative analysis, data mining and presenting data to ensure our business uses data-informed strategies to grow and improve our product offerings.What You'll BringDeep experience owning and leading the analytics function in an emerging environment 8+ years of data analytics experience with an emphasis on working cross-functionally throughout an organizationA strong ability to translate data into actionable insights—you are able to explain your findings in a comprehensible way, tailoring your message for your audience. Complete comfort working with SQL, dbt and LookerExperience working within a Product Led Growth strategyA Note to Future ShogiesWe know the confidence gap and imposter syndrome can get in the way of meeting potential Shogies. If you have relevant skills that are not reflected in your resume, we welcome your candidacy and encourage you to share more in an optional cover letter, even if your experience doesn't match our exact requirements. We are committed to building a diverse, inclusive, and equitable workplace where everyone feels like they belong. We encourage you to apply if you feel this role is a good fit for you, and we look forward to hearing from you!What We Offer (Varies by Location) Competitive salaryCompany-sponsored healthcare, visioncare, dentalcare for you and your dependentsRetirement plans with matching contributions (401k, Pension, and RRSP)Paid parental leaveStock options Yearly company and department off-sitesHome office set-up reimbursementMonthly home office productivity reimbursement Co-working space reimbursementPTO, sick leave, holidays, Shogie appreciation days, COVID-19 related time offLearning and Development reimbursement Mental health and wellbeing offeringsQuarterly Wellness reimbursement Remote work – We are a diverse and distributed team that uses Slack, Zoom, Notion, and other tools to stay connectedOur ValuesWork in the open: Operate with high integrity and choose what's right over what's easy. Be transparent as a company and with each otherPeople are People: Treat yourself, colleagues, and customers with dignity, empathy, and respect. Start from a presumption of positive intentWin and grow together: Strive to be the best, individually, and as a team. Support and encourage each other. Seek opportunities for growthShogun supports workplace diversity and does not discriminate on the basis of race, color, religion, gender identity/expression, national origin, age, military service eligibility, veteran status, sexual orientation, marital status, physical or mental disability, or any other protected class.Please refer to the position specific location requirements listed under the location section of the job description as we are interested in every qualified candidate who is eligible to work in the mentioned location(s) without requiring employment visa sponsorship. Click here (or click apply if no hyperlink) if you are a New York or Colorado-based, US candidate.</t>
  </si>
  <si>
    <t>Day-To-Day:Insight Global is looking for a Sr Data Analyst to join a Canadian fertilizer company remotely, for a 12-month contract. As a member of the team, the successful candidate will help by improving inefficient processes, producing information efficiently, and creating insightful reporting. As an Analyst on the team, you will proactively enable Finance to achieve demonstrated efficiency in its data transformation and reporting.  What you will do: • Foster creativity and innovation through unique thinking • Build an understanding of multiple areas within Finance to support efficient and accurate data transformation, data validation and report creation • Build scalability in reporting to support global growth • Manage the creation of accurate reporting that enables “analysis, insight and action” • Parse, cleanse and manipulate large amounts of structured and unstructured data for analysis • Coordinate the creation and enhancement of data cubes, including cubes which harmonize data from multiple sources, through collaboration with Finance subject matter experts and the IT data services team • Through report development, identify business issues that analytics insight could potentially solve • Be responsible for prioritizing and managing multiple projects at a time • Provide timely communications to relevant Finance and Information &amp; Reporting leads on project status and roadblocks • Manage project specific tasks and deliverables including setting appropriate timelines • Collaborate cross-functionally with FBS, Finance and Nutrien to share knowledge and insights • Address ad-hoc reporting requests and analyze recurring requests for automation or self-service opportunitiesMust: • Bachelor’s degree required (related to finance, mathematics, operations, statistics, actuarial science, agriculture, economics, or other data related fields is preferred) • 3+ years’ experience in an accounting, finance-related and/or reporting role • Experience with Microsoft Power Query and Power BI including writing expressions in DAX and M language (preference will be given to those with expert-level skills) • Experience writing database queries using SQL • Aptitude for developing visualizations that bring data to life and efficiently share insights • Experience extracting, manipulating, validating and analyzing large data sets to draw conclusions • Experience in assessing current processes, finding inefficiencies, and designing and implementing improved processes • Excellent communication, collaboration, and delegation skills • Strong problem solving, quantitative and analytical abilities. • Ability to work independently in a fast-paced environment and manage tight deadlines and competing priorities • Aptitude to communicate complex analytic findings Plus: • Experience automating processes with RPA tools would be an asset • Experience working with Oracle eBS, SAP ECC, Peoplesoft and/or SAP S/4 would be an asset • Experience with Python and/or R programming language would be an asset • Experience with other business intelligence software such as Tableau and Alteryx would be an asset</t>
  </si>
  <si>
    <t>Who We AreFounded in 2012, automotiveMastermind is a leading provider of predictive analytics and marketing automation solutions for the automotive industry and believes that technology can transform data, revealing key customer insights to accurately predict automotive sales. Through its proprietary automated sales and marketing platform, Mastermind, the company empowers dealers to close more deals by predicting future buyers and consistently marketing to them. automotiveMastermindis headquartered in New York City. For more information, visit automotivemastermind.com.At automotiveMastermind,we thrive on high energy at high speed. We’re an organization in hyper-growth mode and have a fast-paced culture to match. Our highly engaged teams feel passionately about both our product and our people. This passion is what continues to motivate and challenge our teams to be best-in-class. Our cultural values of “Drive” and “Help” have been at the core of what we do, and how we have built our culture through the years. This cultural framework inspires a passion for success while collaborating to win.What We DoThrough our proprietary automated sales and marketing platform, Mastermind, we empower dealers to close more deals by predicting future buyers and consistently marketing to them. In short, we help automotive dealerships generate success in their loyalty, service, and conquest portfolios through a combination of turnkey predictive analytics, proactive marketing, and dedicated consultative services.Successful Senior Data Analyst WillData Analysts within the automotiveMastermind (aM) Product Insights team play a leading role in measuring the effects of aM in the market, communicating the value each product within the portfolio delivers, and identifying opportunities to strengthen the products and the processes by which they are created.Responsibilities IncludeRigorous identification, analysis, and interpretation of trends or patterns in complex data setsApplication of deep, creative, rigorous thinking to solve broad, platform-wide technical and/or business problemsDesign and develop management reports and supporting ad hoc analyses answering key questions such as… Is the product performance aligned with the sales pitch? Are key product components delivering value? Is marketing outreach effective? Are results consistent across clients?Identify key value drivers and key opportunities for/sources of error across products and processesCreate client-facing visualizations to clearly articulate the aM value proposition and identify business opportunities for internal and external stakeholdersDevelop short-term preventive or detective measures, and leading medium/long-term product improvement initiatives arrived at via close collaboration with data transformation, engineering, QA, and production support team membersSupport and inform account leads with respect to client and regional sales mix, performance, and aM contributionsIdentify and access additional data assets that could be leveraged to answer a given business problemCoordinate with data engineers as appropriate to design and enable repeatable processes and generate deliverables to answer routine business questionsManage a complex roadmap with multiple projects at various stages of development (research, data schema design, data engineering, quality testing, visualization design, user testing, production release) and provide appropriate updates to a full range of internal and external stakeholdersMinimum RequirementsBachelors’ degree in mathematics, engineering, economics, statistics, computer science, information management or related quantitative fieldMinimum 5 years professional experience as a data analyst or in a similar analytical + technical role. Additional relevant education will be considered in lieu of experienceTechnical experience with data models, database design, data mining and segmentation techniquesStrong knowledge of and experience with reporting packages (Business Objects), databases (SQL), programming (XML, Javascript, or ETL frameworks)Demonstrated application of statistics and experience using statistical packages for analyzing large datasets (Excel, R, SPSS, SAS)Experience with visualization software packages (Data Studio, Tableau, PowerBI)Strong analytical and problem-solving skillsAbility to think quickly on your feet and handle ambiguity 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t>
  </si>
  <si>
    <t>You will use various methods to transform raw data into useful data systems. Key duties include processing data sources within rules on MySQL queries and arranging that data. This includes providing support for other members of the team as necessary to enhance the operation usage of the system.To succeed in this data engineering position, you should have strong analytical skills and the ability to combine data from different sources. Data engineer skills also include familiarity with several programming languages and knowledge of learning machine methods.If you are detail-oriented, with excellent organizational skills and experience in this field, we’d like to hear from you.Main responsibilities:Analyze and organize raw dataBuild data systems and ETL pipelinesEvaluate business needs and objectivesInterpret trends and patternsMigrate, optimize and clean data structuresPrepare data for prescriptive and predictive modelingCombine raw information from different sourcesExplore ways to enhance data quality and reliabilityIdentify opportunities for data acquisitionDevelop analytical tools and programsCollaborate with data analysts on several projectsRequirements and skills:Previous experience as a data engineer or in a similar rolePrevious experience migrating and cleaning databasesTechnical expertise with data models, data mining, and segmentation techniquesKnowledge of programming languages (e.g. Bash and Python)Experience with Docker and AirflowHands-on experience with SQL database designExcellent numerical and analytical skillsKnowledge about Excel reporting (pivot tables, importing data, etc)Experience working with Data Warehouses / Data lakesBenefits:Competitive salary based on years of experienceA positive work environmentJoining Period: ImmediateNote: Good written and oral English communication skills are essential, as we have our team all over the globe and English is the common language.</t>
  </si>
  <si>
    <t>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t>
  </si>
  <si>
    <t>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t>
  </si>
  <si>
    <t>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t>
  </si>
  <si>
    <t>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t>
  </si>
  <si>
    <t>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t>
  </si>
  <si>
    <t>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t>
  </si>
  <si>
    <t>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t>
  </si>
  <si>
    <t>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t>
  </si>
  <si>
    <t>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t>
  </si>
  <si>
    <t>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t>
  </si>
  <si>
    <t>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t>
  </si>
  <si>
    <t>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t>
  </si>
  <si>
    <t>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t>
  </si>
  <si>
    <t>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t>
  </si>
  <si>
    <t>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t>
  </si>
  <si>
    <t>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t>
  </si>
  <si>
    <t>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t>
  </si>
  <si>
    <t>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t>
  </si>
  <si>
    <t>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t>
  </si>
  <si>
    <t>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t>
  </si>
  <si>
    <t>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t>
  </si>
  <si>
    <t>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t>
  </si>
  <si>
    <t>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t>
  </si>
  <si>
    <t>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t>
  </si>
  <si>
    <t>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t>
  </si>
  <si>
    <t>Four Seasons Hotels and Resorts is a global, luxury hotel management company. We manage over 120 hotels and resorts and 47 private residences in 47 countries around the world and growing. At Four Seasons, we are powered by people and our culture enables everything we do.Central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do.The Azure Data Engineer is a technical leader in our Data &amp; Analytics commercial data engineering team. Responsibilities include the design, build, optimization, and maintenance of experiments, prototypes and products across Four Seasons Microsoft Azure’s Data Platform including Databricks.The Azure Engineer will use modern and innovative technology to help business partners realize actionable insights and value from Four Seasons enterprise data platforms. This includes but is not limited to the design and build of data extraction, transformation, and loading processes by developing custom data pipelines.The Engineer will be valued member of an internal Data Engineering capability working together to discover to define requirements, use cases and outcomes. As a member of the IT Delivery team, the Engineer will build, configure, secure, migrate, optimize, and refactor Azure data platform solutions which includes Ingestion, ETL/ELT, Storage, Data Lakes, Delta Lakes, Data Warehouses, Lakehouses and Data ModellingThe candidate is capable of working with all levels of the organization with an ability to understand and translate institutional knowledge into technical solutions. Strong service, communication and problem-solving skills are key.This role is based in Four Seasons Hotels and Resorts, Toronto Corporate Office, reporting to the Senior Director, Data Engineering. This role involves interactions with internal executive stakeholders and project sponsors, technical operations and development teams, Four Seasons IT, end-user contracts and product users. Externally, the role will interact with various Four Seasons partners and data solution providers, Microsoft, and source data providers.Key ActivitiesData Engineering Design, develop, and test efficient batch processing XLT processes using Microsoft Azure, Databricks and Delta LakeDesign and optimize PySpark, Python code and must be able to write re-usable production level codeDesign and optimize the SQL syntax and queries for faster data processingDimensional modelling experience is mandatoryDesign and develop Tabular models in AAS/Power BIAdoption of best development practices for batch processingManaging all work in Jira including but not limited to story creation, defect resolution etcDocumentation of the work in ConfluenceIdentifies opportunities for new architectural initiatives makes recommendations on the increasing scalability and robustness of platforms and solutions.Desired SkillsExcellent analytical, mathematical, and creative problem-solving skills.Excellent listening, interpersonal, written, and oral communication skills.Logical and efficient, with keen attention to detail.Self-motivated and directed.Ability to effectively prioritize and execute tasks while under pressure.Able to exercise independent judgement and take action on it.Strong customer service orientation.Experience working in a team-oriented, collaborative environment.Ability to lead technical teams through outage and technical roadblock situations.Ability to prioritize competing requests for resource.Ability to translate business needs into data requirements and priorities.Ability to devise and apply logical steps to troubleshoot issues and test new development.Ability to engage in the role from multiple angles, as trainer, helpdesk support person, tester and analyst.Process-oriented capability and skills.Proven experience providing excellent customer service to internal system users.Demonstrated time, task and project management skills including planning, organizing and managing resources.Ability to work on several un-related projects concurrently.Technical SkillsData Engineering in Microsoft Azure Environment + Toolsets (ADLA, ADF, Synapse, Data Bricks, AAS, Cosmos DB, FunctionApps, Logic Apps etc)Expert knowledge in SQLSkilled in core data warehousing platformsProgramming skills in Python, Scala etc.Microsoft Power BI delivery and supportMicrosoft Power Suite delivery and supportAzure AI/ML skills and delivery.Strong SQL query skillsStrong history in Python, C#, Scala, JavaData process improvementWorking in large data setsConfluence, Jira, TestRailHelpdesk Tools and methodsMicrosoft VisioMicrosoft Office Suite, very strong ExcelExperience, Education And Professional QualificationsUniversity or higher degree in Engineering, Mathematics, Information Systems, Computer Science or TechnologyCompletion of Azure Fundamentals and Azure Data Engineer CertificationsCompletion of Azure AI Fundamentals and Azure AI Engineer Certifications2-3 years’ experience in Data Engineering, Visualization and Analytics in Azure environments2-3 years’ experience in AI/ML projects and implementationsMinimum 1 year experience with Azure Databricks, Delta Lake, Azure Data Lake, Synapse Analytics, Azure Data Factory, Function Apps, Analysis Services and Power BIGood understanding of basic concepts of data warehousingAll internal applications must be submitted and approved in Workday by September 23, 2022.This role will be a Hybrid working model, which will require 2-3 days per week in the Four Seasons Corporate Office located at 1165 Leslie Street, Toronto, OntarioFour Seasons is committed to providing employment accommodation in accordance with the Ontario Human Rights Code and the Accessibility for Ontarians with Disabilities Act. If contacted for an employment opportunity, please advise Human Resources if you require accommodation.</t>
  </si>
  <si>
    <t>We are a digitally native technology services company where innovation, design and engineering meet scale. We use some of the latest technologies in the digital and cognitive field to empower organizations in every aspect.Right now, we are looking for Data Engineers to join our team at Globant!You will get the chance to:Work with professionals who have created some of the most revolutionary solutions in their fields.Make an impact. Work in large-scale projects globally.Develop your career in our Studios. Each Studio represents deep pockets of expertise on the latest technologies and trends and delivers tailored solutions focused on specific challenges.Develop your career within an industry or multiple industries.Work in the city you want, and be nourished by cultural exchanges.Be empowered to choose your career path: we have more than 600 simultaneous projects, so you can choose where and how to work.Be part of an agile pod. Driven by a culture of self-regulated teamwork, each team -or POD- works directly with our customers with a full maturity path that evolves as they increase speed, quality and autonomy.What would help you succeed:Believe and love what you do.Enjoy solving problems.Have imagination and love innovating.Being flexible &amp; goal oriented.Advanced English skills.High performance analytics.Bachelor Degree in CV, Information Technology or related technical field.Experience with Java or Python.Practical experience in Google Cloud Platform, using at least this part of the stack: Apache Beam, DataFlow, DataProc, DataPrep (is a plus!), Big Query and Cloud Storage.At Globant we believe that an inclusive culture and a diverse environment makes us stronger. We encourage people to have an inclusive spirit as our global footprint expands. We seek to generate a place of inspiration and growth for everyone. A safe space, based on equity as a value, where everyone's careers can be promoted and developed in the same way. There is no innovation without diversity and there is no improvement without plurality.Are you ready?Job Segment:  Cloud, Database, Developer, Java, Engineer, Technology, Engineering</t>
  </si>
  <si>
    <t>OMERS Products and Technology is looking for Data Analyst passionate about all sides of data analytics and eager to build a data visualizations for our pension Data Engineering team. The individual should be extremely motivated and want to constantly learn and apply new technologies. In this role, the qualified candidate is expected to drive actionable insights.As a member of this team, you will be responsible forInterpreting data, analyze results using statistical techniques and provide regular, timely, accurate reports and dashboardsGathering business requirements and documentation following Agile PracticesWork with Product Managers and Stakeholders to prioritize business data needsLocate and define new process improvement opportunitiesEnable business users to bring data-driven insights into their business decisions through reports and dashboardsUnderstand and communicate complex business concerns and solutions in clear and concise mannerIdentify, analyze, and interpret trends or patterns in complex data setsFilter and clean data as part of each development initiativeDevelop Power BI semantic models, dashboards and reportsTo succeed in this role, you haveMust have 5+ years of Hands on experience with Data Modeling, Power BI desktop, Power Query, Azure Data Factory and Azure SQL Server Must have experience working with one or more programming, scripting, and analytical languages such as DAX, MDX, T-SQL, Python, PowerShellMust have experience building semantic data modeling and publish datasets accordinglyUnderstanding row level, object level security rules and roles in projects and workspaces is an asset.Experience working with Power BI external tools such as Tabular Editor, DAX studio and Vertipaq Analyzer is an asset.Good Understanding of Data Warehouse conceptsAbility to design and build reports, dashboards, data visualizations and analytics using Power BIAbility to write complex queries using SQL.Proven Hands on experience with Azure DevOps deployment Pipelines.Good Knowledge and understanding of Data Governance and Security Measures.Experience with SSIS is an assetGood hands on experience working with streaming data.Have experience in Analyzing the BI needs, interpreting business user requirements and translating them into reports.Knowledge of statistics and experience using statistical packages for analyzing datasets.Strong analytical skills with the ability to collect, organize, analyze, and visualize the data.Strong written and verbal communication skillsAbility to handle multiple tasks concurrentlyAbility to take initiative, multi-task and work in an agile environmentA team player and motivated self-starterBachelor’s Degree in Computer Science, Engineering or a related technical fieldOur storyFounded in 1962, OMERS is one of Canada’s largest defined benefit pension plans, with $121 billion in net assets as at December 31, 2021. OMERS is a jointly-sponsored pension plan, with 1,000 participating employers ranging from large cities to local agencies, and over half a million active, deferred and retired members. OMERS members include union and non-union employees of municipalities, school boards, local boards, transit systems, electrical utilities, emergency services and children’s aid societies across Ontario. Contributions to the Plan are funded equally by members and employers. OMERS teams work in Toronto, London, New York, Amsterdam, Luxembourg, Singapore, Sydney and other major cities across North America and Europe – serving members and employers and originating and managing a diversified portfolio of high-quality investments in public markets, private equity, infrastructure and real estate.OMERS is committed to having a workforce that reflects the communities in which we live and work. We are an equal opportunity employer committed to a barrier-free recruitment and selection process. At OMERS inclusion and diversity means belonging. How we create a sense of belonging is through our employees and our vast network of Employee Resource Groups. Whether you are passionate about gender, pride, or visible minorities, we have groups that are focused on making a difference in all of our lives.Vaccination PolicyAt OMERS and Oxford the office or worksite is our primary place of work. We are committed to providing work environments which promote the health, safety and well-being of all employees in accordance with public health regulation and guidance. Accordingly, employees are required to provide evidence of full vaccination or have an approved exemption.</t>
  </si>
  <si>
    <t>KUBRA is in growth mode and currently seeking a Data Science Analyst to join our Service Delivery department! As a Data Science Analyst, you will be working with both internal and external clients to establish business value hypotheses by leveraging various data sources at KUBRA. You'll get the opportunity to use Business Intelligence and Machine Learning tools to support, disprove, and interpret results to actionable insights, while contributing to define the Business Intelligence group within KUBRA.  What will you be involved in?Establish guidelines for data collectionIdentify valuable sources of data and automate collection processesPreprocessing of structured and unstructured data to align with data quality standardsAnalyze large amounts of information to discover trends and patternsBuild predictive models and machine-learning algorithmsCombine models through ensemble modelingPresent information using data visualization techniquesPropose solutions and strategies to business challengesYou will collaborate with implementations, engineering, and product development teams (e.g., Project Managers, Software Engineers, Designers)What type of person are you? Have an analytical mind and a good business acumenYou have superior math skills! (e.g., statistics, algebra) You're able to communicate effectively with clientsYou have a drive for problem solving! You're able to present your findings to clientsYou can manage your time effectivelyWillingness to travel as neededWhat skills do you bring? (Hard Skills)4-5 years of previous experience as a Data Scientist / Data AnalystBachelor’s degree in Computer Science, Engineering or relevant field; graduate degree in Data Science or another quantitative field is preferredExperience in data mining with clientsUnderstanding of machine-learning and operations researchKnowledge of quantitative analysis, data visualization tools like Looker, SQL, Python or R and various AWS native services for ML is an assetAbility to conduct regression analysis and other data validation techniques to ensure the integrity of the data / established modelsAbility to work with the team / BA (DTSP) / Client to create various personas based on dataExperience using business intelligence tools (e.g. Power BI) and data frameworks (e.g. Hadoop)What you can expect from us? Award-winning culture that fosters growth, diversity and inclusion for allPaid day off for your birthdayAccess to LinkedIn learning coursesContinued education with our education reimbursement programFlexible schedulesTwo paid days for volunteer opportunitiesWell-Being Days!KUBRA is a fast-growing company that delivers customer communications solutions to some of the largest utility, insurance, and government entities across North America. KUBRA offers billing and payments, mapping, mobile apps, proactive communications, and artificial intelligence solutions for customers. With more than 1.5 billion customer interactions annually, KUBRA services reach over 40% of households in the U.S. and Canada. KUBRA is an operating subsidiary of Hearst.Our office is small enough to allow creative individuals to flourish, yet large enough to provide long-term stability. We place a tremendous amount of responsibility on our team members to be productive, focused and self-motivated. We offer a casual work environment, competitive compensation and a stellar benefits program.KUBRA is an equal opportunity employer dedicated to building an inclusive and diverse workforce. We will provide accommodations during the recruitment process upon request by emailing the recruitment-team@kubra.com. Information received relating to accommodation will be addressed confidentially. We thank all applicants for their interest; however, only candidates under consideration will be contacted.</t>
  </si>
  <si>
    <t>Title: Information AnalystLocation: RemoteEmployment status: Permanent, full-timeSalary band: $61,382 - $78,216/yearThe Canadian Red Cross (CRC) – one of the most inspirational not-for-profit organizations on this planet and an awardee on the Forbes list of Canada’s Best Employers 2022 is seeking an Information Analyst to join our PS Systems and Projects team.We are guided by our Fundamental Principles of humanity, impartiality, neutrality, independence, voluntary service, unity, and universality. We help people and communities in Canada and around the world in times of need and support them in strengthening their resilience.Starting with the hiring process, we are committed to having an accessible, diverse, inclusive, and barrier-free work environment where everyone can reach their full potential. We encourage all qualified persons who share our values and want to contribute to fostering an inclusive and diverse workplace to apply.The incumbent will collaborate with the People Services (PS) Data Lead, the Information Analyst is a key member of the PS Systems and Projects team. This role is responsible for managing a Smartsheet resource database, maintaining the data within it, and producing critical stakeholder reports and dashboards on PowerBI. This includes compiling and analyzing information, troubleshooting discrepancies, identifying areas for improvement, automating processes where possible, and working with end-users to ensure data integrity and effective information integration in the database. The Information Analyst will use their skills and experience to structure people data and perform periodic audits, maintenance tasks, and adhere to accurate recordkeeping habits.This role centres heavily on the ability to understand business processes related to resource contracting, hiring, recruiting, training and allocation. It requires the incumbent to engage and relate with stakeholders to understand their business practices and information needs, and to identify and track this data and capture emerging requirements. Additional duties include adhering to data governance practices and standards; providing custom and ad hoc Smartsheet/Power BI reports as needed; and training new users in the use of the Smartsheet management roster and application.In This Role, You WillResponsibility 1 - Data Management, Visualization and Reporting: Develop a strong understanding of the Smartsheet database, how it is used to support operations and reporting, process integration, and the roles that are required to maintain the data  Maintain system’s integrity via strong understanding of system input, output, and interdependencies and provide guidance and training to end-users responsible for inputs  Assess and fulfill system change requests, notification needs, or automation requirements  Ensure system and data integrity  Build reporting tools and dashboards both in Smartsheet and Power BI to support internal and external reporting requirements  Ensure reporting of high-quality data to external partners  Maintain a change request log  Facilitate, test and support mass data merge/migration efforts  Engage key stakeholders on system changes and ensures good communication to all impacted system users  Develop and implement databases, data collection systems, data analytics and other strategies that optimize statistical efficiency and quality  Documents business process related to data management as required Responsibility 2 - Data &amp; Business Process Maintenance Conduct regular auditing of data to ensure that key information is populated and follows up with users where information is missing/inaccurate  Conduct research and keep up-to date on best practices for PS technologies, data analysis and analytics  Perform periodic system health checks and ensure functionality and features are up to date  Support daily and weekly system back-ups  Support stakeholders by maintaining database business process maps, adjustments via change requests and ensuring efficiency / lean approach to overall database management  Support the business requirements and migration from Smartsheet to future CRM technologies  Ensures adherence to data privacy requirements Responsibility 3 - Stakeholder Support  Process and track access request to ensure adequate level of permissions  Provide basic onboarding, training and supporting materials to new users of the database  Basic technical troubleshooting and escalate as required  Maintain effective working relationships, fostering a client driven, continuous improvement culture  Support additional projects duties as required What We Are Looking For Bachelor’s degree or diploma in Information Technology, Computer Data Science, Information Management, Business Administration or equivalent experience.  Strong familiarity with the use of Smartsheet &amp; Power BI for data management and reporting, Smartsheet/Power BI certified or willingness to obtain certification within first three months.  Expertise in data models, database design development, data mining and segmentation techniques an asset.  Expertise in Excel (macros, pivot and VLOOKUP tables, advanced formulas, charts) is mandatory.  Knowledge of SQL databases and programming (ETL frameworks) and data visualization tools: PowerBI, Tableau and Bi360 is an asset.  Knowledge of Taleo Business Edition, MS Dynamics AX, Kronos Time &amp; Attendance, Moodle, Video Capture Utilities, SharePoint, survey applications, Raiser’s Edge is an asset.  At least 4 years related work experience or an equivalent combination of education and experience.  Experience migrating, compiling, manipulating, and merging considerable sized datasets.  Experience in project management, workforce analytics, HR data analysis, data assembly or dashboard design.  Experience providing services directly to non-technical stakeholders.  Exceptional organizational, time management, information management, technical and numeracy skills.  Strong analytical skills with the ability to collect, organize, analyze, and disseminate significant amounts of information with attention to detail and accuracy.  Collaborative team workers with ability to effectively develop strong cross-functional working relationships at all levels.  Strong commitment to skill development and learning.  Able to provide sound judgment and exercise a high level of confidentiality and discretion while working with sensitive information.  Effective and comfortable working with vendors to resolve issues.  Excellent verbal and written communication and interpersonal skills, including ability to train others on use of tools.  Ability to quickly comprehend opportunities and issues presented from end users, investigate root causes, and offer solutions and insight.  Ability to work effectively in a fast paced and changing environment with multiple conflicting demands. Working Conditions Eligibility to work in Canada: At this time, we welcome applications from candidates eligible to work in Canada. If you are not a citizen or permanent resident of Canada, we encourage you to carefully review your visa to find out whether you are eligible to work in the job you are considering applying for. Refer to our  If you are selected for this role, you will be required to complete a successful pre-employment screening process which includes a satisfactory Enhanced Police Information Check (E-PIC).  Full vaccination against COVID-19 may be requested to participate in in-person activities. This position is open until filled, however qualified applicants are encouraged to apply as soon as possible. Qualified applicants who apply after the selection process has started, may be held for a second review if needed OR reviewed for alternative roles. We appreciate the time and effort it takes to apply and thank you in advance.If you require accommodation measures during any phase of the hiring process, please notify us as soon as possible. All information received in relation to accommodation requests will be kept confidential.</t>
  </si>
  <si>
    <t>Join us to Shape a better world!     Dedicated to sustainable development, Arup is a collective of designers, advisors and experts working globally. Founded to be humane and excellent, we collaborate with our clients and partners using imagination, technology, and rigor to shape a better world   In this role, you will help the Digital team to deliver effective and professional services for a range of high-profile clients. The role will involve a variety of technical tasks on projects of various scales from local to global importance. Working with the existing Digital Advisory, Software Development, Data &amp; Geospatial team and in collaboration with Arup specialists in other disciplines, there will be a particular focus on Canadian Rail projects.Responsibilities of this specific role will include, but not be limited to the following:  Data management, database schema definition and management, data visualizations  User interface development, development of code/programs to automate workflows  Understanding of spatial data structures (including 3D)  Development of web platforms, requirement gathering and process mapping  Possible exposure to emerging technologies (i.e. AI, ML, Augmented Reality, Virtual Reality) and their applicability to the Engineering domain in tandem with Geospatial technology      Qualifications Required:   A Bachelor’s degree in GIS/Spatial Analysis, Computer Science, Software Development and Information Technology or similar fields  Minimum of a 3.0 GPA Technical expertise in using GIS  Solid understanding of data management  Interest in using GIS for programming, software development and visualization  Analytical capabilities, including use of ArcMap/ArcGIS Pro and ArcGIS packages such as Network, Spatial and/or 3D Analyst  Authoring code for the automation of processes and workflows, particularly with knowledge of Python libraries such as arcpy  Ability to define and create database schemas and relationships, with specific experience utilizing ESRI ArcSDE  Interest in the development and implementation of web GIS software utilizing ArcGIS Enterprise and Portal  Documenting workflows, creating standardized process documentation, and writing data processes  Interest in engineering standards and practices  Candidate must be eligible to work in Canada without the need for employer sponsored work authorization now or in the future.   Preferred:  Experience with FME Desktop and/or server for similar automation  Understanding of spatial data types and structures. With an interest in spatial data collection in engineering.  Digital aptitude for learning new data and automation software packages such as PowerBI, Power Automate  Innovative problem solver, ability to think 'outside the box'  Ability to communicate ideas and solutions, with a positive and forward-thinking approach  Enjoys working as part of a friendly and supportive team  Ability to handle a diverse workload and good time management skillset  Curiosity, personal drive and technical know-how  Desire to deliver excellent services for clients  Notable Projects  For over seven decades Arup has been at the forefront of the most ambitious and innovative design and engineering. From concert halls to national stadiums, renewable energy to driverless cars, we continue to add to that history every day. Notable projects include:  Aviation Insights – A group of apps that allow us to evaluate levels of demand against an operator’s predictions ( https://www.arup.com/expertise/tools/aviation-insights ).  Arup Solar – A collaborative design tool that analyses, in real time, a proposed building design, identifies how much sunlight it is likely to absorb, offers design options for shading and façade design ( https://www.arup.com/expertise/tools/solar ).  As our reliance on renewable energy grows, it’s vital to ensure our offshore wind farms are performing as intended. Arup has developed a suite of digital services that optimize windfarm design and operation ( https://www.arup.com/expertise/tools/digital-offshore-wind ).  If buildings had a ‘brain’, monitoring their systems and responding in real time, how much more secure, comfortable and efficient could they become? We are answering that question with Neuron, using artificial intelligence to make our buildings, districts and cities healthier, more sustainable places to live and work ( https://www.arup.com/expertise/services/digital/arup-neuron ).  Open-sourced data and analysis to help NGO's, governments, and firms understand homelessness trends because of COVID-19 and resulting shutdowns. ( https://github.com/arup-group/social-data )  Charge4All - Scaling curbside EV charging infrastructure using a digital enabled and equitable approach ( https://www.arup.com/projects/charge4all )  Mobility Mosaic, a mobile application for collecting advanced travel data and informing urban, aviation and transport planning  Arup Virtual Engage ( https://www.arup.com/expertise/tools/virtual-engage )  Arup Inspect ( https://www.arup.com/our-firm/arup-inspect )  Arup Neuron ( https://www.arup.com/projects/neuron ) Benefits that Work - At Arup, we have a comprehensive and valuable benefits program that works for our employees and their families. These are 100% paid for by Arup except for optional life insurance.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GRRSP 5% company match to help you save for your future.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Equal Opportunity Employer. We consider all qualified candidates regardless of national origin, veteran, disability, sexual orientation, gender, gender identity or other status protected by law. If you need any assistance or accommodations due to a disability, please contact us at  americasbenefits@arup.com .For the fifth consecutive year, Arup has been named one of Greater Toronto's top employers! Greater Toronto's Top Employers for 2022 are recognized for exceptional human resources programs and forward-thinking workplace policies. Find out more about what makes our Toronto office an outstanding place to work here: https://bit.ly/2B3QYL8#goarup</t>
  </si>
  <si>
    <t>Job DescriptionRole: Data AnalyticsDuration: CTH contract to hire Rate 70/hr Salary 100-105kLocation: MontrealAs a Specialist, Data Analytics and Modeling, you will be working with developers and other data analysts in building and using an internal platform for data analytics. You will be part of an ongoing data warehouse project for IT inventory data. You will be responsible for the collection of information and requirements from customers, as well as for data modeling, data wrangling, data onboarding, and data analysis. You will also be responsible to present your data insights to customers.As part of this role, you will have the chance to participate in shaping the next generation of our data analytics platform. Depending on experience, aptitudes and interest, there is the possibility to grow into a team lead.Required Skills At least 3 years of relevant experience Strong experience of SQL and relational databases Experience with Python Strong data modeling experience Experience with data integration frameworks and concepts Experience working in Unix or Linux environments Experience working directly with data consumers to fulfill their needs Strong networking and collaboration skills, particularly with other engineering teams Strong verbal and written communication skills Ability to work independentlyNice To Have Knowledge of Tableau or QlikView Experience with GIT Experience with Agile/DevOps Knowledge of Java Knowledge of other BI/Reporting platforms Experience in DB performance tuning Experience in Software/System Design Knowledge of data center and IT inventory equipment Knowledge of data governance &amp; master data management concepts Knowledge of AI and machine learning frameworks Experience with graph databases (e.g. Neo4J, RDF-based) Experience navigating large/complex IT environments and infrastructureDiverse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</si>
  <si>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About SymcorSymcor enables secure data exchanges and supporting business processes, to help clients succeed in an evolving digital world. Trusted by Canada's largest institutions for over 25 years to support their digital transformations, Symcor aligns industry participants to solve common challenges in the most effective and efficient way.For more information, visit www.symcor.ca The OpportunityThe Data Analyst 2 supports the whole product lifecycle for a line of business using data. This role focuses on tracking performance of existing product features and building new product features that solve complex problems with data for Symcor’s customer base.This role is HybridAbout The Role Lead broad scope and medium complexity assignments, to develop and improve new product features using data to increase the value of services to clients. Attend meetings with stakeholders to gain clarification of requirements and direction. Make recommendations on approach and techniques to be used.  Participate in identification, analysis and interpretation of trends, patterns, correlations and anomalies in complex datasets for the purpose of finding insights and making conclusions.  Support data science research projects to drive the development of key services.  Extract data from multiple sources. Build data transformations using data cleansing, data mapping, data association and entity mapping and resolution techniques.  Lead in the development of data analytics visualizations and statistical reports to assist Symcor and its clients in their decision-making processes.  Work closely with stakeholders to progressively define and refine the functionality of the required analytics.  Conduct peer reviews of analytics deliverables and provide constructive feedback to improve quality. Define and continually improve data analytics best practices, standards and framework.  What You Need To SucceedEducation: Degree in CompSci, Math, DataSci or equivalent education and work experience  3+ years of experience in Data Analytics Experience: Payments processing, Math, Probability, Statistics, Data Modelling, Data Mining Skills: Programming Languages: Python, SQL  Data Visualization: Qlik, Tableau, Power BI or equivalent  ETL Tools: Informatica, Talend, Pentaho or equivalent  Cloud platforms: AWS, Azure, GPC, etc.  Excellent oral and written communication skills  Excellent presentation skills What’s In It For YouAt Symcor, we define our success by what we help others achieve. We were created to support our clients and, through our products, services, and solutions, protect and strengthen their brands. We care about each other, reaching our potential, making a difference to our communities, and achieving success that is mutual. A comprehensive Total Rewards Program that includes a competitive compensation package, flexible benefits and time away options, retirement and savings plans and a commitment to your overall health and well-being through our myWell-being program.  Leaders who support your development through coaching and managing opportunities.  Ability to make a difference and lasting impact.  Opportunities to do challenging work and progressively take on greater accountabilities for growth.  We foster an inclusive atmosphere of One Symcor with our philosophy of +1 Unique You®, we harness each employee’s uniqueness, different skills, backgrounds, and perspectives to contribute to mutual success. It is the diversity of our people and the inclusive environment that has been and will always be key to Symcor’s success. Symcor is an equal opportunity employer and is committed to providing an accessible recruitment process. Upon request, we will provide accommodation for candidates.Apply Now</t>
  </si>
  <si>
    <t>Position Title: ResearcherLocation: Remote/HybridReports to: Director, Institutional AccountabilityAbout University Canada West:University Canada West is an innovative business and technology-oriented, dynamic, and growing institution that was founded in 2005. Based in Downtown Vancouver, the university is defined by its close connections to the business community and a commitment to outstanding student services.Here, at UCW, we connect recognized, well-established specialists and ambitious young professionals, so they learn from each other and thrive in our diverse environment. Together, we strive to create and maintain working environments that are inclusive, equitable, and welcoming.We are privileged to do this work on the unceded, traditional territories of the xʷməθkʷəy̓əm (Musqueam), Sḵwx̱wú7mesh (Squamish), and Sel̓íl̓witulh (Tsleil-Waututh) Nations. We thank them for having cared for this land since time immemorial, honour their graciousness to the students who seek knowledge here, and iterate our dedication to valuing the ongoing contributions of Indigenous peoples and communities.ResearcherUniversity Canada West is a business-focused, independent post-secondary institution, as defined in the British Columbia Degree Authorization Act, modeled after special purpose teaching universities. Our mission is to deliver programs that provide students with the applied and theoretical basis for success in the workplace and future academic endeavors.Reporting to the Director, Institutional Accountability, the Researcher oversees the growing internal research portfolio at University Canada West. The Researcher also acts as a subject matter specialist in the design and implementation of various research projects, providing guidance to internal teams looking to use these tools to gather insights.Specific ResponsibilitiesThe main responsibility is to undertake internal applied research projects to support strategic initiative and delivering advice and analyses through written, oral or presentation formats.· Consult with client(s) to identify needs and specific requirements.· Participates in management planning sessions to formulate objectives and explore possible research projects to support programs and/or strategic goals.· Develops research plans and strategies using valid statistical/mathematical concepts, models and simulations.· Collaborates with other staff members and leads project teams, consultants, staff and/or students in the completion of research projects or data development and analysis components including providing feedback on performance.· Develops instruments, tools models and simulations that incorporate statistical, economical, and mathematical concepts, as appropriate.· Performs or oversees the identification, creation and incorporation of data sets and/or access tables, and new sources of data.· Determines currency, validity and feasibility, and identifies limitations in data.· Designs, conducts or oversees the development of statistical surveys, working with appropriate staff members in the Institutional Accountability department.· Conducts various types of analyses (i.e. trend, cost benefit, comparative, statistical, and economic) to identify impacts, potential outcomes and risks.· Develops or reviews conclusions and recommendations and tests reliability.· Interpret findings and effectively communicate and display results through preparation of flow charts, presentations, fact sheets, discussion papers, briefing notes and correspondence for research, reporting, and accountability purposes.· Be prepared to defend conclusions and recommendations to stakeholders where there is conflicting information and conclusions.· Provides advice on research methods, sampling techniques, questionnaire design, data analysis and other evaluation processes.· Identifies and develops measures, indicators, and targets for performance management and accountability activities.· Manages projects including developing project proposals, drafting business cases and cost benefit analyses, defining deliverables, recommending assignments of internal/external resources, developing project plans and implementing monitoring measures.· Maintain comprehensive and accurate documentation of data sources and methodological decisions, including the logic/reasoning for the choices made about the research approach taken.· Collaborate with other staff in the planning, implementation, and evaluation of various research projects; etc.· Gathering and providing comparable benchmarks (provincial or national peers) for metrics of interest.· Act as a subject matter expert on campus for internal teams looking to implement internal research studies.· Coordinate and support UCW’s participation in regional, national or international research projects of interest.· Represents program area or department on internal working groups and committees and externally to relevant domain-specific communities of practice; support internal forums to disseminate findings widely· Be an active member of the wider Research community: review literature and best practices, share data and experiences and attend relevant meetings and conferences to keep abreast of latest developments in the fieldKnowledge, skills and abilities· Mastery of quantitative and qualitative research techniques including quasi-experimental design and methodology, launching surveys and/or program evaluations, tabulating results, ensuring the validity and reliability of data collections, and compiling descriptive and inferential statistics· Strong skills in utilizing software and programming languages used in statistics and data analysis /visualization, such as R, Shiny or Tableau/PowerBI.· Mastery of quantitative and qualitative research techniques including quasi-experimental design and methodology, launching surveys and/or program evaluations, tabulating results, ensuring the validity and reliability of data collections, and compiling descriptive and inferential statistics· Familiarity with structured query languages such as MySQL or PostgreSQL and the application of techniques to construct queries, investigate data models within relational databases, develop point solutions involving data warehouses/ETL processes, and document procedures thoroughly· Well-developed verbal and written communication skills, including the ability to relay data issues in an organized and easily understandable manner.· Strong interpersonal skills with a customer-service orientation, and the ability to work independently as well as collaboratively in a fast-paced environment.· Excellent time management and organizational skills with a keen orientation to detail and concern for accuracy, as well as the ability to handle multiple tasks simultaneously and meet deadlines· Ability and desire to learn and use new software applications.Education and Experience:· Bachelor’s degree required; Master’s degree in statistics, mathematics, public or business administration or social science field preferred.· Must have at least 2 years of experience with postsecondary domain, acquired through direct work experience· At least 2 years of experience overseeing the implementation of research projects (in an educational setting)To apply, please attach your cover letter and resume in a single document to indicate how you are meeting the Education and Experience requirementsSalary: commensurate with experience; salary range is $65,500 – 78,500. UCW is committed to attracting and retaining a diverse workforce. Together, UCW and its staff strive to create and maintain working and learning environments that are inclusive, equitable, and welcoming. We are privileged to do this work on the unceded, traditional territories of the xʷməθkʷəy̓əm (Musqueam), Sḵwxwú7mesh (Squamish), and Sel ̱ ̓íl̓witulh (Tsleil-Waututh) Nations. Applicants who are comfortable to self-identify are encouraged to do so within their application or cover letter.</t>
  </si>
  <si>
    <t>Information Governance AnalystThe College of Physicians and Surgeons of Ontario (CPSO) is seeking a skilled Information and/or data professional to join their Information Governance (IG) Team in the role of an Analyst supporting the development, implementation and maintenance of CPSO’s information governance program and privacy strategy and processes. This key role is responsible for the day-to-day operational activities related to the information governance program, including managing security and access of information, maintaining data integrity and quality, performing data cleansing and migration and conversion of content.Your passion for information, data and technical skills coupled with your communication and analytical skills will ensure your success on this team.Successful candidates will demonstrate the following:Post-secondary education in Library and/or Information Management, Informatics and/or Information System, Mathematics/Statistics, or related field.Demonstrated experience working in an information/data-driven team.Technically savvy and proficiency with MS Office, in addition to MS Dynamics, SharePoint, and Azure DevOps.Demonstrated ability to be self-directed and contribute to a team environment.Proven ability to effectively communicate and present technical information to diverse types of audiences in an easily understood, user-friendly manner geared to the target audience.Excellent analytical and creative problem-solving skills.Ability to handle multiple tasks and responsibilities and adherence to deadlines under time pressure.Note: It is a fundamental requirement of employment at CPSO that employees reside in Ontario and can attend the College office as required. Must be able to provide proof of double vaccination.  Work environment: Hybrid, remote work with in-office attendance one day per week and/or more as needed. HOW TO APPLY: To apply, please click on the following link: https://jobs.hrassociates.ca/job/information-governance-analyst/ by November 28th, 2022. We thank all applicants for their interest, however, only those selected for further consideration will be contacted. If you have questions, you can also contact Mirjana Nevajdic at 416-237-1500 x.236 or mirjana.nevajdic@hra.on.ca. For more information, visit the College of Physicians and Surgeons of Ontario at http://www.cpso.on.ca.  The College is committed to hiring practices that support accessibility for people with disabilities, employment equity and diversity in the workplace, including provincial geographical diversity. The College actively seeks to increase its diversity by welcoming applications from equity-seeking groups, including but not limited to, Indigenous, Black and people of colour, LGBTQ2S and those living with a disability. Applicants with a disability may request accommodation at any stage of the recruitment process by contacting the Human Resources Department.</t>
  </si>
  <si>
    <t>DescriptionIn this role, you will lead the implementation and delivery of tagging and analytics solutions across arange of brand sites and apps. You will be required to work with both internal client teams andexternal agency teams to design tagging and reporting strategies, implement code in order tomeasure KPIs based on the defined strategies and deliver reports including strategic insights toimprove performance of media campaigns, website engagement, etc.What You'll Do● Set up Google and Adobe Analytics accounts, views, dashboards, filtering &amp; goalsfollowing industry best practices● Utilize Adobe Launch and Google Tag Manager set up detailed event tracking in bothGoogle Analytics and Adobe Analytics● Implement &amp; architect Google Tag Manager and Adobe Launch for various websitesetups● Compile data from various sources into cohesive &amp; comprehensive custom reports● Develop scalable &amp; repeatable Analytics implementation methods, &amp; troubleshoot &amp;solve data issues● Comprehensively present historical &amp; current performance statistics/data tostakeholders● Gather &amp; interpret analytics data relating to marketing initiatives, product performance &amp;customer experience● Assist Strategy and Media team members in building narratives from raw data● Create &amp; manage tracking codes across multiple websites &amp; platforms● Develop automated reports &amp;/or dashboards for various data inputs● Assist with multiple ongoing reporting activities● Assist in developing actionable insights from data that is collected● Assist leadership with a range of high-level tasksWhat You'll Need To BringEducation● A bachelors or advanced degree in Statistics, Economics, Business, Math, orAdvertising is preferred, or equivalent work experience● Google Analytics certification &amp; Adobe Analytics certification is preferred● Google Tag Manager / Adobe Launch certification is highly recommendedExperience● Expert level experience using Google Analytics required with advanced AdobeAnalytics experience preferred● Website tagging experience recommended using Google Tag Manager and/or AdobeLaunch● Minimum 3 years of data analysis experience in a digital advertising environment● Google Analytics 360 Experience preferred● Strong knowledge of web-based languages such as JavaScript, CSS and HTML● Ability to debug tags using JS console● Familiarity with Google Data Studio, Tableau, PowerBI, Looker and other visualizationplatforms● Prior Experience with the Google Marketing Platform including Campaign Manager,Google Ads and DV 360 will be highly regarded● Candidate should be highly proficient at compiling and presenting analytics reports toclients, particularly in extracting insights and recommending specific actions to improveperformanceSkills● Critical Thinker, you are a self-starter with strong design &amp; conceptual skills● Analytical mindset with an extreme attention to detail● Strong organizational &amp; project management skills● End-to-end understanding of web/app analytics and tagging processesPersonal Characteristics● You are highly organized and take pride in delivering high quality client-ready work● You are a self-starter who is able to effectively manage their schedule and tasks● You work well in a team environment, even when working remotely● You love data!</t>
  </si>
  <si>
    <t>DescriptionJob Summary:As the PowerBI specialist this role will be responsible for administering, supporting, and developing Power BI as a business-focused, data visualization platform, along with related technology services. You will contribute your expert knowledge of data-orientated solution design, adopting Power BI usage patterns at enterprise scale, Power BI platform / M365 tenant configuration, and development of Power BI artifacts such as apps, reports and dataflows as requested by our businesses.You will also be responsible for helping to define best practices and usage recommendations; supporting customer requests and issues; advising on solution architecture and service / product roadmaps; and growth and adoption of the overall low code platform at Ledcor.This role is a member of the Collaboration Services team which is responsible for the delivery of the corporate intranet, modern workplace platform, and low code platform at Ledcor. This role will contribute an expert skillset in one of these areas, while contributing general knowledge and capability in delivering cross-discipline capacity and support to the others.This position can be based out of British Columbia or Alberta and is a work from home position. Come join our True Blue team today by applying through the posting.ResponsibilitiesContributing to initiatives, projects, enhancements, and defects involving the collaboration platforms and services supported by the teamDeveloping solutions to improve business processes and workloads that are supported by the collaboration platformsProviding consultation and discovery services to end-users, with a focus on identifying how the collaboration platforms can help them solve business challengesProviding Tier 2/3 support and education to end-users and business stakeholdersProviding support and assistance to internal team members to ensure the successful completion and flow of workAdministering, monitoring, and configuring supported platforms and services to ensure reliability, affordability, agility, and securityAssists in the definition of objectives and initiatives for the supported platforms, including architecture and planningExplores new solutions and technologies by key vendors / partners. Engages in training and learning opportunities that contribute to team successIdentifies and establishes continuous improvement opportunities for the team, including contributing to team objective settingRequirements5+ years’ experience with data visualization / reporting technologies (minimum of 3+ years with PowerBIProven experience in software development or related technology industries5+ years’ experience with Microsoft 365 and Azure servicesExpert-level skills with Power BI and related technologiesAdvanced-level skills with Power Platform and SharePoint OnlineAdvanced-level skills in administering organizational solutions and platformsIntermediate-level skills in PowerShell scriptingStrong knowledge of full-stack software development including JavaScript, REST APIs, and NoSQLStrong knowledge of UI / UX and SDLC / DevOpsSkilled in client requirements gathering, process analysis and testingSkilled in analytical thinking and communicationAbility to develop high quality documentation and provide user trainingAbility to prioritize assignments and work independentlyWorking ConditionsOccasional event-related travel may be requiredCompany DescriptionAdditional Information:The Ledcor Group of Companies is one of North America’s most diversified construction companies. Ledcor is a company built on a rich history of long-standing project successes.But when you work for Ledcor, your experience will go far beyond the project. Do you want a career that means more? Join our True Blue team now!Employment EquityAt Ledcor we believe diversity, equity, and inclusion should be part of everything we do. We are proud to be an equal-opportunity employer. All qualified individuals, regardless of race, color, religion, sex, national origin, sexual orientation, age, citizenship, marital status, disability, gender identity or any other identifying characteristic are encouraged to apply.Our True Blue team consists of individuals from all backgrounds who contribute diverse perspectives and experiences to Ledcor. We are committed to continuing to build on our culture of empowerment, inclusion and belonging.View our full Inclusion &amp; Diversity statement here .Date PostedNov 16, 20227008 Roper Road NW, Edmonton, AB, Canada</t>
  </si>
  <si>
    <t>How We Support The Whole YouOur benefits are a good reason to come to JLL.We are committed to hiring the best, most talented people in our industry, and then empowering them with the resources and support to enhance their health, financial and personal well-being. Our underlying benefits philosophy is this: be fair to our people and provide opportunities for those who take advantage of our programs and resources to increase their personal and financial security.JLL is currently seeking an experienced Operational Data Analyst in Toronto with flexibility to work from home. We are seeking an enthusiastic analyst to join our growing team who loves data management, visualizing data (PowerBI) and process mapping.The position entails working with a diverse group of internal and external stakeholders at all levels of the organization, and will require the independent judgement to plan, prioritize, and organize a diverse workload. The Analyst will primarily provide strategic support to two large programs: Building Condition Assessment (BCA) program and Facility Improvement Program (FIP). This includes data management alignment, improve or customize reporting, inspection tool administration, process mapping and improvements.ResponsibilitiesBridge the gap between IT and the business using data analytics to assess processes, determine requirements and deliver data-driven recommendations and reports to executives and stakeholders.Work with diverse set of technologies to implement new systems, or enhancing existing implementations, and ensure sound integration with surrounding components from end-to-end operational perspective.Understand and perform Quality Assurance Building Condition Assessments and Project Justifications write ups.Site deployment to complete BCA (if needed)Manage and deliver on all BCA and FIP program requirementsSystem administration – user account management: inspection tool and Capital Planning toolData management – scrubbing, reconciliation, integration (input/output), solutioning, monthly data cadence delivery to program owners/systemsReporting experience - Excel, SQL, data visualization tools (e.g., Power BI, Tableau) Inspection tool vendor management – invoice management, roadmap improvements, troubleshooting, technical advisor, template builderParticipate in the data committee and provide advice on data improvement and cross functional alignment with other stakeholders’ processes, tools, data hierarchies and systems.Qualifications3 to 5 years of analytics experience required, ideally in the asset management/real estate sectorCompetent with Power BI Service, Power Query, DAX iUnderstanding of financial impact of building concerns (expense and capital planning)Must be able to adapt and prioritize, meeting deadlines, in a fast-paced environmentMust have excellent verbal and written communication skills Must be a critical thinker with strong organizational and analytical skills.Must have excellent interpersonal and customer service skillsMust be detail orientedThe ability to solve complex analytical problems with cost efficient methodsExperience with advanced Excel functions (e.g., vlookup, sumif, countif, textjoin, pivot table, conditional formatting) is requiredExperience with data visualization tools to build dashboards (e.g., Power BI, Tableau) is requiredExperience with SQL and one of scripting languages (e.g., Python, R) is considered a strong assetExperience in real estate industry (i.e. property/facility management, project management, corporate real estate, building inspections etc.) is an assetExperience with automation, complex data management and/or Capital Planning software or supported an application is an assetLocation: –Toronto, ONIf this job description resonates with you, we encourage you to apply even if you don’t meet all of the requirements. We’re interested in getting to know you and what you bring to the table!About JLL –We’re JLL—a leading professional services and investment management firm specializing in real estate. We have operations in over 80 countries and a workforce of over 102,000 individuals around the world who help real estate owners, occupiers and investors achieve their business ambitions. As a global Fortune 500 company, we also have an inherent responsibility to drive sustainability and corporate social responsibility. That’s why we’re committed to our purpose to shape the future of real estate for a better world. We’re using the most advanced technology to create rewarding opportunities, amazing spaces and sustainable real estate solutions for our clients, our people and our communities.Our core values of teamwork, ethics and excellence are also fundamental to everything we do and we’re honored to be recognized with awards for our success by organizations both globally and locally.Creating a diverse and inclusive culture where we all feel welcomed, valued and empowered to achieve our full potential is important to who we are today and where we’re headed in the future. And we know that unique backgrounds, experiences and perspectives help us think bigger, spark innovation and succeed together.JLL Privacy NoticeJones Lang LaSalle (JLL), together with its subsidiaries and affiliates, is a leading global provider of real estate and investment management services. We take our responsibility to protect the personal information provided to us seriously. Generally the personal information we collect from you are for the purposes of processing in connection with JLL’s recruitment process. We endeavour to keep your personal information secure with appropriate level of security and keep for as long as we need it for legitimate business or legal reasons. We will then delete it safely and securely.For more information about how JLL processes your personal data, please view our Candidate Privacy Statement.For additional details please see our career site pages for each country.For candidates in the United States, please see a full copy of our Equal Employment Opportunity and Affirmative Action policy here.Jones Lang LaSalle (“JLL”) is an Equal Opportunity Employer and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contact us at Accommodation Requests. This email is only to request an accommodation. Please direct any other general recruiting inquiries to our Contact Us page &gt; I want to work for JLL.</t>
  </si>
  <si>
    <t>Are you collaborative, resourceful and highly organized? Do you enjoy developing relationships with influential stakeholders? If yes, this could be your next opportunity!Working with one of the top financial clients this role calls for a Campaign/Data Analyst who will be responsible for end-to-end Campaign Analytics supporting the growing needs of the Customer Strategy team within the broader Marketing Analytics and Insights group. This candidate will design and execute campaigns to drive acquisition, retention, and engagement across banking products. The successful candidate must apply technical expertise in data mining &amp; customer analytics to enhance customer experience and drive entrenchment to meet business objectives.ResponsibilitiesDesign, execute and measure high impact direct to consumer marketing experimentsDrive automation and support productivity areas of focus for the Marketing Delivery teamContinuously improve campaign design and delivery by leveraging all analytical tools/techniques at your disposalExecute with excellenceManage your project pipeline to ensure agreed-upon timelines can be metProactively provide analytical guidance to key stakeholders, based on a deep understanding of the businesses, to understand and enhance marketing ROIMaintain a culture of risk management and control, supported by effective processes and sound infrastructureDesired Skill Set3 years of experience in Campaign Automation and Campaign Analytics3 years of experience in designing successful direct marketing experiments3 years of experience in campaign creation by leveraging customer data from internal data warehouses using SAS3 years of familiarity with direct marketing principlesKnowledge of SQL and SAS Experience using Agile methodologyDegree in business, science, statistics, engineering, or another quantitative disciplineNice To HaveBasic knowledge of IBM Campaign and Unica campaign management toolBeachHead is an equal opportunity agency and employer. We advocate for you and welcome anyone regardless of race, color, religion, national origin, sex, physical or mental disability, or age.Privacy Policy</t>
  </si>
  <si>
    <t>DescriptionJob Summary:As the PowerBI specialist this role will be responsible for administering, supporting, and developing Power BI as a business-focused, data visualization platform, along with related technology services. You will contribute your expert knowledge of data-orientated solution design, adopting Power BI usage patterns at enterprise scale, Power BI platform / M365 tenant configuration, and development of Power BI artifacts such as apps, reports and dataflows as requested by our businesses.You will also be responsible for helping to define best practices and usage recommendations; supporting customer requests and issues; advising on solution architecture and service / product roadmaps; and growth and adoption of the overall low code platform at Ledcor.This role is a member of the Collaboration Services team which is responsible for the delivery of the corporate intranet, modern workplace platform, and low code platform at Ledcor. This role will contribute an expert skillset in one of these areas, while contributing general knowledge and capability in delivering cross-discipline capacity and support to the others.This position can be based out of British Columbia or Alberta and is a work from home position. Come join our True Blue team today by applying through the posting.ResponsibilitiesContributing to initiatives, projects, enhancements, and defects involving the collaboration platforms and services supported by the teamDeveloping solutions to improve business processes and workloads that are supported by the collaboration platformsProviding consultation and discovery services to end-users, with a focus on identifying how the collaboration platforms can help them solve business challengesProviding Tier 2/3 support and education to end-users and business stakeholdersProviding support and assistance to internal team members to ensure the successful completion and flow of workAdministering, monitoring, and configuring supported platforms and services to ensure reliability, affordability, agility, and securityAssists in the definition of objectives and initiatives for the supported platforms, including architecture and planningExplores new solutions and technologies by key vendors / partners. Engages in training and learning opportunities that contribute to team successIdentifies and establishes continuous improvement opportunities for the team, including contributing to team objective settingRequirements5+ years’ experience with data visualization / reporting technologies (minimum of 3+ years with PowerBIProven experience in software development or related technology industries5+ years’ experience with Microsoft 365 and Azure servicesExpert-level skills with Power BI and related technologiesAdvanced-level skills with Power Platform and SharePoint OnlineAdvanced-level skills in administering organizational solutions and platformsIntermediate-level skills in PowerShell scriptingStrong knowledge of full-stack software development including JavaScript, REST APIs, and NoSQLStrong knowledge of UI / UX and SDLC / DevOpsSkilled in client requirements gathering, process analysis and testingSkilled in analytical thinking and communicationAbility to develop high quality documentation and provide user trainingAbility to prioritize assignments and work independentlyWorking ConditionsOccasional event-related travel may be requiredCompany DescriptionAdditional Information:The Ledcor Group of Companies is one of North America’s most diversified construction companies. Ledcor is a company built on a rich history of long-standing project successes.But when you work for Ledcor, your experience will go far beyond the project. Do you want a career that means more? Join our True Blue team now!Employment EquityAt Ledcor we believe diversity, equity, and inclusion should be part of everything we do. We are proud to be an equal-opportunity employer. All qualified individuals, regardless of race, color, religion, sex, national origin, sexual orientation, age, citizenship, marital status, disability, gender identity or any other identifying characteristic are encouraged to apply.Our True Blue team consists of individuals from all backgrounds who contribute diverse perspectives and experiences to Ledcor. We are committed to continuing to build on our culture of empowerment, inclusion and belonging.View our full Inclusion &amp; Diversity statement here .Date PostedNov 16, 20221930 Maynard Road SE, Calgary, AB, Canada</t>
  </si>
  <si>
    <t>Who is Allstate:Allstate Insurance Company of Canada is a leading home and auto insurer focused on providing its customers prevention and protection products and services for every stage of life. The company is proud to have been named a Best Employer in Canada for nine consecutive years and prioritizes supporting employees and fostering an inclusive, welcoming corporate culture. Allstate is committed to making a positive difference in the communities in which it operates through partnerships with charitable organizations, employee giving and volunteerism. Serving Canadians since 1953, Allstate strives to provide reassurance with its "You’re in Good Hands®" promise.Through our Employee Value Proposition, Opportunity, Flexibility, Community, Diversity and Family, we have worked hard to develop and nurture a culture where employees feel valued, experience personal growth, have career options and truly enjoy the work they do. Role Designation: HybridBenefits to joining AllstateFlexible Work ArrangementsEmployee discounts (15% on auto and property insurance, plus many other products and services)Good Office program (receive up to 400$ back after purchasing office equipment)Student Loan Payment Matching Program for Government Student loansComprehensive Retirement Savings Program with employer matched contributionsAnnual Wellness allowance to support employees with improving health and wellbeingPersonal reflection dayTuition ReimbursementWorking within the community and giving back!Job Description:Our team is growing and we are actively looking to hire Business Intelligence Analyst to join our team!Accountabilities Interpret data, analyze results using statistical techniques and provide ongoing reportsResearches business problems, define, design, and implement business intelligence reporting needs and dashboard solutions to address business problems.Collaborate with business stakeholders to identify opportunities to leverage company data and data platforms, and build optimal business case for business growthAdvise business stakeholders on how to measure their business processes or advising on good metrics to use for different processes.Identify what are the right things to measure from insight during the requirement gathering process and ensure requirements are align with what insights are business stakeholders looking for.Develop and implement databases, data collection systems, data analytics and other strategies that optimize overall efficiency and improve qualityAcquire data from primary or secondary data sources and maintain databases/data systemsIdentify, analyze, and interpret trends or patterns in complex data setsFilter and clean data by reviewing reports, and performance indicators to locate and correct problemsWork with management to prioritize business and information needsLocate and define new process improvement opportunitiesQualifications:2 - 3 years’ experience as a Data Analyst with advanced level of computer skills, including Excel, Access, SQL, SAS, Tableau, or BI Reporting.Excellent verbal and written communication skills, effective negotiation and problem solving skillsAbility to work in a team as well as independentlyIdentifying new ideas, techniques and opportunities for improving effectiveness, performance and productivity is essentialKnowledge of statistics and experience using statistical packages for analyzing datasetsAdept at queries, report writing and presenting findingsAllstate Canada Group has policies and practices that provide workplace accommodations. If you require accommodation please let us know and we will work with you to meet your needs.</t>
  </si>
  <si>
    <t>Location: Winnipeg/TorontoDivision: IGM MarketingIGM Financial Inc. is one of Canada's leading diversified wealth and asset management companies with approximately $271 billion in total assets under managements. The company provides a broad range of financial planning and investment management services to help more than two million Canadians meet their financial goals. Its activities are carried out principally through IG Wealth Management, Mackenzie Investments and Investment Planning Counsel.Under IGM Financial’s unique business model based on leading brands and multi-channel distribution strategy, we’re IG Wealth Management. For over 90 years of business we have grown to become one of the largest most respected companies in Canada. We are a leader in providing the best advice, experience and outcomes for our clients, personalized throughout their lifetime. We are proud to be recognized among Canada’s Top 100 Employers (2022) by Mediacorp Canada Inc. in the national ranking for our focus on supporting employees with a number of initiatives that promote personal wellness with a focus on four key pillars including physical, mental, social and financial health. This is your opportunity to build a career with a leading organization where you can learn, grow and thrive both professionally and personally.At IG Wealth Management, our vision is to inspire financial confidence.You will join a team that that believes our success starts with the success of our clients, while working together as a team to realize our greatest potential. You will join a team that strives towards excellence while developing and sharing skills and knowledge. You can make a difference for our clients, the world around us and be part of a team that cares. We are dedicated to offering a hybrid work environment when applicable.IG Wealth Management is a diverse workplace committed to doing business inclusively - this starts with having a representative workforce! We encourage applications from all qualified candidates that represent the diversity present across Canada – including racialized persons, women, Indigenous persons, persons with disabilities, 2SLGBTQIA+ community, gender diverse and neurodiverse individuals, as well as all who may contribute to the further diversification of ideas.Position SummaryThe Analyst, Data Science is responsible for delivering business insights through the thoughtful application of Data Science approaches. They will collaborate with business experts and other members of the Data Science and Data Services teams to develop datasets, models and reports which will be used to execute on strategic objectives and evaluate business performance. Duties IncludeCollaborate with internal clients/departments to design and develop Data Science models for operational and strategic initiatives. Leverage knowledge of Data Science to make thoughtful modelling decisions. Expertise includes both supervised and unsupervised approaches and leveraging cloud infrastructure. Work with data from multiple sources and databases including structured and unstructured data. Work closely with relevant teams to make sure models/solutions can be deployed. Develop, test, implement, document and continuously improve models as a member of the Data Science team.  QualificationsComputer Science or similar undergraduate degree with minimum 4 months in a Data Science role; or a Masters degree in a relevant field (Math, Statistics, Computer Science, etc.) Experience leveraging Python for Machine Learning Experience with SQL Experience with Tableau, and/or other BI and reporting tools is a plus Exposure to cloud technologies (e.g. AWS, Azure, Google Cloud) is a plus Ability to synthesize data into concise and logical summaries, reports, presentations, dashboards Excel at critical thinking – conceptualizing, analyzing, synthesizing, and evaluating Experience with Spark, HQL, MapReduce, Hive, Hbase, noSQL related Big Data technologies is a plus Ability to work effectively as a member of a team Please visit our career page by clicking on the following link: https://www.ig.ca/en/careersFor internal applicants, please share with your current leader your intent to apply to the role. In the event that you are selected, please let your Talent Acquisition Partner know if you are in any other internal recruitment process.We thank all applicants for their interest in IG Wealth Management; however only those candidates selected for an interview will be contacted.IG Wealth Management is an accessible employer committed to providing a barrier free recruitment experience. If you require an accommodation or this information in an alternate format at any stage of the recruitment process, please reach out to the Talent Acquisition team who will work with you to meet your needs.</t>
  </si>
  <si>
    <t>Role DescriptionThe Data Management Office at QuadReal is a global function dedicated to producing, promoting, and supporting the availability of the quality information required to create data as a competitive advantage. Reporting to the Records Management Lead , the Data Analyst role is responsible for supporting the Data Management program by analyzing data and content across the enterprise, business functions, and within IT projects; and streamlining migration activities by providing technical capabilities to profile and automate enrichment of data, and report to the business, IT and Data Management teams. The Data Management Office is in a building phase and is seeking talent committed to innovation and change. Key responsibilities of this role include operating in a cross functional, team-based environment to deliver timely analysis, reports and migration plans for content and data; supporting the business and technical teams throughout configurations, loads, and tests; liaising with vendors, training and supporting business and IT staff; supporting data management initiatives; participating as data representative in IT projects; and drafting and coaching on appropriate policies and standards.ResponsibilitiesData and Content Analysis and Migration Preparation:Working with data from multiple enterprise applications, including SharePoint, MS Teams, YardiGathering business requirements from end users to complete ECM requirementsAbility to extract business data rules from business people, through relationship and credibility building and explaining data to non-technical stakeholdersProviding data in consumable formats and automating data cleanup to the extent possibleUsing analysis reporting tools to visualize project data such as Power BIBuilding and testing the scripts to automate enrichment / remediation on data and metadata (using SQL, Excel, or similar)​Load Testing and Remediation:Planning and executing QA activities throughout the load activities​Working with Business SMEs to build the migration mapping file / load sheets, including filling in the correct metadata, identifying gaps, and resolving data issues ​Working with SharePoint Technical Specialist and Business Analysts to configure testing environments such as SharePoint and M-files.Working with project teams to configure production environments​Production Migration and Maintenance:Training and leading contractors/interns on analysis and migration activities to scale for large projectsAbility to support multiple projects, prioritize and manage deliverables to stakeholdersCreating and designing documentation for solution configurations and migration automation​Supporting and monitoring migration to production Supporting creation and delivery of end-user trainingProcessing and solving operational issues and requests in a ticketing system such as Service nowExperience and QualificationsBachelor’s degree in Business, Computer Science, Library Sciences or equivalent1-3 years in technical or data analyst roleProficient in data wrangling and building automation scripts using SQL, Excel, or similarExperience with Data Visualisation, such as Power BIExperience with defining and supporting data-cleansing initiatives Ability to identify and remediate data issues through root cause analysis Knowledge of Enterprise Content Management, Data Governance, Data Quality Management and Information Security principles  Experience with enterprise content management platforms, such as SharePoint, M-Files, Content Server, or similarCustomer-focused, team player with a desire to continuously improve current business practices/processes Must be able to effectively communicate with internal and external stakeholdersDemonstrated ability in technical and business writing, particularly process documentationCustomer-focused, team player with a desire to continuously improve current business practices/processes Ability to see the big picture and create sustainable processes to address gaps within the businessEnthusiastic, self-starter that requires minimal direction and delivers with integrityQuadReal Property Group will provide reasonable accommodation at any time throughout the hiring process for applicants with disabilities or for those needing job postings in an alternate format. If you require accommodation, please advise the Talent Acquisition team member you are working with and include the following: Job posting #, your name and your preferred method of contact.</t>
  </si>
  <si>
    <t>ABOUT CORPAYCorpay is part of the FLEETCOR (NYSE: FLT) portfolio of brands. A payments leader serving customers across the globe. Powering the next generation of payments. We enable businesses to spend less through smarter payment methods. Our solutions are backed by a strong balance sheet, secure infrastructure, and best-in-class customer support. Handling over a billion payment transactions across 145+ currencies in over 100 countries. Today, business is moving at an accelerated pace. Automation is the norm and digital connectivity is the goal. For many businesses, this speed creates complexity and their current payment processes can’t keep up. We help businesses, big and small, transition from older payment methods to smarter ones. ROLE FUNCTION AND PURPOSE  The Business Intelligence Analyst works closely with the business and senior management and is a major contributor to the reporting deliverables, including budgeting, forecasting, modeling, and analysis, documenting business process, and preparing presentations on highlights, lowlights, business risks and opportunities. The need to comprehend business concepts and ensures these concepts are delivered as meaningful analytics. The analyst facilitates concept gathering and assists in the creation of new reports or analytics. Additionally, the analyst should be experienced with problem-solving and conflict resolution to help identify, communicate and resolve issues. KEY DUTIES AND RESPONSIBILITIES  The primary purpose of this position is to support the Manager, Business Intelligence and Senior Management in terms of financial business analysis and sales performance analysis with a view to deliver enhanced business performance. Assist in preparing Annual Revenue Budget – Management presentations, Global, Regional and Sales Revenue budgets at the detailed level also setting up sales individual’s targets and portfolio allocations.Assist in preparing regular Revenue Forecasts – Quarterly, monthly and Flash Forecasts Support distribution of accurate and timely Financial and Business reports that enhance the decision-making abilities for the Senior Management and Executives.Perform in depth revenue analysis and commentary on key variances vs. targets and vs. prior months/years and recommendations for future action as required.Support monthly operational reporting and collaborate with stakeholders to determine key regional highlights, lowlights and accomplishments for review and discussion at the weekly/monthly management meeting with Regional VPs.Evaluate and report on risk adjusted revenue to identify risks and opportunities with respect to business performance.Prepare modeling to assess ROI &amp; also conduct due diligence for new partnerships evaluation.Prepare and update regular client profitability analysisSupport modelling, analysis, tracking and reporting of sales incentives programsIdentify and recommend improvements to current processes, with a focus on increased efficiencies and enhanced value-added analytics.Introduce new analysis, reporting formats, etc. which provide insights to different areas of the business.Provide support on variety of integration and other business projects central to improving internal processes.Maintain BI Documentation for all processes EXPERIENCE AND KEY SKILLS1-2 Years’ Experience in Financial Planning and Business AnalysisBusiness Intelligence tool(s) (e.g., Tableau, Power BI – Business User for analytics &amp; not a developer)Microsoft Office- Excel, Word, Visio, and PowerPointMicrosoft SQL, VBA / Macros (not a requirement)Basic Knowledge on CRM (Salesforce) ABILITIES AND ATTRIBUTESProven ability to conduct and/or support multiple projects with minimal oversightStrong communication and listening skills to elicit detailed requirementsProven analytical skills in defining business needs for reporting requirementsDemonstrable excellent written and verbal communication skills with business and technical stakeholders as well as internal and external usersStrong attention to detail and accuracyAbility to work independently and to prioritize work with a focus on deadlines and deliverablesProven record as a strong team player in a fast-paced, deadline driven, diverse environmentExceptional interpersonal skills#INDINTApply Now</t>
  </si>
  <si>
    <t>Founded in Vancouver, Canada in 2003, Plenty of Fish is one of the early pioneers in the online dating industry, with one of the largest and most diverse communities of singles. We're one of the top revenue-driving brands in the Match Group (comprised of Tinder, OkCupid, Hinge and Match.com).We love what we do, and have the ability to profoundly impact millions of people's lives every single day! Named one of BC’s Top Employers, Plenty of Fish is a great place to build friendships, grow your career and collaborate with top talent. Please Note: You will have a choice of being Remote-First  OR Office-First.Remote First: You will have the option to work remotely from the Lower Mainland area, but we will require attendance at our downtown Vancouver office for quarterly planning, important meetings, team get togethers or whenever you want to "crew together" IRL!Office-First: You will get to work from our downtown Vancouver office 2-3 days a week, and work remotely the remainder of the week!So, what will you do?Evaluate and monitor the health of our product and member ecosystem on a daily basisExplore &amp; understand our members’ behaviours at a deep level to inform strategic and tactical decisionsValidate the impact of our product initiatives and changes on our membersBe the go to analyst for the POF Executive teamCoach &amp; mentor other data / product analysts on the teamYou'll be a match for this role if you have..5+ years of hands on experience leading exploratory analysis and driving insights for a social and/or marketplace product autonomously5+ years working directly with and communicating to members of the executive teamStrong business acumen with a deep understanding of freemium monetization and business modelsEffective collaborator and influencer across teams and functionsWe would love to hear from you, even if you don't match 100% of the requirements**Why Plenty of Fish? We're recognized as one of BC's Top Employers 2022 ! We have remote options available Generous vacation, flex days, professional development days RRSP matching, and employee stock purchase plan Professional development budget and unlimited access to Udemy from the day one Match Group mentorship program Parental leave top up and fertility preservation benefits Extended health &amp; dental benefits from day one Corporate ClassPass membership and other wellness benefits And many more on our careers pageOur Values Be Proud - It's OUR sh*p. Own it! We see challenges as opportunities and take action.  Make Waves - We profoundly impact millions of peoples' lives, every day. Dive Deep - We empathize with our members and use data to surface smart decisions. Crew Together - We love what we do, have fun, and are free to be ourselves.Want To Dive Deeper?LinkedInGlassdoor We’re committed to creating an equal and inclusive environment; we welcome all crew (and prospective crew) members regardless of race, colour, ancestry, place of origin, political belief, religion, marital status, family status, physical or mental disability, sex, sexual orientation, gender identity or expression, age, conviction unrelated to employment, or any other prohibited ground of discrimination recognized by applicable law. Plenty of Fish is proud to be an equal opportunity workplace.</t>
  </si>
  <si>
    <t>Hope you are doing well !!!Iris's Fortune 500 direct client is looking for Business Systems Analyst. Please find below Job description and share me your updated resume at Jatin.gupta@irissoftware.com.Position: Business Systems AnalystLocation: Toronto, ONDuration: Long Term Contract · Business Systems Analyst· Skills to have:banking exp is must· Writing SQL scripts· Data mapping &amp; analysisGood Communication</t>
  </si>
  <si>
    <t>The Data Analyst is responsible for collating, processing and presenting data on, and able to run/lead projects of low to medium complexity. This individual is tasked with the processing of relevant data and delivery.Job ResponsibilitiesResponsible for the process of relevant data, the compilation and presentation of data deliverable, the appropriate quality control of data and deliverables, and the production od data deliverables.Responsible for all aspects of the project related to relevant data acquisitions and delivery.Perform administrative duties that include maintaining accurate and complete survey logs.Work closely with the project manage to provide exceptional service to clientsAnalyze and process sensor data and digital images from the collection vehicles for delivery to clientsUpdate and maintain Salesforce tracking Job Requirements18 years of age4-year degree in Engineering, Math, Computer Science, Analytical Geography or similar technical degree preferred.Legally authorized to work in the United States, without restrictions1-5 years of relevant experiencePavement management and/or consulting knowledge would be an assetCompetent with the Vision software suiteExperience with SQL, MS SQL Server, MS Access and ExcelExperience with FME is an asset Our Contribution to You (Growth Opportunity)At Fugro, we focus on helping our employees at every level of their career identify and use their strengths to contribute their best every day. From entry-level team members to senior leaders, we believe there is always room to grow knowledge and experiences. We support our employees by offering opportunities to sharpen their skills through on the job learning experiences to formal internal and external development programs.BenefitsAt Fugro, we value people and offer a broad range of benefits which include, but are not limited to A choice of Medical, Dental and Vision Plans.Basic Group Life and AD&amp;D Insurance.Short-term and Long-term Disability.A broad range of voluntary benefits.An employer matched, 100% vested 401(k) Plan. Disclaimer For Recruitment AgenciesFugro does not accept any unsolicited applications from recruitment agencies. Acquisition to Fugro Recruitment or any Fugro employee is not appreciated.</t>
  </si>
  <si>
    <t>OverviewAs a Business Analyst you will be responsible for supporting the achievement of PMA’s business goals by providing analysis and insights through the development and use of various productivity tools. Department:  Business Analytics Reports To:  Director of Business Analytics &amp; Data SystemsResponsibilities Understand National and Provincial strategies and objectives  Provide fact-based, analytic support to the Senior Director of Business Analytics and to the sales teams as needed  Facilitate the production of actionable channel and brand information  Delivery on monthly performance analysis identifying specific regions/brand/channel issues opportunities to be actioned  Produce pre and post analysis on trade promotions with recommendations to trade development  Delivery of actionable market intelligence to trade development team .  Assist in developing key initiative metrics and target accounts  Provide channel performance assessment and appropriate tracking documents for key initiatives as required.  Prepare market update for key accounts, quarterly  Lead special projects as needed  Manage and maintain Customer SAP database for Spear and Mobility tools  Prepare weekly and monthly reports for the Consignment Wines division  Assist with the development of monthly and quarterly sales meeting content as needed Qualifications Bachelor’s Degree in business or finance  2 years’ experience in sales or marketing in CPG company or Beverage Alcohol company  Proficiency in MS Office with advance Excel skills in Pivot Tables, Vlookups, Sumifs, Countifs required  Sound knowledge of business planning and/or market research processes  Knowledge of brand activation best practices  Strong analytical and business planning skills  Good multi-tasking and organizational skills  Good communication and presentation skills  Basic trade development knowledge (supplier, sales, customer, brand) in CPG or Beverage Alcohol industry  AC Nielsen experience as asset  Beverage alcohol experience an asset The successful candidate will be required to submit proof of full vaccination in accordance with PMA’s Covid-19 Vaccination Policy. Accommodation requests for new hires that are unable to get vaccinated against COVID-19 for a reason related to a protected ground pursuant to the applicable human rights legislation may request accommodation by providing proof of required accommodation.</t>
  </si>
  <si>
    <t>We are looking for an experienced analyst to help found the Data Governance team supporting our Quality Verification organization located at the EA Vancouver Studio (onsite, remote, or hybrid). You will be reporting to the Director of Data Governance for QVS. Well-regulated data is important to EA's success in ensuring high-quality game experiences for our players.You will work with multiple teams of engineers, data analysts, and business analysts across internal, upstream, and partner organizations. You will manage cataloguing efforts, develop our quality assessment framework, and coordinate all governance projects.Responsibilities (may Include But Are Not Limited To)Assist in implementing a local data governance program.Develop and implement data standards to ensure quality and interoperability through the creation of data dictionaries, classifications, and standard measurement procedures.Collaborate with departmental partners and work to assess and improve uniform data standards.Advocate for using data to lead decision-makingWork with teams to ensure complete data lineage is captured and managed for our data of record.Manage the team member communications to ensure all data consumers are aware of the data governance strategies and any changes.Knowledge With The FollowingOversight of data management goals, standards, process, and technologiesExperience with data quality and data governance best practices.Understanding of data privacy and regulatory aspects of data governance.Coordinate the resolution of data integrity gaps by working with the business owners and partners.Experience working with a metadata cataloguing, categorizing and lineage platformExperience in documenting data requirements, data strategy and data rules (standardization, cleanse, and validation)Evaluate risks and provide recommendations / solutions in a timely mannerTechnical SkillsExperience with data manipulation. Knowledge of data models, data modelling, data profiling and working in diverse data environments.Experience with Agile project management principles and tools.Experience with Confluence or similar collaborative tool.Experience with BI software (e.g. PowerBI, Tableau, etc.).Experience with Alation cataloguing tool.Requirements5+ years of relevant experience in a data governance, business analytics, business intelligence, data engineering or comparable role or equivalent combination of education and experience.2+ years of relevant experience in defining and implementing data governance best practices, documenting data flow &amp; process mapping, or a data steward responsible for the metadata management, data quality, indicators, etc.Experience working with a metadata cataloguing, categorizing and lineage platform.</t>
  </si>
  <si>
    <t>DescriptionOur client is looking for an Intermediate Business Systems Analyst to support data integration activities as part of the Pooling program. This is a 6 months contract to start with the chance of extension after.This program was formed to create investment vehicles that facilitate centralized investment of private and alternative assets (Infrastructure, Credit, Private Equity, etc). The Data Management team is seeking such an individual to integrate core investment data from external systems into the Enterprise Data Management platform.Requirements5+ Years of Business Analysis ExperienceData System Experience (Eagle PACE / Markit EDM / GoldenSource / Snowflake )Capital Market and Investment Management Data ExposureProficiency in SQLRequirementssqldatasystemssnowflakeEDMeaglePACEgoldensourcedataintegrationRobert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roles.Robert Half puts you in the best position to succeed by advocating on your behalf and promoting you to employers. We provide access to top jobs, competitive compensation and benefits, and free online training. Stay on top of every opportunity – even on the go.Questions? Call your local office at 1.888.490.4429. All applicants applying for Canadian job openings must be authorized to work in Canada.© 2022 Robert Half. By clicking “Apply Now,” you’re agreeing to</t>
  </si>
  <si>
    <t>At Day &amp; Ross, you’ll go far. Day &amp; Ross is one of Canada’s largest transportation companies, serving top brands across North America. We got our start hauling potatoes in 1950, and now we have a team of more than 8,000 employees, drivers and owner operators.  We believe our people are our greatest strength – and we treat them like family. For over a decade, we’ve been recognized as one of Canada’s Best Managed Companies, and we have been named a Top Company for Women to Work for in Transportation every year since 2018. Our industry recognition is a testament to the family values we share with our parent company, McCain Foods Limited. About the RoleData EngineerFull-timeFredericton, NB The Data Engineer, formerly known as an ETL developer will be responsible for transforming data into easilyanalyzable formats required to enable conversion between applications and build statistical models andanalytics. The Data Engineer will play an active role throughout the entire engagement cycle, specializing intechnical data solutions including ETL, data warehousing, dimensional models, in-memory architectures,master data/reference management, and business analytics. How You’ll HelpCollects, stores, processes, analyzes large datasets, and choose optimal data solutions for these processes.Work within the data team to execute and test ETL procedures.Develops efficient queries to retrieve appropriate datasets from relational databases.Designs, implements and maintains performance of reliable data pipelines that feed various analytics applications for both structured and unstructured data.Works alongside key stakeholders within team to put data processing solutions into production environment.Work with infrastructure, network, and cloud teams to ensure the platforms are operating within the necessary policies and controls as outlined for organization.Develop API modelling within our pipeline and helping to build algorithm. Your Skills &amp; Experience:Bachelor’s Degree in Computer Science or another related field.2+ years of development experience in ETL.Hands on Sequel Database experience.Previous transportation industry experience would be considered an asset.Ability and experience working with relational and non-relational database and write SQL queries to extract and import disparate data from source systems, and data manipulation based on requirements.Strong working knowledge, skills, and ability to become proficient Power BI, Snowflake, Oracle FAW.Ability to build and optimize data pipelines and datasets using an ETL tool such as Informatica PowerCenter, IICS, SSIS, Talend or similar technology for batch and/or real-time data.Ability to translate business rules and requirements into data objects, produce associated data models and source to target mappings and write abstracted, reusable code components accordingly.Ability to communicate technical requirements to non-technical stakeholders and translate functional requirements into technical specifications.Tech savvy, and have strong problem-solving and analytical skills.Strong analytical and critical thinking skills.Good working knowledge of Agile development processes and procedures. To apply, visit the Careers page on our website at dayross.com.Day &amp; Ross is committed to applying the foregoing in accordance with applicable human rights legislation. The Company will review all requests for reasonable accommodation based on a protected ground on a case-by-case basis, and such accommodations will be granted where they do not cause Day &amp; Ross undue hardship or pose a direct threat to the health and safety of others. Please note that the successful candidate will be asked to provide reference and criminal background checks prior to employment. Only those candidates selected for an interview will be contacted. As a federally regulated employer, Day &amp; Ross fully supports the principles of employment equity and encourages all qualified members of the designated groups to apply.</t>
  </si>
  <si>
    <t>DescriptionTiger Analytics is a fast-growing advanced analytics consulting firm. Our consultants bring deep expertise in Data Science, Machine Learning, and AI. We are the trusted analytics partner for multiple Fortune 500 companies, enabling them to generate business value from data. Our business value and leadership has been recognized by various market research firms, including Forrester and Gartner. We are looking for top-notch talent as we continue to build the best global analytics consulting team in the world.We are looking for a Data Engineer to join our growing team of analytics experts. The right candidate will have strong analytical skills and the ability to combine data from different sources and will strive for efficiency by aligning data systems with business goals.RequirementsBachelor’s degree in Computer Science or similar field4+ years of experience in IT industryExpertise in Python and PysparkExperience building data pipelines using Azure stack2+ years of experience using Apache sparkGood working experience on Delta Lake and ETL processingProficiency in SQL queriesPrior experience of working in a Unix environmentExperience in harmonizing raw data into a consumer-friendly format using Azure DatabricksExperience extracting/querying/joining large data sets at scaleExperience building data ingestion pipelines using Azure Data Factory to ingest structured and unstructured dataExperience in data wrangling, advanced analytic modeling is preferredExposure to Java is a plusStrong communication and organizational skillsBenefitsThis position offers an excellent opportunity for significant career development in a fast-growing and challenging entrepreneurial environment with a high degree of individual responsibility.</t>
  </si>
  <si>
    <t>Take your Career to the next Level with MEVOTECH.We are constantly challenging the status quo and raising the bar allowing employees to make an impact within the company.Mevotech is a trusted North American leader in the engineering and design of driveline, steering and suspension aftermarket auto parts. Fueled by innovation, our brands feature engineering improvements for maximum durability and performance, as well as time and labor-saving enhancements that drive bay efficiencies and increase shop revenues. Our in-house engineering team always has the Professional Technician in mind, and we are continuously optimizing part design for durability and ease of installation.Job SummaryReporting to the Senior Manager, Reporting and Application, the Analyst – Business Intelligence will work as part of the Analytics team at Mevotech and will be responsible for the development and implementation of Analytics solutions as well as troubleshooting existing solutions. The role will also work with, and support, super users in various departments as part of the rollout of self-service reporting.Key Duties And ResponsibilitiesImplement BI solutions and improvements to existing BI solutions, using the Business Intelligence life cycle, to enhance Mevotech’s analytics portfolio.Build and develop Modern ETL process to produce tested, documented, and defined data models.Troubleshoot data integrity issues and other analytics related issues.Liaise with departmental users to translate their needs into requirements which can be actioned.Support the BI Super-users in other departments in the use of data sets and tools.Consider cross-functional impact and the objectives of initiatives when scoping projects and delivering solutions.Qualifications, Skills, And Educational Requirements5+ years relevant experience with T-SQL &amp; SQL Server5+ years relevant experience with SSIS &amp; SSAS (Microsoft Integration &amp; Analysis Services)2-3+ years relevant experience with TableauExperience with Data warehouse analysis and design, with knowledge of data warehouse methodologies and data modeling.Experience with tier-one applications, databases, and data warehouses, such as ERPs, Snowflake, etc.Good written and oral Communication SkillsAptitude for learning new technologiesExcellent analytical skills to evaluate information/data from multiple sources, reconcile and make data-driven recommendationsAbility to keep up in a fast-paced environment with conflicting and changing priorities and deadlineDiversity And InclusionDiversity at Mevotech means that as an organization we provide the opportunity to employ a diverse team of people reflective of the communities in which we operate.Accessibility AccommodationsMevotech provides accessibility accommodations during the recruitment process. Should you require any accommodation, please let us know and we will work with you to meet your needs.</t>
  </si>
  <si>
    <t>Job Title: Data Engineer with AI &amp;ML Analytics PlatformsLocation: TorontoJob DescriptionWe are looking for a highly capable AI &amp; ML Platform engineer to optimize our machine learning systems. You will be evaluating existing machine learning (ML) processes, performing statistical analysis to resolve data set problems, and enhancing the accuracy of our AI software's predictive automation capabilities. To ensure success as a machine learning platform engineer, you should demonstrate solid data science knowledge and experience in a related ML role. A first-class machine learning engineer will be someone whose expertise translates into the enhanced performance of predictive automation software.AI &amp;ML Analytics Platforms Engineer Responsibilities: PreferredWork with Data Science and BUs to define solutions for institutionalizing data-driven decision-making in a cost-effective and scalable manner.Focus on driving analytical outcomes and impacting the Machine Learning and AI ecosystem.Experience in AI/Client platforms such as AWS Sagemaker.Focus on optimizing existing systems, building infrastructure, and eliminating work through automation.Influence application and security architecture and design across multi and hybrid cloud platforms.Peer-reviewing infrastructure-as-code (AWS Cloud Formation, Python, Terraform, or similar).Partnering with application and infrastructure teams to develop reusable cloud patterns.Deployment and troubleshooting of infrastructure code.Identify opportunities to build self-service capabilities and automate infrastructure and application deployments.Develop tools and best practices for platform development, developer productivity, automation (MLOps, CI/CD, A/B testing), and production operations.Design, develop and deliver critical components, frameworks, services, and products using AWS Sagemaker, Lambda, and container technologies in AWS.Develop processes, model monitoring, and governance framework for successful client model operationalization.Define standards for engineering and operational excellence for running best-in-class client platforms and continue to improve client platforms to keep up with the latest innovations.Assist in gathering and analyzing non-functional requirements and translating that into technical specifications for robust, scalable, supportable solutions that work well within the overall system architecture.Required Skills3+ years of Strong Python data structures, OOPS - software implementation experience3+ years of experience on SQL and RDBMS concepts3+ years managerial experience2+ Years of data engineering and ETLStrong ML pipeline tools, concepts (ML project lifecycle)Basics of data science, ML model conceptsAbility to debug, optimize code, and automate routine tasks.A systematic problem-solving approach coupled with a strong sense of ownership and drive.Ability to quickly pickup and understand where newly released cloud services would be appropriate for business applications.Experience with infrastructure automation tools such as Puppet, Ansible, Cloud Formation, or Terraform.Working knowledge of pipeline-automation tools such as Jenkins, Code Pipeline, ADevOps, or other comparable tools.Experience using Git for source control management.Ability to proficiently write code in Python, Node.js, Bash (shell), PowerShell, or other similar languages.Experience using Docker within container orchestration platforms such as AWS ECS, EKS, Google Anthos, or others.Comfortable in a Linux environment.Understanding of foundational AWS services such as VPCs, EC2, S3, RDS, Auto Scaling Groups, CloudWatch Logs, etc.In-depth knowledge of security and IAM within AWS, including the management and operation of Security Groups, KMS Keys, VPC NACLs, and SCPs.Familiar with ETL and big data tool-chains such as those provided by Hadoop/EMR, Glue, Spark, Impala, or similar.Understanding of relational database systems and how applications interact with them.Familiarity with one or more log and event aggregation and monitoring systems such as Splunk, Elasticsearch (ELK), Prometheus, Grafana, or similar.</t>
  </si>
  <si>
    <t>At Liberty, we hire passionate people who care about doing the right thing for our customers. We are entrepreneurial, creative, and outcome-focused. Here, your natural talent and achievements will flourish in an inclusive environment of teamwork, trust and continuous learning. We are always pursuing excellence to exceed our ambitions goals, rewarding both the goal outcome and how we achieve it. PurposeThe Senior Analyst, Cyber Governance provides a key role in delivering shared cybersecurity services throughout the enterprise. The role is focused upon the sustainment, improvement, and delivery of cyber services and capabilities including cyber policies, cyber risk reporting, security training and awareness, cyber compliance tracking and reporting, and other cyber governance focused services.AccountabilitiesAssess policy needs and collaborate with stakeholders to develop policies to govern cyber activities.Review existing and proposed cyber policies with stakeholders.Draft, staff, and publish cyber policy.Monitor the rigorous application of cyber policies, principles, and practices in the delivery of planning and management services.Provide policy guidance to cyber management, staff, and users.Develop or participate in the development of standards for providing, requesting, and/or obtaining support from external partners to synchronize cybersecurity services.Develop Key Performance and Key Risk Indicators based upon data derived from enterprise IT and cybersecurity metrics.Lead in assessing, developing, and delivering reports on the enterprise’s security posture and compliance with applicable standards and frameworks including: NIST CSF, NIST 800-53, SOC 2 Type II, PCI-DSS.Monitor and manage the policy exception process, further maturing existing processes and working with stakeholders in automating appropriate areas.Lead organizational outreach and promotion of cyber awareness campaigns, including partnering with public sector and industry partners.Support people managers in identifying and planning for dedicated training and individual development plans for personnel providing cybersecurity services.Build, strengthen, and sustain key relationships with stakeholders across the enterprise including Information Technology, Enterprise Risk &amp; Resiliency, and regional leadership.Assist cyber risk owners by monitoring and identifying early trends based off Key Risk Indicators and Key Performance Indicators.Assist in the performance of Business Impact Assessments (BIA) and Privacy Impact Assessments (PIA) when technical and cyber requirements are present.Education and ExperienceAt least 6 years of professional experience in a cybersecurity risk or governance function.Extensive experience with RSA Archer or an equivalent E-GRC platform (at least two years).Strong and demonstrated documentation skills.At least one (1) Applicable industry certifications (CRISC, CAP, etc.).Effective and proficient communication and presentation skills (written and oratory).Experience in tracking and reporting upon effective enterprise cyber KRIs and other KPIsOur purpose is sustaining energy and water for life, and it is demonstrated in everything we do as a business and as an employee team.Our MissionWe provide safe, secure, reliable, cost-effective and sustainable energy and water solutions. Our mission is how we create value as an organization—it is what drives us every day to fulfill our purpose.Our VisionWe better the lives of our customers and communities. Our vision is what we see as possible. It's where we aspire to be, what we want to achieve and how we'll make animpact. It guides and keeps us on the right path as we work towards fulfilling our purposes.Our Guiding Principles Customer Centric  Integrity  Entrepreneurial  Teamwork  Owner mindset  Outcome focused  Continuous learning What We OfferCollaborative environment with a genuine flexible working policyShare purchase/match planA defined contribution savings planLeadership Development ProgramVolunteer paid days offEmployee Assistance ProgramAchievement fundFree parking, including free electrical chargingGroup Benefit PlanVariety of Health &amp; Wellness programsDiscount and Perks programWe are focused on building a diverse and inclusive workforce. If you are excited about this role and are not confident you meet all the qualification requirements, we encourage you to apply to investigate the opportunity further.We are an equal opportunity employer and value each person's unique background, diversity, experiences, perspectives and talents.Full participation of all employees in a safe, healthy and respectful environment is key to individual and company success. We are committed to fully utilizing the abilities of all our employees and expect each of our employees to honour this commitment in their daily responsibilities.</t>
  </si>
  <si>
    <t>Four Seasons Hotels and Resorts is a global, luxury hotel management company. We manage over 120 hotels and resorts and 47 private residences in 47 countries around the world and growing. At Four Seasons, we are powered by people and our culture enables everything we do.Central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do.The Data Engineer is a technical expert with certifications and experience developing and operating Microsoft Azure and Microsoft Power BI platforms. The role includes both Azure Data Engineer and Power BI Reporting Engineer responsibilities. This role is the technical lead responsible for Four Seasons Azure environment and infrastructure and the enterprise portfolio of Power BI dashboards and reports. This includes but is not limited to ADL, ADF, Synapse, Data Bricks, AAS, Cosmos DB, Function Apps, Logic Apps etc.The Data Engineer has expert understanding of Business Unit data and end-to-end data lineage across all pillar business functions (Finance, Sales, Revenue Management, Marketing, Analytics and more).The role includes supervision of the technical Run Operations team and contractors in steady state operations – including but not limited to chairing daily Operations stand-up, daily work prioritization, performance and environment monitoring, issue and outage triage, and oversight of resource addressing many ServiceNow queues.The role also includes technical delivery -- providing key Four Seasons source, infrastructure, data model and KPI knowledge to technical delivery teams as required – and leading their own BI projects and projects teams through requirements collection, build phases, promotion and hyper-care.The candidate is capable of working with all levels of the organization with an ability to understand and translate institutional knowledge into technical solutions. Strong service, communication and problem-solving skills are key.This role is based in Four Seasons Hotels and Resorts, Toronto Corporate Office, reporting to the Senior Director, Data Engineering. This role involves interactions with internal executive stakeholders and project sponsors, technical operations and development teams, Four Seasons IT, end-user contracts and product users. Externally, the role will interact with various Four Seasons partners and data solution providers, Microsoft, and source data providers.Key ActivitiesData Engineering Lead daily technical BI Operations teams through daily issue and ticket triage, work prioritization and escalation processes.Maintain and monitor the Enterprise BI Production, Dev and Test environments to ensure high availability and quality including proactive performance and resource managementSupervise and implement after hours environment maintenance and outage/incident resolution, including communications with vendor partners as required.Proactive oversight of 12+ ServiceNow queues aggregating tickets globally for service levels and opportunity for improvementParticipate in the design and implementation of BI solutions including the design of the Azure data warehouse, building data pipelines, data modelsParticipate in technical teams through design, build, and implementation for best of breed BI infrastructure for Four Seasons, evaluating toolset and environment options, ensure solutions are built for high availability, accuracy, usability and performance.Ensure successful defect resolution with technical and business during unit testing phasesData Dev Ops expertise and analysis leadership including incident reports, root-cause analysis, assess alternatives, and lead self, small teams and larger teams, to automate and implement solutions.Reporting EngineeringProvide expert Power BI Skills to enable Four Seasons to both create reports in house and enhance existing as required.Supervise technical vendor resources on Power BI reporting engagements for Four Seasons’ best interests.Coach and mentor Power BI skills in IT teammates and BU colleagues.Provide thought leadership to evaluate Power BI reporting issues and solution options.Be a Power BI evangelist. Support the Director of Business Intelligence in actively promoting not just Enterprise BI but also BI self-service and Departmental BI models, enable FS reporting flexibility and enabling our business unit audience to achieve same.BI User SupportProvide in-depth understanding of Four Seasons institutional knowledge, the Business Units’ BI needs and reporting functionality.Respond to user questions regarding enterprise BI dashboards and reports, data and process.Coach other consulting, IT and BU colleagues and vendors re ticket triage and solutions.Conduct and facilitate meetings to solve day-to-day issues.Enterprise Data Vendor RelationshipsEngage with vendors to lead new source requirements and formats for Four Seasons ingestion and reporting useLiase with vendors as required for issue, technical or functional support.Liase with vendors to stay current on changes, releases and environment considerations as appropriate.BI DocumentationDevelop and deliver Business Intelligence process models, specifications, diagrams and data flow documentation.Maintain secure deployment guides, architecture and integration diagrams.Ensure IT support materials are kept up to date.Desired SkillsExcellent analytical, mathematical, and creative problem-solving skills.Excellent listening, interpersonal, written, and oral communication skills.Logical and efficient, with keen attention to detail.Self-motivated and directed.Ability to effectively prioritize and execute tasks while under pressure.Able to exercise independent judgement and take action on it.Strong customer service orientation.Experience working in a team-oriented, collaborative environment.Ability to lead technical teams through outage and technical roadblock situations.Ability to prioritize competing requests for resource.Ability to translate business needs into data requirements and priorities.Ability to devise and apply logical steps to troubleshoot issues and test new development.Ability to engage in the role from multiple angles, as trainer, helpdesk support person, tester and analyst.Process-oriented capability and skills.Proven experience providing excellent customer service to internal system users.Demonstrated time, task and project management skills including planning, organizing and managing resources.Ability to work on several un-related projects concurrently.Technical SkillsData Engineering in Microsoft Azure Environment + Toolsets (ADLA, ADF, Synapse, Data Bricks, AAS, Cosmos DB, FunctionApps, Logic Apps etc.)Microsoft Power BI delivery and supportMicrosoft Power Suite delivery and supportStrong SQL query skillsStrong history in Python, Csharp, Scala, JavaData process improvementWorking in large data setsConfluence, Jira, TestRailHelpdesk Tools and methodsMicrosoft VisioMicrosoft Office Suite, very strong ExcelExperience, Education And Professional QualificationsUniversity or higher degree in Engineering, Mathematics, Information Systems, Computer Science or TechnologyCompletion of Azure Fundamentals and Azure Data Engineer CertificationsCompletion of Azure AI Fundamentals and Azure AI Engineer Certifications5-8 years of Data Engineering, Visualization and Analytics experience – in Azure environments, Power BI or similar platforms.2-3 years’ experience in AI/ML projects and implementations considered an assetMinimum 1 year experience with Azure Databricks, Delta Lake, Azure Data Lake, Synapse Analytics, Azure Data Factory, Function Apps, Analysis Services and Power BIGood understanding of basic concepts of data warehousingAll internal applications must be submitted and approved in Workday by October 28, 2022.This role will be a Hybrid working model, which will require 2-3 days per week in the Four Seasons Corporate Office located at 1165 Leslie Street, Toronto, OntarioFour Seasons is committed to providing employment accommodation in accordance with the Ontario Human Rights Code and the Accessibility for Ontarians with Disabilities Act. If contacted for an employment opportunity, please advise Human Resources if you require accommodation.</t>
  </si>
  <si>
    <t>Xero is a beautiful, easy-to-use platform that helps small businesses and their accounting and bookkeeping advisors grow and thrive. At Xero, our purpose is to make life better for people in small business, their advisors, and communities around the world. This purpose sits at the centre of everything we do. We support our people to do the best work of their lives so that they can help small businesses succeed through better tools, information and connections. Because when they succeed they make a difference, and when millions of small businesses are making a difference, the world is a more beautiful place.How you’ll make an impactAs a Marketing Data Analyst in the Digital Data &amp; Analytics team, you will be responsible for delivering high quality data analysis and insights frameworks to enable fast decision making and strategic design. The Digital Data &amp; Analytics team is responsible for empowering Xero to deliver successful digital, customer &amp; marketing outcomes through actionable insights. We enable customer, marketing and product teams with key information to understand the current trends, customer and landscape, inform and motivate customer behaviour and shape customer &amp; marketing strategy.  What you’ll doWork closely with the wider Marketing &amp; Customer stakeholders to identify and prioritize analytics requirements, with a focus on maximizing commercial insight and business performanceDevelop robust analysis that will guide and validate marketing, digital &amp; product teams plansUse SQL to source data from many different databasesProvide audience lists for marketing campaignsWork with large datasets and gain exposure to modern cloud-based data platformsInterpret insights, apply business context to them, and answer key business questionsIdentify any data quality issues and work with the Xero Digital Data team to resolve themDevelop and publish analysis, reports and dashboardsInvestigate known or reported problem areas, or areas for improvementMeasure, benchmark and analyze the performance of Xero’s digital experiences across multiple platforms and channelsDevelop campaign analytics frameworks Present complex analysis to stakeholders, in a simple and compelling wayEnable teams with key information to understand the current marketing &amp; customer landscape, inform and motivate customer behavior and shape strategyDevelop Marketing ROI models Success looks likeData is able to be used to create decision making systems which will help Xero proactively manage the customer experience, marketing growth, and improve conversion rate  throughout their journeyMarketing &amp; Customer, Digital teams and leadership leverage learnings from data insights and make better fact based business decisions from itBuild our data-driven customer solutions, ranging from models to findings which changes actions, creates measurable improved customer value as well as revenue impactProgram recommendations and decisions are supported by robust data analysis  What you’ll bring with you - Technical skillsStrong data literacy skills earned through a mixture of experience with dataAbility to tackle unfamiliar domains and work with complex and diverse datasetsAdvanced knowledge in SQL for data extraction, manipulation and analysisExperience with Python would be a benefit Experience in statistical analysis Extensive experience in building predictive models Proficiency in Google Analytics &amp; Mixpanel Big Query a plusExperience in building customer segmentation models Experience in building digital campaign analytics frameworks Ability to establish measurement and reporting frameworksExperience delivering analytics in the form of visualizations and interactive dashboards using Tableau or Microstrategy Ability to break down complex data and deliver meaningful, actionable insights to stakeholders in a clear and digestible way  What you’ll bring with you - Soft skillsYou’ll be eager to understand the business context to help inform your approach to the analytical activities, and solve customer problems alongside your stakeholdersExceptional communication skills, including the ability to prepare clear professional reportsCustomer-centric mindset, with proven ability to recommend opportunities that drive greater advocacyAbility to collaborate with a cross functional project team  Why Xero? At Xero, we are empowered to bring our ‘whole self’ to work. Our collaborative and inclusive culture is one we’re immensely proud of. We know that a diverse workforce is a strength that enables businesses, including ours, to better understand and serve customers, attract top talent and innovate. We care about learning together and celebrate our teams’ continuous improvement and career development. Want to read more about inclusivity at Xero? Learn a little more about it  here .We offer a great remuneration package, including compelling benefits and perks, like Xero shares and great parental leave policies. We also support flexible working arrangements that allow you to balance your work, your life and your passions. Our Canadian Xero family includes Hubdoc and TaxCycle and we have offices in Toronto, Calgary, and Vancouver. From the moment you step through our doors, you’ll feel welcome and supported to do the best work of your life.At Xero we embrace diversity and inclusion and value a #challenge mindset. Research has shown that women and underrepresented groups are less likely to apply to jobs unless they meet every single competency or experience . If you are excited about this role, but your past experience doesn't align perfectly, we encourage you to apply anyway. You could be just the right person for this role and Xero. If you have any support or access requirements, we encourage you to advise us at time of application and throughout the interview process.</t>
  </si>
  <si>
    <t>As a Business Data Analyst at BRP, you will support the transformation of the company by delivering insights and reporting visibility to the finance team supporting internal clients.Our Business Data Analysts are responsible for working with business and finance leaders to identify reporting and analytical requirements and convert them into insightful reports and dashboards. They will also be called in developing business requirement documents as well as technical/functional specifications.If you love wrangling business data to deliver insights, if you love digging into business processes and becoming an expert on the data domains you support and want to work with creative freedom to shape a growing next gen data platform in a fast-paced environment, you will have a blast with us.Your Key ResponsibilitiesDesign, build, deliver and maintain world-class models and reporting for the finance business domain using Excel and Power BIRemediate current on-premise reporting solutions in order to leverage best in-class cloud capabilitiesDevelop an in-depth understanding on various finance processes. Support building process documentation and provide automation recommendationsParticipate in business and executive meetings to gather requirements and make recommendations around reporting / BI solutionsConvert conceptual customer requirements into functional requirements in a clear manner that is comprehensible to developers and projects teamsUse knowledge of the specific data products available and visualization capabilities to enhance requirements and provide insightful suggestions to finance stakeholdersPrioritize work with the team and ensure there is a forward looking roadmap for features to be delivered on the data products the finance team is tasked withYour Qualifications And SkillsBachelor’s degree in quantitative discipline (Mathematics, Statistics, Computer Science, Economics, Finance)3+ years business and data analyst experience (preferably in finance)Working knowledge of BI and data warehouse concepts and terminologyVery strong Excel skills including advanced formulas and macrosStrong SQL literacy and understanding of database structuresExperience building reports in Power BI, Tableau, Qlik, BOBJ or similar platformsProven experience with business and technical requirements analysis, modeling, verification, and methodology developmentSelf-motivated and able to work independentlyCapable of prioritizing multiple projects while still achieving deadlinesExcellent written and oral communication skills with an ability to connect the dots and tell stories using data Detail-oriented, passionate about quality and enthusiastic about new technologyWELCOME TO BRPWe’re a world leader in recreational vehicles and boats, creating innovative ways to move on snow, water, asphalt, dirt and even in the air. Headquartered in the Canadian town of Valcourt, Quebec, our company is rooted in a spirit of ingenuity and intense customer focus. Today, we operate manufacturing facilities in Canada, the United States, Mexico, Finland, Australia and Austria, with a workforce of almost 20,000 spirited people, all driven by the deeply held belief that at work, as with life itself, it’s not about the destination; It’s about the journey. Yours.</t>
  </si>
  <si>
    <t>Responsibilities:● Develop high-level solution architectures and work with our offshore team of big-data engineers anddecision science analysts to build, test and assess models that predict and optimize business outcomesbased on a client’s success criteria● Create sophisticated yet simple interpretations and communicate insights to clients that lead toquantifiable business impact● Build relationships with clients by understanding their stated, but more importantly, latent needs● Work closely with offshore delivery managers to ensure a seamless communication and delivery● Explore ways to enhance data quality and reliabilityThe ideal candidate should have:● Hands-on experience with SQL● Technical expertise with data warehousing, data ingestion and ETL processes● Experience with Big Data and Correlation Analysis● Sound knowledge of AWS Services like S3, RDS, Athena, Redshift, Cloudwatch, SNS● Professional experience working with BI Tools, preferably TableauWhat’s in it for you?● The opportunity to work with a diverse, lively, and proactive group of nerds who are constantly raising thebar on the art of translating mounds of data into tangible business value for clients.● The experience of working in a category defining high growth start-up in the transformational decisionscience and big-data space.● The chance to create something new and put your fingerprints on the future of a rapidly growing business.</t>
  </si>
  <si>
    <t>IAA, Inc., a leading provider of loss recovery services to the insurance industry in Canada, has an opening for a Data Analyst at our Corporate Office in Mississauga, ON.IAA is Canada's leading live and live-online salvage vehicle auction company with auction facilities across British Columbia, Alberta, Ontario, Quebec, and Atlantic Canada. IAA's national service offering allows sellers to standardize processes across the country and provides buyers with Canada's most extensive selection of salvage vehicles. IAA (NYSE: IAA) has nearly 4,000 talented employees and more than 200 facilities throughout the US, Canada, and the United Kingdom.This position is responsible for working with the business stakeholders to develop management information systems following implementation of new systems. The role will engage with a variety of stakeholders directly to capture insights and details.The success of the role lies within their ability to understand a stakeholder’s requirements and to fashion solutions to deliver upon those requirements. An ability to build a sound understanding of our industry and business processes along with an ability to build relationships with stakeholders will be key.Job Duties/ ResponsibilitiesBuild reports for operational teams using Microsoft Report Builder (BI) or similar reporting tool interpreting and guiding operations management requirementsWork closely with the executive team to provide decision critical information and reports.Tender data analysis / evaluations for margins and pricing purposesProvide financial analysis with focus on price dynamics within the company’s businessPerform research on industry statistics, competition, and other trends that affect the industryPrepare and summaries operational reports and help generate and monitor sales forecastsPerform activity &amp; center of gravity analysis to guide location decisions and help evaluate transport vendor usage and performanceDevelop financial reports for forecasting, trending, and results analysisManage difficult analytical projects with limited supervision EducationDegree level education in a Financial/IT discipline or an accountancy qualificationSeveral years (3+ years) experience gained in an analyst role or financial environmentJob RequirementsAdvanced level MS Office skills and experience with Microsoft Report Builder/ SQL or similar reporting tool experience with a strong IT bent or backgroundStrong analytical, statistical and administrative skillsPersonable team player able to engage with, work with and persuade members from other disciplinesExcellent communication skills, both written and oral, are required.Must be able to communicate with everyone from end users, technical team members and managementExcellent organization and time management skills are requiredStrong troubleshooting and problem solving skillsPatience and desire to deliver excellent customer service to our business organizationExcellent communications skillsLimited travel required to other sites18 years of age or olderMinimal travel In return for your excellent skills and abilities, we offer a competitive wage, with health and dental benefits, RRSP Company Matching and an opportunity for Career Growth.Please note that any employment offers are contingent upon successful completion and passing of a background check.</t>
  </si>
  <si>
    <t>YOU never MET A PROBLEM YOU COULDN'T SOLVEPosted 2022-11-14Closing When FilledLocation Edmonton South (Hybrid)The word “problem” isn’t even in your vocabulary. You prefer to think of it as a challenge waiting for you to work your analytical magic. In fact, when one of your clients describes a challenging situation to you, your brain is already turning it into a query. You love the idea of transforming data into critical information and knowledge and have a burning desire to seek out innovative new technologies that can be used to make sound business decisions.We’re looking for a Business Data Analyst with a knack for data and the ability to shape a project from start to finish. Someone who can work with subject matter experts as well as business and operational leaders in order to determine requirements, define key performance indicators and develop insights into and solutions for business problems.What Moves YouFinding simple solutions to complicated problems and explaining them to others comes as naturally to you as breathing. You don’t see a data table…you see a story waiting to be told; and you know just the query to tell it. Your curiosity kicks into high gear when talking to clients and end users so that you fully understand the business problem they are trying to solve. You handle even the tightest deadlines with a cool head and clear vision. You’ve always been passionate about how data and technology can help solve business problems.You love to share thoughts and ideas – after all, two heads are always better than one. You’re a born organizer and a stickler for details, which allows you to juggle multiple tasks effortlessly and somehow always manage to stay ahead of things. We like that about you! What You’ll DoReport to the Manager, Business Analysis. Collaborate with Senior Analysts on initiatives in facilitating the transformation of data into analytics and supporting presentation of findings to all levels of AMA leadership.Perform analysis for a wide range of requests using data from various platforms.Support business operations in providing advice stemming from data and process analysis taken from internal and external sources. Facilitate the transformation of data into critical knowledge and insights which can be used to make sound business decisions. Create and present concise, audience-appropriate, actionable communications characterized by their strategic insight. Provide input to the development of performance metrics, reporting formats and dashboards. Maintain accurate and timely delivery of production deliverables.Maintain and verify data is within required quality standards.What You’ve DoneYou have a degree in Computer Science, Information Systems, Business Management or something similar. Have experience with Agile/Scrum? Even better. You have at least three years of data analysis or related technical experience under your belt. Along with significant database querying (SQL) data analysis and visualization experience. Do you have specialized training/certification or equivalent work experience? Tell us about it and why it’s relevant to your career as a Business Data Analyst. What You'll GetCompetitive salary. Flexible benefits. Outstanding employer-paid Defined Pension Plan. Great AMA discounts. Unlimited learning opportunities. Paid vacation and floater day. Free parking.Available rotational work from home options.Friendly smiles from all levels of the organization. 😊We thank all applicants for their interest; however, only those selected for an interview will be contacted.</t>
  </si>
  <si>
    <t>We are looking for new talents to join our Montreal team.WHO WE ARE:Labelium is a Digital Performance Agency driving business growth through data-driven strategies. Labelium is currently operating in more than 16 countries. Since 2001, Labelium has been supporting hundreds of local and international companies to develop and/or secure a leading position in their respective markets. Our clients trust us to design and implement innovative, data-driven, and cost-efficient digital strategies, and ensure winning e-commerce and e-retail programs. We are Google, Facebook, and Amazon premium partners, always seeking the best strategy for our clients.Amongst Labelium's 400+ customers, we count leading companies such as LVMH, L’Oréal, David’s Tea, Lexmark, Rudsak, Dior, Asmodee, La Cordée.WHO WE ARE LOOKING FOR:The Labelium SEO team continues to expand and we are in search of a rock star analyst to join our team. The SEO analyst's responsibilities include automating the gathering of SEO insights, creating data visualization solutions for clients, analyzing and identifying gaps in website content, developing robust competitor analysis frameworks, analyzing backlink profiles, and providing insights during content creation. You will also contribute to and lead the further development of larger data service offerings, providing deep insights on the market, industry, and category opportunities within the search landscape.To be successful as an SEO analyst and a member of the SEO team at Labelium, you must demonstrate a passion for the search, technology, data, and contributing to the success of the brands we service. Being proactive and solution-oriented is a key requirement for this role.SEO Analyst Responsibilities:Support SEO/CRO Account Managers by providing data analysis and data visualization solutions;Conducting keyword research using dedicated software, and generating new keyword ideas;Developing keyword insights templates and frameworks;Able to enhance our current dashboards and reporting structures;Automating and streamlining the gathering of data that can contribute to SEO success;Monitoring website traffic, search results, and developing strategies;Contributing to content creation by providing competitive and keyword-level insights;keeping up to date with new trends and best SEO practices.SEO Analyst Requirements:BA/BSc in marketing/data science or similar;Basic understanding of SEO;HTML and JavaScript experience. Ruby/Python experience is a plus;Excel / G-sheet advanced skills;Previous experience in a similar role would be advantageous;Excellent written, verbal, and analytical skills;Experience with Google Analytics/Adobe Analytics/Adverity;Experience with Google Data Studio, Tableau or other dashboarding solutions;Great customer service and interpersonal skills;Ability to follow specifications;Ability to work under pressure. WHY CHOOSE LABELIUMCompetitive salary;Generous paid time off package;Group insurance coverage and virtual employee support services;Individualized and curate learning programs;Pro bono opportunities (philanthropy program);Supportive and collaborative work environment.As an equal opportunity employer, we celebrate diversity and are committed to creating an inclusive environment for all employees.</t>
  </si>
  <si>
    <t>onsite</t>
  </si>
  <si>
    <t>remote</t>
  </si>
  <si>
    <t>hybrid</t>
  </si>
  <si>
    <t>$135,000.00_x000D_
            -_x000D_
            $140,000.00</t>
  </si>
  <si>
    <t>CA$135.00_x000D_
            -_x000D_
            CA$145.00</t>
  </si>
  <si>
    <t>$65,500.00_x000D_
            -_x000D_
            $78,500.00</t>
  </si>
  <si>
    <t>2022-10-24</t>
  </si>
  <si>
    <t>2022-11-18</t>
  </si>
  <si>
    <t>2022-11-17</t>
  </si>
  <si>
    <t>2022-11-08</t>
  </si>
  <si>
    <t>2022-11-15</t>
  </si>
  <si>
    <t>2022-11-02</t>
  </si>
  <si>
    <t>2022-11-09</t>
  </si>
  <si>
    <t>2022-10-27</t>
  </si>
  <si>
    <t>2022-11-11</t>
  </si>
  <si>
    <t>2022-11-16</t>
  </si>
  <si>
    <t>2022-11-22</t>
  </si>
  <si>
    <t>2022-10-26</t>
  </si>
  <si>
    <t>2022-11-10</t>
  </si>
  <si>
    <t>2022-11-21</t>
  </si>
  <si>
    <t>2022-10-19</t>
  </si>
  <si>
    <t>2022-11-13</t>
  </si>
  <si>
    <t>2022-11-03</t>
  </si>
  <si>
    <t>2022-10-12</t>
  </si>
  <si>
    <t>2022-09-21</t>
  </si>
  <si>
    <t>2022-10-23</t>
  </si>
  <si>
    <t>2022-11-01</t>
  </si>
  <si>
    <t>2022-10-07</t>
  </si>
  <si>
    <t>2022-11-19</t>
  </si>
  <si>
    <t>2022-10-21</t>
  </si>
  <si>
    <t>2022-11-04</t>
  </si>
  <si>
    <t>2022-10-14</t>
  </si>
  <si>
    <t>2022-07-18</t>
  </si>
  <si>
    <t>2022-09-29</t>
  </si>
  <si>
    <t>2022-09-28</t>
  </si>
  <si>
    <t>2022-10-02</t>
  </si>
  <si>
    <t>2022-11-20</t>
  </si>
  <si>
    <t>2022-11-05</t>
  </si>
  <si>
    <t>2022-11-23</t>
  </si>
  <si>
    <t>2022-10-25</t>
  </si>
  <si>
    <t>2022-09-18</t>
  </si>
  <si>
    <t>2022-11-14</t>
  </si>
  <si>
    <t>2022-10-31</t>
  </si>
  <si>
    <t>2022-10-20</t>
  </si>
  <si>
    <t>2022-05-13</t>
  </si>
  <si>
    <t>2022-10-17</t>
  </si>
  <si>
    <t>2022-10-10</t>
  </si>
  <si>
    <t>2022-10-28</t>
  </si>
  <si>
    <t>2022-10-16</t>
  </si>
  <si>
    <t>2022-11-07</t>
  </si>
  <si>
    <t>2022-10-05</t>
  </si>
  <si>
    <t>2022-10-13</t>
  </si>
  <si>
    <t>Entry level</t>
  </si>
  <si>
    <t>Associate</t>
  </si>
  <si>
    <t>Mid-Senior level</t>
  </si>
  <si>
    <t>Not Applicable</t>
  </si>
  <si>
    <t>Internship</t>
  </si>
  <si>
    <t>Full-time</t>
  </si>
  <si>
    <t>Part-time</t>
  </si>
  <si>
    <t>Contract</t>
  </si>
  <si>
    <t>Temporary</t>
  </si>
  <si>
    <t>Other</t>
  </si>
  <si>
    <t>Information Technology</t>
  </si>
  <si>
    <t>Analyst</t>
  </si>
  <si>
    <t>Finance</t>
  </si>
  <si>
    <t>Administrative</t>
  </si>
  <si>
    <t>Human Resources</t>
  </si>
  <si>
    <t>Engineering</t>
  </si>
  <si>
    <t>Research, Analyst, and Information Technology</t>
  </si>
  <si>
    <t>Product Management and Analyst</t>
  </si>
  <si>
    <t>Information Technology, Analyst, and Research</t>
  </si>
  <si>
    <t>Information Technology and Analyst</t>
  </si>
  <si>
    <t>Engineering, Information Technology, and Research</t>
  </si>
  <si>
    <t>Product Management</t>
  </si>
  <si>
    <t>Information Technology, Engineering, and Consulting</t>
  </si>
  <si>
    <t>Business Development, Information Technology, and Research</t>
  </si>
  <si>
    <t>Customer Service</t>
  </si>
  <si>
    <t>Analyst, Research, and Information Technology</t>
  </si>
  <si>
    <t>Information Technology, Strategy/Planning, and Analyst</t>
  </si>
  <si>
    <t>Information Technology and Administrative</t>
  </si>
  <si>
    <t>Administrative, Business Development, and Consulting</t>
  </si>
  <si>
    <t>Information Technology, Engineering, and Analyst</t>
  </si>
  <si>
    <t>Information Technology and Finance</t>
  </si>
  <si>
    <t>Strategy/Planning, Analyst, and Information Technology</t>
  </si>
  <si>
    <t>Marketing and Strategy/Planning</t>
  </si>
  <si>
    <t>Information Technology, Finance, and Sales</t>
  </si>
  <si>
    <t>Information Technology and Science</t>
  </si>
  <si>
    <t>Administrative and Legal</t>
  </si>
  <si>
    <t>Analyst and Marketing</t>
  </si>
  <si>
    <t>Analyst and Information Technology</t>
  </si>
  <si>
    <t>Distribution, Administrative, and Customer Service</t>
  </si>
  <si>
    <t>Business Development, Sales, and Advertising</t>
  </si>
  <si>
    <t>Software Development</t>
  </si>
  <si>
    <t>Information Services</t>
  </si>
  <si>
    <t>Staffing and Recruiting</t>
  </si>
  <si>
    <t>Banking, Financial Services, and Investment Banking</t>
  </si>
  <si>
    <t>Research Services</t>
  </si>
  <si>
    <t>IT Services and IT Consulting</t>
  </si>
  <si>
    <t>Entertainment Providers</t>
  </si>
  <si>
    <t>Insurance</t>
  </si>
  <si>
    <t>Medical Equipment Manufacturing, Retail Office Equipment, and Hospitals and Health Care</t>
  </si>
  <si>
    <t>Human Resources Services</t>
  </si>
  <si>
    <t>Law Practice</t>
  </si>
  <si>
    <t>Financial Services</t>
  </si>
  <si>
    <t>Motor Vehicle Parts Manufacturing</t>
  </si>
  <si>
    <t>Hospitality</t>
  </si>
  <si>
    <t>Appliances, Electrical, and Electronics Manufacturing and Utilities</t>
  </si>
  <si>
    <t>Construction</t>
  </si>
  <si>
    <t>Retail Apparel and Fashion</t>
  </si>
  <si>
    <t>Banking</t>
  </si>
  <si>
    <t>Insurance and Financial Services</t>
  </si>
  <si>
    <t>Telecommunications</t>
  </si>
  <si>
    <t>Data Infrastructure and Analytics</t>
  </si>
  <si>
    <t>Environmental Services</t>
  </si>
  <si>
    <t>Technology, Information and Internet</t>
  </si>
  <si>
    <t>IT Services and IT Consulting, Information Services, and Financial Services</t>
  </si>
  <si>
    <t>Renewable Energy Semiconductor Manufacturing</t>
  </si>
  <si>
    <t>Advertising Services</t>
  </si>
  <si>
    <t>Manufacturing</t>
  </si>
  <si>
    <t>Truck Transportation and Railroad Equipment Manufacturing</t>
  </si>
  <si>
    <t>Software Development and Motor Vehicle Manufacturing</t>
  </si>
  <si>
    <t>Spectator Sports</t>
  </si>
  <si>
    <t>IT Services and IT Consulting, Market Research, and Insurance</t>
  </si>
  <si>
    <t>IT Services and IT Consulting, Software Development, and E-Learning Providers</t>
  </si>
  <si>
    <t>IT Services and IT Consulting, Online Audio and Video Media, and Software Development</t>
  </si>
  <si>
    <t>IT Services and IT Consulting, Software Development, and Financial Services</t>
  </si>
  <si>
    <t>Retail</t>
  </si>
  <si>
    <t>Market Research and Software Development</t>
  </si>
  <si>
    <t>IT Services and IT Consulting, Software Development, and Technology, Information and Internet</t>
  </si>
  <si>
    <t>IT Services and IT Consulting and Motor Vehicle Manufacturing</t>
  </si>
  <si>
    <t>Utilities</t>
  </si>
  <si>
    <t>Solar Electric Power Generation</t>
  </si>
  <si>
    <t>Advertising Services, Software Development, and Technology, Information and Internet</t>
  </si>
  <si>
    <t>Household and Institutional Furniture Manufacturing</t>
  </si>
  <si>
    <t>Venture Capital and Private Equity Principals</t>
  </si>
  <si>
    <t>IT Services and IT Consulting, Software Development, and Computer Games</t>
  </si>
  <si>
    <t>IT Services and IT Consulting and Business Consulting and Services</t>
  </si>
  <si>
    <t>Motor Vehicle Manufacturing</t>
  </si>
  <si>
    <t>IT Services and IT Consulting and Financial Services</t>
  </si>
  <si>
    <t>IT Services and IT Consulting, Banking, and Financial Services</t>
  </si>
  <si>
    <t>Appliances, Electrical, and Electronics Manufacturing, Industrial Machinery Manufacturing, and Utilities</t>
  </si>
  <si>
    <t>IT Services and IT Consulting, Technology, Information and Internet, and Hospitality</t>
  </si>
  <si>
    <t>Financial Services, Investment Banking, and Investment Management</t>
  </si>
  <si>
    <t>Retail Gasoline</t>
  </si>
  <si>
    <t>Business Consulting and Services</t>
  </si>
  <si>
    <t>Travel Arrangements and Hospitality</t>
  </si>
  <si>
    <t>Non-profit Organizations</t>
  </si>
  <si>
    <t>IT Services and IT Consulting, Design Services, and Software Development</t>
  </si>
  <si>
    <t>Education Administration Programs</t>
  </si>
  <si>
    <t>Government Administration</t>
  </si>
  <si>
    <t>Real Estate</t>
  </si>
  <si>
    <t>Insurance, Financial Services, and Consumer Services</t>
  </si>
  <si>
    <t>Civil Engineering</t>
  </si>
  <si>
    <t>Beverage Manufacturing</t>
  </si>
  <si>
    <t>Transportation, Logistics, Supply Chain and Storage, Truck Transportation, and Warehousing and Storage</t>
  </si>
  <si>
    <t>Industrial Machinery Manufacturing, Oil and Gas, and Utilities</t>
  </si>
  <si>
    <t>Professional Services</t>
  </si>
  <si>
    <t>Waterloo</t>
  </si>
  <si>
    <t>Toronto</t>
  </si>
  <si>
    <t>Calgary</t>
  </si>
  <si>
    <t>Mississauga</t>
  </si>
  <si>
    <t>St Thomas</t>
  </si>
  <si>
    <t>Montreal</t>
  </si>
  <si>
    <t>Guelph</t>
  </si>
  <si>
    <t>Ontario</t>
  </si>
  <si>
    <t>Surrey</t>
  </si>
  <si>
    <t>Vancouver</t>
  </si>
  <si>
    <t>Markham</t>
  </si>
  <si>
    <t>Penetanguishene</t>
  </si>
  <si>
    <t>Ancaster</t>
  </si>
  <si>
    <t>Ottawa</t>
  </si>
  <si>
    <t>Richmond Hill</t>
  </si>
  <si>
    <t>London</t>
  </si>
  <si>
    <t>Vaughan</t>
  </si>
  <si>
    <t>Dieppe</t>
  </si>
  <si>
    <t>Greater Montreal Metropolitan Area</t>
  </si>
  <si>
    <t>New Westminster</t>
  </si>
  <si>
    <t>Canada</t>
  </si>
  <si>
    <t>Cambridge</t>
  </si>
  <si>
    <t>Kelowna</t>
  </si>
  <si>
    <t>Greater Vancouver</t>
  </si>
  <si>
    <t>Greater Montreal</t>
  </si>
  <si>
    <t>Kamloops</t>
  </si>
  <si>
    <t>Field</t>
  </si>
  <si>
    <t>Montréal-Est</t>
  </si>
  <si>
    <t>Edmonton</t>
  </si>
  <si>
    <t>Alberta</t>
  </si>
  <si>
    <t>Greater Toronto Area</t>
  </si>
  <si>
    <t>Oakville</t>
  </si>
  <si>
    <t>Victoria</t>
  </si>
  <si>
    <t>New Brunswick</t>
  </si>
  <si>
    <t>North York</t>
  </si>
  <si>
    <t>Winnipeg</t>
  </si>
  <si>
    <t>Quebec</t>
  </si>
  <si>
    <t>British Columbia</t>
  </si>
  <si>
    <t>Manitoba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</si>
</sst>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74"/>
  <sheetViews>
    <sheetView tabSelected="1" workbookViewId="0"/>
  </sheetViews>
  <sheetFormatPr defaultRowHeight="15" x14ac:dyDescent="0.25"/>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t="s">
        <v>14</v>
      </c>
      <c r="B2" t="s">
        <v>118</v>
      </c>
      <c r="C2" t="s">
        <v>258</v>
      </c>
      <c r="D2" t="s">
        <v>424</v>
      </c>
      <c r="F2" t="s">
        <v>430</v>
      </c>
      <c r="G2" t="str">
        <f>HYPERLINK("https://ca.linkedin.com/jobs/view/data-analyst-at-axonify-3324670516?refId=Xz0oaC2uK3DZxEZUKvBkmg%3D%3D&amp;trackingId=tbS%2FVQV9nJtuYDoMt7Y6ZQ%3D%3D&amp;position=1&amp;pageNum=0&amp;trk=public_jobs_jserp-result_search-card", "Job Link")</f>
        <v>Job Link</v>
      </c>
      <c r="H2" t="s">
        <v>476</v>
      </c>
      <c r="I2" t="s">
        <v>481</v>
      </c>
      <c r="J2" t="s">
        <v>486</v>
      </c>
      <c r="K2" t="s">
        <v>516</v>
      </c>
      <c r="L2" t="s">
        <v>581</v>
      </c>
      <c r="M2" t="s">
        <v>588</v>
      </c>
      <c r="N2" t="s">
        <v>601</v>
      </c>
    </row>
    <row r="3" spans="1:14" x14ac:dyDescent="0.25">
      <c r="A3" t="s">
        <v>14</v>
      </c>
      <c r="B3" t="s">
        <v>119</v>
      </c>
      <c r="C3" t="s">
        <v>259</v>
      </c>
      <c r="D3" t="s">
        <v>424</v>
      </c>
      <c r="F3" t="s">
        <v>431</v>
      </c>
      <c r="G3" t="str">
        <f>HYPERLINK("https://ca.linkedin.com/jobs/view/data-analyst-at-b3-systems-3361794123?refId=Xz0oaC2uK3DZxEZUKvBkmg%3D%3D&amp;trackingId=KjJ4vx8PlnLLBGQ4mjw1RA%3D%3D&amp;position=2&amp;pageNum=0&amp;trk=public_jobs_jserp-result_search-card", "Job Link")</f>
        <v>Job Link</v>
      </c>
      <c r="I3" t="s">
        <v>481</v>
      </c>
      <c r="L3" t="s">
        <v>582</v>
      </c>
      <c r="M3" t="s">
        <v>588</v>
      </c>
      <c r="N3" t="s">
        <v>601</v>
      </c>
    </row>
    <row r="4" spans="1:14" x14ac:dyDescent="0.25">
      <c r="A4" t="s">
        <v>14</v>
      </c>
      <c r="B4" t="s">
        <v>120</v>
      </c>
      <c r="C4" t="s">
        <v>260</v>
      </c>
      <c r="D4" t="s">
        <v>424</v>
      </c>
      <c r="F4" t="s">
        <v>431</v>
      </c>
      <c r="G4" t="str">
        <f>HYPERLINK("https://ca.linkedin.com/jobs/view/data-analyst-at-wood-mackenzie-3271782079?refId=Xz0oaC2uK3DZxEZUKvBkmg%3D%3D&amp;trackingId=nJ2DNYBB4XMjIygcotYu%2FA%3D%3D&amp;position=3&amp;pageNum=0&amp;trk=public_jobs_jserp-result_search-card", "Job Link")</f>
        <v>Job Link</v>
      </c>
      <c r="H4" t="s">
        <v>477</v>
      </c>
      <c r="I4" t="s">
        <v>481</v>
      </c>
      <c r="J4" t="s">
        <v>487</v>
      </c>
      <c r="K4" t="s">
        <v>517</v>
      </c>
      <c r="L4" t="s">
        <v>583</v>
      </c>
      <c r="M4" t="s">
        <v>610</v>
      </c>
      <c r="N4" t="s">
        <v>601</v>
      </c>
    </row>
    <row r="5" spans="1:14" x14ac:dyDescent="0.25">
      <c r="A5" t="s">
        <v>14</v>
      </c>
      <c r="B5" t="s">
        <v>121</v>
      </c>
      <c r="C5" t="s">
        <v>261</v>
      </c>
      <c r="D5" t="s">
        <v>424</v>
      </c>
      <c r="F5" t="s">
        <v>432</v>
      </c>
      <c r="G5" t="str">
        <f>HYPERLINK("https://ca.linkedin.com/jobs/view/data-analyst-at-loft-community-services-3364383026?refId=Xz0oaC2uK3DZxEZUKvBkmg%3D%3D&amp;trackingId=CieLuF%2BF8r47gkxSkw4Ivw%3D%3D&amp;position=4&amp;pageNum=0&amp;trk=public_jobs_jserp-result_search-card", "Job Link")</f>
        <v>Job Link</v>
      </c>
      <c r="I5" t="s">
        <v>482</v>
      </c>
      <c r="L5" t="s">
        <v>582</v>
      </c>
      <c r="M5" t="s">
        <v>588</v>
      </c>
      <c r="N5" t="s">
        <v>601</v>
      </c>
    </row>
    <row r="6" spans="1:14" x14ac:dyDescent="0.25">
      <c r="A6" t="s">
        <v>14</v>
      </c>
      <c r="B6" t="s">
        <v>122</v>
      </c>
      <c r="C6" t="s">
        <v>262</v>
      </c>
      <c r="D6" t="s">
        <v>424</v>
      </c>
      <c r="F6" t="s">
        <v>433</v>
      </c>
      <c r="G6" t="str">
        <f>HYPERLINK("https://ca.linkedin.com/jobs/view/data-analyst-at-nam-info-inc-3351590976?refId=Xz0oaC2uK3DZxEZUKvBkmg%3D%3D&amp;trackingId=AHPXvIzs9EkpMMOIJfmjMA%3D%3D&amp;position=5&amp;pageNum=0&amp;trk=public_jobs_jserp-result_search-card", "Job Link")</f>
        <v>Job Link</v>
      </c>
      <c r="H6" t="s">
        <v>478</v>
      </c>
      <c r="I6" t="s">
        <v>483</v>
      </c>
      <c r="J6" t="s">
        <v>486</v>
      </c>
      <c r="K6" t="s">
        <v>518</v>
      </c>
      <c r="L6" t="s">
        <v>582</v>
      </c>
      <c r="M6" t="s">
        <v>588</v>
      </c>
      <c r="N6" t="s">
        <v>601</v>
      </c>
    </row>
    <row r="7" spans="1:14" x14ac:dyDescent="0.25">
      <c r="A7" t="s">
        <v>14</v>
      </c>
      <c r="B7" t="s">
        <v>123</v>
      </c>
      <c r="C7" t="s">
        <v>263</v>
      </c>
      <c r="D7" t="s">
        <v>424</v>
      </c>
      <c r="F7" t="s">
        <v>434</v>
      </c>
      <c r="G7" t="str">
        <f>HYPERLINK("https://ca.linkedin.com/jobs/view/data-analyst-at-citi-3263096865?refId=Xz0oaC2uK3DZxEZUKvBkmg%3D%3D&amp;trackingId=Ce1JhEVlgqmgXei18L%2FcAg%3D%3D&amp;position=6&amp;pageNum=0&amp;trk=public_jobs_jserp-result_search-card", "Job Link")</f>
        <v>Job Link</v>
      </c>
      <c r="H7" t="s">
        <v>479</v>
      </c>
      <c r="I7" t="s">
        <v>481</v>
      </c>
      <c r="J7" t="s">
        <v>486</v>
      </c>
      <c r="K7" t="s">
        <v>519</v>
      </c>
      <c r="L7" t="s">
        <v>584</v>
      </c>
      <c r="M7" t="s">
        <v>588</v>
      </c>
      <c r="N7" t="s">
        <v>601</v>
      </c>
    </row>
    <row r="8" spans="1:14" x14ac:dyDescent="0.25">
      <c r="A8" t="s">
        <v>14</v>
      </c>
      <c r="B8" t="s">
        <v>124</v>
      </c>
      <c r="C8" t="s">
        <v>264</v>
      </c>
      <c r="D8" t="s">
        <v>424</v>
      </c>
      <c r="F8" t="s">
        <v>435</v>
      </c>
      <c r="G8" t="str">
        <f>HYPERLINK("https://ca.linkedin.com/jobs/view/data-analyst-at-king-s-college-london-3335332409?refId=Xz0oaC2uK3DZxEZUKvBkmg%3D%3D&amp;trackingId=3eVPovtn9jSTnctq%2F2jb4g%3D%3D&amp;position=7&amp;pageNum=0&amp;trk=public_jobs_jserp-result_search-card", "Job Link")</f>
        <v>Job Link</v>
      </c>
      <c r="H8" t="s">
        <v>476</v>
      </c>
      <c r="I8" t="s">
        <v>481</v>
      </c>
      <c r="J8" t="s">
        <v>486</v>
      </c>
      <c r="K8" t="s">
        <v>520</v>
      </c>
      <c r="L8" t="s">
        <v>585</v>
      </c>
      <c r="M8" t="s">
        <v>588</v>
      </c>
      <c r="N8" t="s">
        <v>601</v>
      </c>
    </row>
    <row r="9" spans="1:14" x14ac:dyDescent="0.25">
      <c r="A9" t="s">
        <v>15</v>
      </c>
      <c r="B9" t="s">
        <v>125</v>
      </c>
      <c r="C9" t="s">
        <v>265</v>
      </c>
      <c r="D9" t="s">
        <v>424</v>
      </c>
      <c r="F9" t="s">
        <v>431</v>
      </c>
      <c r="G9" t="str">
        <f>HYPERLINK("https://ca.linkedin.com/jobs/view/data-analyst-remote-at-cognizant-microsoft-business-group-3333618510?refId=Xz0oaC2uK3DZxEZUKvBkmg%3D%3D&amp;trackingId=1ILiYOSLyTjw3Imb1gcn6w%3D%3D&amp;position=8&amp;pageNum=0&amp;trk=public_jobs_jserp-result_search-card", "Job Link")</f>
        <v>Job Link</v>
      </c>
      <c r="H9" t="s">
        <v>476</v>
      </c>
      <c r="I9" t="s">
        <v>481</v>
      </c>
      <c r="J9" t="s">
        <v>486</v>
      </c>
      <c r="K9" t="s">
        <v>521</v>
      </c>
      <c r="L9" t="s">
        <v>582</v>
      </c>
      <c r="M9" t="s">
        <v>588</v>
      </c>
      <c r="N9" t="s">
        <v>601</v>
      </c>
    </row>
    <row r="10" spans="1:14" x14ac:dyDescent="0.25">
      <c r="A10" t="s">
        <v>16</v>
      </c>
      <c r="B10" t="s">
        <v>126</v>
      </c>
      <c r="C10" t="s">
        <v>266</v>
      </c>
      <c r="D10" t="s">
        <v>424</v>
      </c>
      <c r="F10" t="s">
        <v>436</v>
      </c>
      <c r="G10" t="str">
        <f>HYPERLINK("https://ca.linkedin.com/jobs/view/data-analyst-loans-at-tata-consultancy-services-3344804680?refId=Xz0oaC2uK3DZxEZUKvBkmg%3D%3D&amp;trackingId=cqtBcUgoLFJUK5vOOgHcNw%3D%3D&amp;position=9&amp;pageNum=0&amp;trk=public_jobs_jserp-result_search-card", "Job Link")</f>
        <v>Job Link</v>
      </c>
      <c r="H10" t="s">
        <v>477</v>
      </c>
      <c r="I10" t="s">
        <v>481</v>
      </c>
      <c r="J10" t="s">
        <v>486</v>
      </c>
      <c r="K10" t="s">
        <v>517</v>
      </c>
      <c r="L10" t="s">
        <v>584</v>
      </c>
      <c r="M10" t="s">
        <v>588</v>
      </c>
      <c r="N10" t="s">
        <v>601</v>
      </c>
    </row>
    <row r="11" spans="1:14" x14ac:dyDescent="0.25">
      <c r="A11" t="s">
        <v>14</v>
      </c>
      <c r="B11" t="s">
        <v>127</v>
      </c>
      <c r="C11" t="s">
        <v>267</v>
      </c>
      <c r="D11" t="s">
        <v>424</v>
      </c>
      <c r="F11" t="s">
        <v>437</v>
      </c>
      <c r="G11" t="str">
        <f>HYPERLINK("https://ca.linkedin.com/jobs/view/data-analyst-at-vubiquity-3365112221?refId=Xz0oaC2uK3DZxEZUKvBkmg%3D%3D&amp;trackingId=rr5kHe9hRdIhcQEv%2BKmq%2BQ%3D%3D&amp;position=10&amp;pageNum=0&amp;trk=public_jobs_jserp-result_search-card", "Job Link")</f>
        <v>Job Link</v>
      </c>
      <c r="H11" t="s">
        <v>476</v>
      </c>
      <c r="I11" t="s">
        <v>481</v>
      </c>
      <c r="J11" t="s">
        <v>486</v>
      </c>
      <c r="K11" t="s">
        <v>522</v>
      </c>
      <c r="L11" t="s">
        <v>582</v>
      </c>
      <c r="M11" t="s">
        <v>588</v>
      </c>
      <c r="N11" t="s">
        <v>601</v>
      </c>
    </row>
    <row r="12" spans="1:14" x14ac:dyDescent="0.25">
      <c r="A12" t="s">
        <v>17</v>
      </c>
      <c r="B12" t="s">
        <v>123</v>
      </c>
      <c r="C12" t="s">
        <v>268</v>
      </c>
      <c r="D12" t="s">
        <v>424</v>
      </c>
      <c r="F12" t="s">
        <v>438</v>
      </c>
      <c r="G12" t="str">
        <f>HYPERLINK("https://ca.linkedin.com/jobs/view/data-analyst-developer-at-citi-3322089923?refId=Xz0oaC2uK3DZxEZUKvBkmg%3D%3D&amp;trackingId=pFKWvbfvHW1aacFxa7pQ1w%3D%3D&amp;position=11&amp;pageNum=0&amp;trk=public_jobs_jserp-result_search-card", "Job Link")</f>
        <v>Job Link</v>
      </c>
      <c r="H12" t="s">
        <v>479</v>
      </c>
      <c r="I12" t="s">
        <v>481</v>
      </c>
      <c r="J12" t="s">
        <v>486</v>
      </c>
      <c r="K12" t="s">
        <v>519</v>
      </c>
      <c r="L12" t="s">
        <v>584</v>
      </c>
      <c r="M12" t="s">
        <v>588</v>
      </c>
      <c r="N12" t="s">
        <v>601</v>
      </c>
    </row>
    <row r="13" spans="1:14" x14ac:dyDescent="0.25">
      <c r="A13" t="s">
        <v>14</v>
      </c>
      <c r="B13" t="s">
        <v>128</v>
      </c>
      <c r="C13" t="s">
        <v>269</v>
      </c>
      <c r="D13" t="s">
        <v>424</v>
      </c>
      <c r="F13" t="s">
        <v>439</v>
      </c>
      <c r="G13" t="str">
        <f>HYPERLINK("https://ca.linkedin.com/jobs/view/data-analyst-at-diverse-lynx-3363377240?refId=Xz0oaC2uK3DZxEZUKvBkmg%3D%3D&amp;trackingId=jzCk1F8DFrYLIVzoNYqsdg%3D%3D&amp;position=12&amp;pageNum=0&amp;trk=public_jobs_jserp-result_search-card", "Job Link")</f>
        <v>Job Link</v>
      </c>
      <c r="H13" t="s">
        <v>476</v>
      </c>
      <c r="I13" t="s">
        <v>481</v>
      </c>
      <c r="J13" t="s">
        <v>486</v>
      </c>
      <c r="K13" t="s">
        <v>516</v>
      </c>
      <c r="L13" t="s">
        <v>586</v>
      </c>
      <c r="M13" t="s">
        <v>617</v>
      </c>
      <c r="N13" t="s">
        <v>601</v>
      </c>
    </row>
    <row r="14" spans="1:14" x14ac:dyDescent="0.25">
      <c r="A14" t="s">
        <v>14</v>
      </c>
      <c r="B14" t="s">
        <v>129</v>
      </c>
      <c r="C14" t="s">
        <v>270</v>
      </c>
      <c r="D14" t="s">
        <v>424</v>
      </c>
      <c r="F14" t="s">
        <v>440</v>
      </c>
      <c r="G14" t="str">
        <f>HYPERLINK("https://ca.linkedin.com/jobs/view/data-analyst-at-agricorp-3364433441?refId=Xz0oaC2uK3DZxEZUKvBkmg%3D%3D&amp;trackingId=Z13OBl9s%2F8znJ6mM3G3ZQQ%3D%3D&amp;position=13&amp;pageNum=0&amp;trk=public_jobs_jserp-result_search-card", "Job Link")</f>
        <v>Job Link</v>
      </c>
      <c r="H14" t="s">
        <v>476</v>
      </c>
      <c r="I14" t="s">
        <v>481</v>
      </c>
      <c r="J14" t="s">
        <v>486</v>
      </c>
      <c r="K14" t="s">
        <v>523</v>
      </c>
      <c r="L14" t="s">
        <v>587</v>
      </c>
      <c r="M14" t="s">
        <v>588</v>
      </c>
      <c r="N14" t="s">
        <v>601</v>
      </c>
    </row>
    <row r="15" spans="1:14" x14ac:dyDescent="0.25">
      <c r="A15" t="s">
        <v>18</v>
      </c>
      <c r="B15" t="s">
        <v>130</v>
      </c>
      <c r="C15" t="s">
        <v>271</v>
      </c>
      <c r="D15" t="s">
        <v>424</v>
      </c>
      <c r="F15" t="s">
        <v>441</v>
      </c>
      <c r="G15" t="str">
        <f>HYPERLINK("https://ca.linkedin.com/jobs/view/junior-data-analyst-mississauga-on-at-arjo-3323264354?refId=Xz0oaC2uK3DZxEZUKvBkmg%3D%3D&amp;trackingId=TSC0cdtHhUwUQIn4H0NY1A%3D%3D&amp;position=14&amp;pageNum=0&amp;trk=public_jobs_jserp-result_search-card", "Job Link")</f>
        <v>Job Link</v>
      </c>
      <c r="H15" t="s">
        <v>479</v>
      </c>
      <c r="I15" t="s">
        <v>481</v>
      </c>
      <c r="J15" t="s">
        <v>486</v>
      </c>
      <c r="K15" t="s">
        <v>524</v>
      </c>
      <c r="L15" t="s">
        <v>588</v>
      </c>
      <c r="M15" t="s">
        <v>601</v>
      </c>
    </row>
    <row r="16" spans="1:14" x14ac:dyDescent="0.25">
      <c r="A16" t="s">
        <v>14</v>
      </c>
      <c r="B16" t="s">
        <v>131</v>
      </c>
      <c r="C16" t="s">
        <v>272</v>
      </c>
      <c r="D16" t="s">
        <v>424</v>
      </c>
      <c r="F16" t="s">
        <v>442</v>
      </c>
      <c r="G16" t="str">
        <f>HYPERLINK("https://ca.linkedin.com/jobs/view/data-analyst-at-westland-insurance-group-ltd-3345807760?refId=Xz0oaC2uK3DZxEZUKvBkmg%3D%3D&amp;trackingId=KGV1lYPDG87dyDB5Rbws%2FA%3D%3D&amp;position=15&amp;pageNum=0&amp;trk=public_jobs_jserp-result_search-card", "Job Link")</f>
        <v>Job Link</v>
      </c>
      <c r="H16" t="s">
        <v>476</v>
      </c>
      <c r="I16" t="s">
        <v>481</v>
      </c>
      <c r="J16" t="s">
        <v>486</v>
      </c>
      <c r="K16" t="s">
        <v>525</v>
      </c>
      <c r="L16" t="s">
        <v>589</v>
      </c>
      <c r="M16" t="s">
        <v>618</v>
      </c>
      <c r="N16" t="s">
        <v>601</v>
      </c>
    </row>
    <row r="17" spans="1:14" x14ac:dyDescent="0.25">
      <c r="A17" t="s">
        <v>14</v>
      </c>
      <c r="B17" t="s">
        <v>132</v>
      </c>
      <c r="C17" t="s">
        <v>273</v>
      </c>
      <c r="D17" t="s">
        <v>424</v>
      </c>
      <c r="F17" t="s">
        <v>443</v>
      </c>
      <c r="G17" t="str">
        <f>HYPERLINK("https://ca.linkedin.com/jobs/view/data-analyst-at-fasken-3365947704?refId=Xz0oaC2uK3DZxEZUKvBkmg%3D%3D&amp;trackingId=X14A8A3tZaTtVjTCLRz69w%3D%3D&amp;position=16&amp;pageNum=0&amp;trk=public_jobs_jserp-result_search-card", "Job Link")</f>
        <v>Job Link</v>
      </c>
      <c r="H17" t="s">
        <v>476</v>
      </c>
      <c r="I17" t="s">
        <v>481</v>
      </c>
      <c r="J17" t="s">
        <v>486</v>
      </c>
      <c r="K17" t="s">
        <v>526</v>
      </c>
      <c r="L17" t="s">
        <v>590</v>
      </c>
      <c r="M17" t="s">
        <v>618</v>
      </c>
      <c r="N17" t="s">
        <v>601</v>
      </c>
    </row>
    <row r="18" spans="1:14" x14ac:dyDescent="0.25">
      <c r="A18" t="s">
        <v>14</v>
      </c>
      <c r="B18" t="s">
        <v>133</v>
      </c>
      <c r="C18" t="s">
        <v>274</v>
      </c>
      <c r="D18" t="s">
        <v>424</v>
      </c>
      <c r="F18" t="s">
        <v>434</v>
      </c>
      <c r="G18" t="str">
        <f>HYPERLINK("https://ca.linkedin.com/jobs/view/data-analyst-at-momentum-financial-services-group-3355811523?refId=Xz0oaC2uK3DZxEZUKvBkmg%3D%3D&amp;trackingId=f7ezhwmf2WJO2Qx9f4kWog%3D%3D&amp;position=17&amp;pageNum=0&amp;trk=public_jobs_jserp-result_search-card", "Job Link")</f>
        <v>Job Link</v>
      </c>
      <c r="H18" t="s">
        <v>476</v>
      </c>
      <c r="I18" t="s">
        <v>481</v>
      </c>
      <c r="J18" t="s">
        <v>486</v>
      </c>
      <c r="K18" t="s">
        <v>527</v>
      </c>
      <c r="L18" t="s">
        <v>582</v>
      </c>
      <c r="M18" t="s">
        <v>588</v>
      </c>
      <c r="N18" t="s">
        <v>601</v>
      </c>
    </row>
    <row r="19" spans="1:14" x14ac:dyDescent="0.25">
      <c r="A19" t="s">
        <v>14</v>
      </c>
      <c r="B19" t="s">
        <v>134</v>
      </c>
      <c r="C19" t="s">
        <v>275</v>
      </c>
      <c r="D19" t="s">
        <v>424</v>
      </c>
      <c r="F19" t="s">
        <v>444</v>
      </c>
      <c r="G19" t="str">
        <f>HYPERLINK("https://ca.linkedin.com/jobs/view/data-analyst-at-tes-the-employment-solution-3322589522?refId=Xz0oaC2uK3DZxEZUKvBkmg%3D%3D&amp;trackingId=WHugqAAcDc9DzMwUyt%2Bdrg%3D%3D&amp;position=18&amp;pageNum=0&amp;trk=public_jobs_jserp-result_search-card", "Job Link")</f>
        <v>Job Link</v>
      </c>
      <c r="H19" t="s">
        <v>476</v>
      </c>
      <c r="I19" t="s">
        <v>483</v>
      </c>
      <c r="J19" t="s">
        <v>486</v>
      </c>
      <c r="K19" t="s">
        <v>525</v>
      </c>
      <c r="L19" t="s">
        <v>591</v>
      </c>
      <c r="M19" t="s">
        <v>588</v>
      </c>
      <c r="N19" t="s">
        <v>601</v>
      </c>
    </row>
    <row r="20" spans="1:14" x14ac:dyDescent="0.25">
      <c r="A20" t="s">
        <v>14</v>
      </c>
      <c r="B20" t="s">
        <v>135</v>
      </c>
      <c r="C20" t="s">
        <v>276</v>
      </c>
      <c r="D20" t="s">
        <v>424</v>
      </c>
      <c r="F20" t="s">
        <v>440</v>
      </c>
      <c r="G20" t="str">
        <f>HYPERLINK("https://ca.linkedin.com/jobs/view/data-analyst-at-magna-international-3370822450?refId=Xz0oaC2uK3DZxEZUKvBkmg%3D%3D&amp;trackingId=ccUTUcyJdACaF5jqKhvD1A%3D%3D&amp;position=19&amp;pageNum=0&amp;trk=public_jobs_jserp-result_search-card", "Job Link")</f>
        <v>Job Link</v>
      </c>
      <c r="H20" t="s">
        <v>476</v>
      </c>
      <c r="I20" t="s">
        <v>481</v>
      </c>
      <c r="J20" t="s">
        <v>488</v>
      </c>
      <c r="K20" t="s">
        <v>528</v>
      </c>
      <c r="L20" t="s">
        <v>592</v>
      </c>
      <c r="M20" t="s">
        <v>588</v>
      </c>
      <c r="N20" t="s">
        <v>601</v>
      </c>
    </row>
    <row r="21" spans="1:14" x14ac:dyDescent="0.25">
      <c r="A21" t="s">
        <v>14</v>
      </c>
      <c r="B21" t="s">
        <v>128</v>
      </c>
      <c r="C21" t="s">
        <v>277</v>
      </c>
      <c r="D21" t="s">
        <v>424</v>
      </c>
      <c r="F21" t="s">
        <v>439</v>
      </c>
      <c r="G21" t="str">
        <f>HYPERLINK("https://ca.linkedin.com/jobs/view/data-analyst-at-diverse-lynx-3363374746?refId=Xz0oaC2uK3DZxEZUKvBkmg%3D%3D&amp;trackingId=b87gVqWxuaoOQ43BP4Roow%3D%3D&amp;position=20&amp;pageNum=0&amp;trk=public_jobs_jserp-result_search-card", "Job Link")</f>
        <v>Job Link</v>
      </c>
      <c r="H21" t="s">
        <v>476</v>
      </c>
      <c r="I21" t="s">
        <v>481</v>
      </c>
      <c r="J21" t="s">
        <v>486</v>
      </c>
      <c r="K21" t="s">
        <v>516</v>
      </c>
      <c r="L21" t="s">
        <v>586</v>
      </c>
      <c r="M21" t="s">
        <v>617</v>
      </c>
      <c r="N21" t="s">
        <v>601</v>
      </c>
    </row>
    <row r="22" spans="1:14" x14ac:dyDescent="0.25">
      <c r="A22" t="s">
        <v>19</v>
      </c>
      <c r="B22" t="s">
        <v>136</v>
      </c>
      <c r="C22" t="s">
        <v>278</v>
      </c>
      <c r="D22" t="s">
        <v>424</v>
      </c>
      <c r="F22" t="s">
        <v>445</v>
      </c>
      <c r="G22" t="str">
        <f>HYPERLINK("https://ca.linkedin.com/jobs/view/data-analyst-operations-at-sonder-inc-3229442908?refId=Xz0oaC2uK3DZxEZUKvBkmg%3D%3D&amp;trackingId=M95uPvRL7or7HdHHZAKD2Q%3D%3D&amp;position=21&amp;pageNum=0&amp;trk=public_jobs_jserp-result_search-card", "Job Link")</f>
        <v>Job Link</v>
      </c>
      <c r="H22" t="s">
        <v>476</v>
      </c>
      <c r="I22" t="s">
        <v>481</v>
      </c>
      <c r="J22" t="s">
        <v>486</v>
      </c>
      <c r="K22" t="s">
        <v>529</v>
      </c>
      <c r="L22" t="s">
        <v>582</v>
      </c>
      <c r="M22" t="s">
        <v>588</v>
      </c>
      <c r="N22" t="s">
        <v>601</v>
      </c>
    </row>
    <row r="23" spans="1:14" x14ac:dyDescent="0.25">
      <c r="A23" t="s">
        <v>20</v>
      </c>
      <c r="B23" t="s">
        <v>137</v>
      </c>
      <c r="C23" t="s">
        <v>279</v>
      </c>
      <c r="D23" t="s">
        <v>424</v>
      </c>
      <c r="F23" t="s">
        <v>446</v>
      </c>
      <c r="G23" t="str">
        <f>HYPERLINK("https://ca.linkedin.com/jobs/view/senior-data-analyst-at-mueller-water-products-3122544636?refId=Xz0oaC2uK3DZxEZUKvBkmg%3D%3D&amp;trackingId=cbANSF7pRijPkIpKhjxq4w%3D%3D&amp;position=22&amp;pageNum=0&amp;trk=public_jobs_jserp-result_search-card", "Job Link")</f>
        <v>Job Link</v>
      </c>
      <c r="H23" t="s">
        <v>478</v>
      </c>
      <c r="I23" t="s">
        <v>481</v>
      </c>
      <c r="J23" t="s">
        <v>486</v>
      </c>
      <c r="K23" t="s">
        <v>530</v>
      </c>
      <c r="L23" t="s">
        <v>582</v>
      </c>
      <c r="M23" t="s">
        <v>588</v>
      </c>
      <c r="N23" t="s">
        <v>601</v>
      </c>
    </row>
    <row r="24" spans="1:14" x14ac:dyDescent="0.25">
      <c r="A24" t="s">
        <v>21</v>
      </c>
      <c r="B24" t="s">
        <v>138</v>
      </c>
      <c r="C24" t="s">
        <v>280</v>
      </c>
      <c r="D24" t="s">
        <v>424</v>
      </c>
      <c r="F24" t="s">
        <v>447</v>
      </c>
      <c r="G24" t="str">
        <f>HYPERLINK("https://ca.linkedin.com/jobs/view/data-entry-jr-analyst-6-month-contract-at-csl-group-ltd-3323214993?refId=Xz0oaC2uK3DZxEZUKvBkmg%3D%3D&amp;trackingId=yKkTl7Nl8SINotMgCP%2BIvw%3D%3D&amp;position=23&amp;pageNum=0&amp;trk=public_jobs_jserp-result_search-card", "Job Link")</f>
        <v>Job Link</v>
      </c>
      <c r="H24" t="s">
        <v>476</v>
      </c>
      <c r="I24" t="s">
        <v>484</v>
      </c>
      <c r="J24" t="s">
        <v>489</v>
      </c>
      <c r="K24" t="s">
        <v>531</v>
      </c>
      <c r="L24" t="s">
        <v>593</v>
      </c>
      <c r="M24" t="s">
        <v>588</v>
      </c>
      <c r="N24" t="s">
        <v>601</v>
      </c>
    </row>
    <row r="25" spans="1:14" x14ac:dyDescent="0.25">
      <c r="A25" t="s">
        <v>22</v>
      </c>
      <c r="B25" t="s">
        <v>139</v>
      </c>
      <c r="C25" t="s">
        <v>281</v>
      </c>
      <c r="D25" t="s">
        <v>424</v>
      </c>
      <c r="F25" t="s">
        <v>435</v>
      </c>
      <c r="G25" t="str">
        <f>HYPERLINK("https://ca.linkedin.com/jobs/view/quality-data-analyst-at-lululemon-3341634874?refId=Xz0oaC2uK3DZxEZUKvBkmg%3D%3D&amp;trackingId=PClQ%2Ffd%2FvYQE3OUUEyoBpA%3D%3D&amp;position=24&amp;pageNum=0&amp;trk=public_jobs_jserp-result_search-card", "Job Link")</f>
        <v>Job Link</v>
      </c>
      <c r="H25" t="s">
        <v>476</v>
      </c>
      <c r="I25" t="s">
        <v>481</v>
      </c>
      <c r="J25" t="s">
        <v>486</v>
      </c>
      <c r="K25" t="s">
        <v>532</v>
      </c>
      <c r="L25" t="s">
        <v>590</v>
      </c>
      <c r="M25" t="s">
        <v>618</v>
      </c>
      <c r="N25" t="s">
        <v>601</v>
      </c>
    </row>
    <row r="26" spans="1:14" x14ac:dyDescent="0.25">
      <c r="A26" t="s">
        <v>14</v>
      </c>
      <c r="B26" t="s">
        <v>140</v>
      </c>
      <c r="C26" t="s">
        <v>282</v>
      </c>
      <c r="D26" t="s">
        <v>424</v>
      </c>
      <c r="F26" t="s">
        <v>440</v>
      </c>
      <c r="G26" t="str">
        <f>HYPERLINK("https://ca.linkedin.com/jobs/view/data-analyst-at-scotiabank-3365406993?refId=Xz0oaC2uK3DZxEZUKvBkmg%3D%3D&amp;trackingId=IwgEb9HgSeBWTam4Ovx5Bg%3D%3D&amp;position=25&amp;pageNum=0&amp;trk=public_jobs_jserp-result_search-card", "Job Link")</f>
        <v>Job Link</v>
      </c>
      <c r="H26" t="s">
        <v>479</v>
      </c>
      <c r="I26" t="s">
        <v>481</v>
      </c>
      <c r="J26" t="s">
        <v>486</v>
      </c>
      <c r="K26" t="s">
        <v>533</v>
      </c>
      <c r="L26" t="s">
        <v>582</v>
      </c>
      <c r="M26" t="s">
        <v>588</v>
      </c>
      <c r="N26" t="s">
        <v>601</v>
      </c>
    </row>
    <row r="27" spans="1:14" x14ac:dyDescent="0.25">
      <c r="A27" t="s">
        <v>14</v>
      </c>
      <c r="B27" t="s">
        <v>118</v>
      </c>
      <c r="C27" t="s">
        <v>258</v>
      </c>
      <c r="D27" t="s">
        <v>424</v>
      </c>
      <c r="F27" t="s">
        <v>430</v>
      </c>
      <c r="G27" t="str">
        <f>HYPERLINK("https://ca.linkedin.com/jobs/view/data-analyst-at-axonify-3324670516?refId=7u8OEBHncOjljh7M3QgZUg%3D%3D&amp;trackingId=HkwrDXFfaW8YJnL9e0iPhw%3D%3D&amp;position=1&amp;pageNum=0&amp;trk=public_jobs_jserp-result_search-card", "Job Link")</f>
        <v>Job Link</v>
      </c>
      <c r="H27" t="s">
        <v>476</v>
      </c>
      <c r="I27" t="s">
        <v>481</v>
      </c>
      <c r="J27" t="s">
        <v>486</v>
      </c>
      <c r="K27" t="s">
        <v>516</v>
      </c>
      <c r="L27" t="s">
        <v>581</v>
      </c>
      <c r="M27" t="s">
        <v>588</v>
      </c>
      <c r="N27" t="s">
        <v>601</v>
      </c>
    </row>
    <row r="28" spans="1:14" x14ac:dyDescent="0.25">
      <c r="A28" t="s">
        <v>14</v>
      </c>
      <c r="B28" t="s">
        <v>119</v>
      </c>
      <c r="C28" t="s">
        <v>259</v>
      </c>
      <c r="D28" t="s">
        <v>424</v>
      </c>
      <c r="F28" t="s">
        <v>431</v>
      </c>
      <c r="G28" t="str">
        <f>HYPERLINK("https://ca.linkedin.com/jobs/view/data-analyst-at-b3-systems-3361794123?refId=7u8OEBHncOjljh7M3QgZUg%3D%3D&amp;trackingId=28NcKbIoBqojvO1KPmDKRA%3D%3D&amp;position=2&amp;pageNum=0&amp;trk=public_jobs_jserp-result_search-card", "Job Link")</f>
        <v>Job Link</v>
      </c>
      <c r="I28" t="s">
        <v>481</v>
      </c>
      <c r="L28" t="s">
        <v>582</v>
      </c>
      <c r="M28" t="s">
        <v>588</v>
      </c>
      <c r="N28" t="s">
        <v>601</v>
      </c>
    </row>
    <row r="29" spans="1:14" x14ac:dyDescent="0.25">
      <c r="A29" t="s">
        <v>14</v>
      </c>
      <c r="B29" t="s">
        <v>120</v>
      </c>
      <c r="C29" t="s">
        <v>260</v>
      </c>
      <c r="D29" t="s">
        <v>424</v>
      </c>
      <c r="F29" t="s">
        <v>431</v>
      </c>
      <c r="G29" t="str">
        <f>HYPERLINK("https://ca.linkedin.com/jobs/view/data-analyst-at-wood-mackenzie-3271782079?refId=7u8OEBHncOjljh7M3QgZUg%3D%3D&amp;trackingId=oUQ7qHqArSpyhejuLIWnBw%3D%3D&amp;position=3&amp;pageNum=0&amp;trk=public_jobs_jserp-result_search-card", "Job Link")</f>
        <v>Job Link</v>
      </c>
      <c r="H29" t="s">
        <v>477</v>
      </c>
      <c r="I29" t="s">
        <v>481</v>
      </c>
      <c r="J29" t="s">
        <v>487</v>
      </c>
      <c r="K29" t="s">
        <v>517</v>
      </c>
      <c r="L29" t="s">
        <v>583</v>
      </c>
      <c r="M29" t="s">
        <v>610</v>
      </c>
      <c r="N29" t="s">
        <v>601</v>
      </c>
    </row>
    <row r="30" spans="1:14" x14ac:dyDescent="0.25">
      <c r="A30" t="s">
        <v>14</v>
      </c>
      <c r="B30" t="s">
        <v>122</v>
      </c>
      <c r="C30" t="s">
        <v>262</v>
      </c>
      <c r="D30" t="s">
        <v>424</v>
      </c>
      <c r="F30" t="s">
        <v>433</v>
      </c>
      <c r="G30" t="str">
        <f>HYPERLINK("https://ca.linkedin.com/jobs/view/data-analyst-at-nam-info-inc-3351590976?refId=7u8OEBHncOjljh7M3QgZUg%3D%3D&amp;trackingId=hpD0RoLEBWkE0G4t9ueQxg%3D%3D&amp;position=4&amp;pageNum=0&amp;trk=public_jobs_jserp-result_search-card", "Job Link")</f>
        <v>Job Link</v>
      </c>
      <c r="H30" t="s">
        <v>478</v>
      </c>
      <c r="I30" t="s">
        <v>483</v>
      </c>
      <c r="J30" t="s">
        <v>486</v>
      </c>
      <c r="K30" t="s">
        <v>518</v>
      </c>
      <c r="L30" t="s">
        <v>582</v>
      </c>
      <c r="M30" t="s">
        <v>588</v>
      </c>
      <c r="N30" t="s">
        <v>601</v>
      </c>
    </row>
    <row r="31" spans="1:14" x14ac:dyDescent="0.25">
      <c r="A31" t="s">
        <v>14</v>
      </c>
      <c r="B31" t="s">
        <v>123</v>
      </c>
      <c r="C31" t="s">
        <v>263</v>
      </c>
      <c r="D31" t="s">
        <v>424</v>
      </c>
      <c r="F31" t="s">
        <v>434</v>
      </c>
      <c r="G31" t="str">
        <f>HYPERLINK("https://ca.linkedin.com/jobs/view/data-analyst-at-citi-3263096865?refId=7u8OEBHncOjljh7M3QgZUg%3D%3D&amp;trackingId=R2%2B7dkOVuyeSMor1JV6nyA%3D%3D&amp;position=5&amp;pageNum=0&amp;trk=public_jobs_jserp-result_search-card", "Job Link")</f>
        <v>Job Link</v>
      </c>
      <c r="H31" t="s">
        <v>479</v>
      </c>
      <c r="I31" t="s">
        <v>481</v>
      </c>
      <c r="J31" t="s">
        <v>486</v>
      </c>
      <c r="K31" t="s">
        <v>519</v>
      </c>
      <c r="L31" t="s">
        <v>584</v>
      </c>
      <c r="M31" t="s">
        <v>588</v>
      </c>
      <c r="N31" t="s">
        <v>601</v>
      </c>
    </row>
    <row r="32" spans="1:14" x14ac:dyDescent="0.25">
      <c r="A32" t="s">
        <v>14</v>
      </c>
      <c r="B32" t="s">
        <v>121</v>
      </c>
      <c r="C32" t="s">
        <v>261</v>
      </c>
      <c r="D32" t="s">
        <v>424</v>
      </c>
      <c r="F32" t="s">
        <v>432</v>
      </c>
      <c r="G32" t="str">
        <f>HYPERLINK("https://ca.linkedin.com/jobs/view/data-analyst-at-loft-community-services-3364383026?refId=7u8OEBHncOjljh7M3QgZUg%3D%3D&amp;trackingId=1281ADz4Xv5olNAg1mgdjQ%3D%3D&amp;position=6&amp;pageNum=0&amp;trk=public_jobs_jserp-result_search-card", "Job Link")</f>
        <v>Job Link</v>
      </c>
      <c r="I32" t="s">
        <v>482</v>
      </c>
      <c r="L32" t="s">
        <v>582</v>
      </c>
      <c r="M32" t="s">
        <v>588</v>
      </c>
      <c r="N32" t="s">
        <v>601</v>
      </c>
    </row>
    <row r="33" spans="1:14" x14ac:dyDescent="0.25">
      <c r="A33" t="s">
        <v>14</v>
      </c>
      <c r="B33" t="s">
        <v>124</v>
      </c>
      <c r="C33" t="s">
        <v>264</v>
      </c>
      <c r="D33" t="s">
        <v>424</v>
      </c>
      <c r="F33" t="s">
        <v>435</v>
      </c>
      <c r="G33" t="str">
        <f>HYPERLINK("https://ca.linkedin.com/jobs/view/data-analyst-at-king-s-college-london-3335332409?refId=7u8OEBHncOjljh7M3QgZUg%3D%3D&amp;trackingId=BtIQ3OhbmbtZCOOljv4IUA%3D%3D&amp;position=7&amp;pageNum=0&amp;trk=public_jobs_jserp-result_search-card", "Job Link")</f>
        <v>Job Link</v>
      </c>
      <c r="H33" t="s">
        <v>476</v>
      </c>
      <c r="I33" t="s">
        <v>481</v>
      </c>
      <c r="J33" t="s">
        <v>486</v>
      </c>
      <c r="K33" t="s">
        <v>520</v>
      </c>
      <c r="L33" t="s">
        <v>585</v>
      </c>
      <c r="M33" t="s">
        <v>588</v>
      </c>
      <c r="N33" t="s">
        <v>601</v>
      </c>
    </row>
    <row r="34" spans="1:14" x14ac:dyDescent="0.25">
      <c r="A34" t="s">
        <v>15</v>
      </c>
      <c r="B34" t="s">
        <v>125</v>
      </c>
      <c r="C34" t="s">
        <v>265</v>
      </c>
      <c r="D34" t="s">
        <v>424</v>
      </c>
      <c r="F34" t="s">
        <v>431</v>
      </c>
      <c r="G34" t="str">
        <f>HYPERLINK("https://ca.linkedin.com/jobs/view/data-analyst-remote-at-cognizant-microsoft-business-group-3333618510?refId=7u8OEBHncOjljh7M3QgZUg%3D%3D&amp;trackingId=228SkhWfSTcepJNdXWrLsQ%3D%3D&amp;position=8&amp;pageNum=0&amp;trk=public_jobs_jserp-result_search-card", "Job Link")</f>
        <v>Job Link</v>
      </c>
      <c r="H34" t="s">
        <v>476</v>
      </c>
      <c r="I34" t="s">
        <v>481</v>
      </c>
      <c r="J34" t="s">
        <v>486</v>
      </c>
      <c r="K34" t="s">
        <v>521</v>
      </c>
      <c r="L34" t="s">
        <v>582</v>
      </c>
      <c r="M34" t="s">
        <v>588</v>
      </c>
      <c r="N34" t="s">
        <v>601</v>
      </c>
    </row>
    <row r="35" spans="1:14" x14ac:dyDescent="0.25">
      <c r="A35" t="s">
        <v>16</v>
      </c>
      <c r="B35" t="s">
        <v>126</v>
      </c>
      <c r="C35" t="s">
        <v>266</v>
      </c>
      <c r="D35" t="s">
        <v>424</v>
      </c>
      <c r="F35" t="s">
        <v>436</v>
      </c>
      <c r="G35" t="str">
        <f>HYPERLINK("https://ca.linkedin.com/jobs/view/data-analyst-loans-at-tata-consultancy-services-3344804680?refId=7u8OEBHncOjljh7M3QgZUg%3D%3D&amp;trackingId=jkCSCIscofS8PSJOaZJTeQ%3D%3D&amp;position=9&amp;pageNum=0&amp;trk=public_jobs_jserp-result_search-card", "Job Link")</f>
        <v>Job Link</v>
      </c>
      <c r="H35" t="s">
        <v>477</v>
      </c>
      <c r="I35" t="s">
        <v>481</v>
      </c>
      <c r="J35" t="s">
        <v>486</v>
      </c>
      <c r="K35" t="s">
        <v>517</v>
      </c>
      <c r="L35" t="s">
        <v>584</v>
      </c>
      <c r="M35" t="s">
        <v>588</v>
      </c>
      <c r="N35" t="s">
        <v>601</v>
      </c>
    </row>
    <row r="36" spans="1:14" x14ac:dyDescent="0.25">
      <c r="A36" t="s">
        <v>17</v>
      </c>
      <c r="B36" t="s">
        <v>123</v>
      </c>
      <c r="C36" t="s">
        <v>268</v>
      </c>
      <c r="D36" t="s">
        <v>424</v>
      </c>
      <c r="F36" t="s">
        <v>438</v>
      </c>
      <c r="G36" t="str">
        <f>HYPERLINK("https://ca.linkedin.com/jobs/view/data-analyst-developer-at-citi-3322089923?refId=7u8OEBHncOjljh7M3QgZUg%3D%3D&amp;trackingId=8ID8sK%2FPpOHc6yyYFzi4qQ%3D%3D&amp;position=10&amp;pageNum=0&amp;trk=public_jobs_jserp-result_search-card", "Job Link")</f>
        <v>Job Link</v>
      </c>
      <c r="H36" t="s">
        <v>479</v>
      </c>
      <c r="I36" t="s">
        <v>481</v>
      </c>
      <c r="J36" t="s">
        <v>486</v>
      </c>
      <c r="K36" t="s">
        <v>519</v>
      </c>
      <c r="L36" t="s">
        <v>584</v>
      </c>
      <c r="M36" t="s">
        <v>588</v>
      </c>
      <c r="N36" t="s">
        <v>601</v>
      </c>
    </row>
    <row r="37" spans="1:14" x14ac:dyDescent="0.25">
      <c r="A37" t="s">
        <v>14</v>
      </c>
      <c r="B37" t="s">
        <v>128</v>
      </c>
      <c r="C37" t="s">
        <v>269</v>
      </c>
      <c r="D37" t="s">
        <v>424</v>
      </c>
      <c r="F37" t="s">
        <v>439</v>
      </c>
      <c r="G37" t="str">
        <f>HYPERLINK("https://ca.linkedin.com/jobs/view/data-analyst-at-diverse-lynx-3363377240?refId=7u8OEBHncOjljh7M3QgZUg%3D%3D&amp;trackingId=o%2Fw2dS9MVqThWANJ7B7S1Q%3D%3D&amp;position=11&amp;pageNum=0&amp;trk=public_jobs_jserp-result_search-card", "Job Link")</f>
        <v>Job Link</v>
      </c>
      <c r="H37" t="s">
        <v>476</v>
      </c>
      <c r="I37" t="s">
        <v>481</v>
      </c>
      <c r="J37" t="s">
        <v>486</v>
      </c>
      <c r="K37" t="s">
        <v>516</v>
      </c>
      <c r="L37" t="s">
        <v>586</v>
      </c>
      <c r="M37" t="s">
        <v>617</v>
      </c>
      <c r="N37" t="s">
        <v>601</v>
      </c>
    </row>
    <row r="38" spans="1:14" x14ac:dyDescent="0.25">
      <c r="A38" t="s">
        <v>14</v>
      </c>
      <c r="B38" t="s">
        <v>129</v>
      </c>
      <c r="C38" t="s">
        <v>270</v>
      </c>
      <c r="D38" t="s">
        <v>424</v>
      </c>
      <c r="F38" t="s">
        <v>440</v>
      </c>
      <c r="G38" t="str">
        <f>HYPERLINK("https://ca.linkedin.com/jobs/view/data-analyst-at-agricorp-3364433441?refId=7u8OEBHncOjljh7M3QgZUg%3D%3D&amp;trackingId=haO9IV%2BvF7Acu%2FFOsYfFKA%3D%3D&amp;position=12&amp;pageNum=0&amp;trk=public_jobs_jserp-result_search-card", "Job Link")</f>
        <v>Job Link</v>
      </c>
      <c r="H38" t="s">
        <v>476</v>
      </c>
      <c r="I38" t="s">
        <v>481</v>
      </c>
      <c r="J38" t="s">
        <v>486</v>
      </c>
      <c r="K38" t="s">
        <v>523</v>
      </c>
      <c r="L38" t="s">
        <v>587</v>
      </c>
      <c r="M38" t="s">
        <v>588</v>
      </c>
      <c r="N38" t="s">
        <v>601</v>
      </c>
    </row>
    <row r="39" spans="1:14" x14ac:dyDescent="0.25">
      <c r="A39" t="s">
        <v>14</v>
      </c>
      <c r="B39" t="s">
        <v>128</v>
      </c>
      <c r="C39" t="s">
        <v>277</v>
      </c>
      <c r="D39" t="s">
        <v>424</v>
      </c>
      <c r="F39" t="s">
        <v>439</v>
      </c>
      <c r="G39" t="str">
        <f>HYPERLINK("https://ca.linkedin.com/jobs/view/data-analyst-at-diverse-lynx-3363374746?refId=7u8OEBHncOjljh7M3QgZUg%3D%3D&amp;trackingId=wrdiOhELxItuuA7eninfuQ%3D%3D&amp;position=13&amp;pageNum=0&amp;trk=public_jobs_jserp-result_search-card", "Job Link")</f>
        <v>Job Link</v>
      </c>
      <c r="H39" t="s">
        <v>476</v>
      </c>
      <c r="I39" t="s">
        <v>481</v>
      </c>
      <c r="J39" t="s">
        <v>486</v>
      </c>
      <c r="K39" t="s">
        <v>516</v>
      </c>
      <c r="L39" t="s">
        <v>586</v>
      </c>
      <c r="M39" t="s">
        <v>617</v>
      </c>
      <c r="N39" t="s">
        <v>601</v>
      </c>
    </row>
    <row r="40" spans="1:14" x14ac:dyDescent="0.25">
      <c r="A40" t="s">
        <v>18</v>
      </c>
      <c r="B40" t="s">
        <v>130</v>
      </c>
      <c r="C40" t="s">
        <v>271</v>
      </c>
      <c r="D40" t="s">
        <v>424</v>
      </c>
      <c r="F40" t="s">
        <v>441</v>
      </c>
      <c r="G40" t="str">
        <f>HYPERLINK("https://ca.linkedin.com/jobs/view/junior-data-analyst-mississauga-on-at-arjo-3323264354?refId=7u8OEBHncOjljh7M3QgZUg%3D%3D&amp;trackingId=qYHiqmo%2BKrmh%2Fxk6BX26%2BA%3D%3D&amp;position=14&amp;pageNum=0&amp;trk=public_jobs_jserp-result_search-card", "Job Link")</f>
        <v>Job Link</v>
      </c>
      <c r="H40" t="s">
        <v>479</v>
      </c>
      <c r="I40" t="s">
        <v>481</v>
      </c>
      <c r="J40" t="s">
        <v>486</v>
      </c>
      <c r="K40" t="s">
        <v>524</v>
      </c>
      <c r="L40" t="s">
        <v>588</v>
      </c>
      <c r="M40" t="s">
        <v>601</v>
      </c>
    </row>
    <row r="41" spans="1:14" x14ac:dyDescent="0.25">
      <c r="A41" t="s">
        <v>14</v>
      </c>
      <c r="B41" t="s">
        <v>127</v>
      </c>
      <c r="C41" t="s">
        <v>267</v>
      </c>
      <c r="D41" t="s">
        <v>424</v>
      </c>
      <c r="F41" t="s">
        <v>437</v>
      </c>
      <c r="G41" t="str">
        <f>HYPERLINK("https://ca.linkedin.com/jobs/view/data-analyst-at-vubiquity-3365112221?refId=7u8OEBHncOjljh7M3QgZUg%3D%3D&amp;trackingId=qZ4SSOXDmdIMPuegQraLKw%3D%3D&amp;position=15&amp;pageNum=0&amp;trk=public_jobs_jserp-result_search-card", "Job Link")</f>
        <v>Job Link</v>
      </c>
      <c r="H41" t="s">
        <v>476</v>
      </c>
      <c r="I41" t="s">
        <v>481</v>
      </c>
      <c r="J41" t="s">
        <v>486</v>
      </c>
      <c r="K41" t="s">
        <v>522</v>
      </c>
      <c r="L41" t="s">
        <v>582</v>
      </c>
      <c r="M41" t="s">
        <v>588</v>
      </c>
      <c r="N41" t="s">
        <v>601</v>
      </c>
    </row>
    <row r="42" spans="1:14" x14ac:dyDescent="0.25">
      <c r="A42" t="s">
        <v>14</v>
      </c>
      <c r="B42" t="s">
        <v>135</v>
      </c>
      <c r="C42" t="s">
        <v>276</v>
      </c>
      <c r="D42" t="s">
        <v>424</v>
      </c>
      <c r="F42" t="s">
        <v>440</v>
      </c>
      <c r="G42" t="str">
        <f>HYPERLINK("https://ca.linkedin.com/jobs/view/data-analyst-at-magna-international-3370822450?refId=7u8OEBHncOjljh7M3QgZUg%3D%3D&amp;trackingId=5dSAIzeBnojMny%2BBwFUNoQ%3D%3D&amp;position=16&amp;pageNum=0&amp;trk=public_jobs_jserp-result_search-card", "Job Link")</f>
        <v>Job Link</v>
      </c>
      <c r="H42" t="s">
        <v>476</v>
      </c>
      <c r="I42" t="s">
        <v>481</v>
      </c>
      <c r="J42" t="s">
        <v>488</v>
      </c>
      <c r="K42" t="s">
        <v>528</v>
      </c>
      <c r="L42" t="s">
        <v>592</v>
      </c>
      <c r="M42" t="s">
        <v>588</v>
      </c>
      <c r="N42" t="s">
        <v>601</v>
      </c>
    </row>
    <row r="43" spans="1:14" x14ac:dyDescent="0.25">
      <c r="A43" t="s">
        <v>14</v>
      </c>
      <c r="B43" t="s">
        <v>131</v>
      </c>
      <c r="C43" t="s">
        <v>272</v>
      </c>
      <c r="D43" t="s">
        <v>424</v>
      </c>
      <c r="F43" t="s">
        <v>442</v>
      </c>
      <c r="G43" t="str">
        <f>HYPERLINK("https://ca.linkedin.com/jobs/view/data-analyst-at-westland-insurance-group-ltd-3345807760?refId=7u8OEBHncOjljh7M3QgZUg%3D%3D&amp;trackingId=9G56VJntPE%2F9HtS87hQAfg%3D%3D&amp;position=17&amp;pageNum=0&amp;trk=public_jobs_jserp-result_search-card", "Job Link")</f>
        <v>Job Link</v>
      </c>
      <c r="H43" t="s">
        <v>476</v>
      </c>
      <c r="I43" t="s">
        <v>481</v>
      </c>
      <c r="J43" t="s">
        <v>486</v>
      </c>
      <c r="K43" t="s">
        <v>525</v>
      </c>
      <c r="L43" t="s">
        <v>589</v>
      </c>
      <c r="M43" t="s">
        <v>618</v>
      </c>
      <c r="N43" t="s">
        <v>601</v>
      </c>
    </row>
    <row r="44" spans="1:14" x14ac:dyDescent="0.25">
      <c r="A44" t="s">
        <v>14</v>
      </c>
      <c r="B44" t="s">
        <v>133</v>
      </c>
      <c r="C44" t="s">
        <v>274</v>
      </c>
      <c r="D44" t="s">
        <v>424</v>
      </c>
      <c r="F44" t="s">
        <v>434</v>
      </c>
      <c r="G44" t="str">
        <f>HYPERLINK("https://ca.linkedin.com/jobs/view/data-analyst-at-momentum-financial-services-group-3355811523?refId=7u8OEBHncOjljh7M3QgZUg%3D%3D&amp;trackingId=iwpg2eb%2B%2B0KmvUjDd5zbPg%3D%3D&amp;position=18&amp;pageNum=0&amp;trk=public_jobs_jserp-result_search-card", "Job Link")</f>
        <v>Job Link</v>
      </c>
      <c r="H44" t="s">
        <v>476</v>
      </c>
      <c r="I44" t="s">
        <v>481</v>
      </c>
      <c r="J44" t="s">
        <v>486</v>
      </c>
      <c r="K44" t="s">
        <v>527</v>
      </c>
      <c r="L44" t="s">
        <v>582</v>
      </c>
      <c r="M44" t="s">
        <v>588</v>
      </c>
      <c r="N44" t="s">
        <v>601</v>
      </c>
    </row>
    <row r="45" spans="1:14" x14ac:dyDescent="0.25">
      <c r="A45" t="s">
        <v>14</v>
      </c>
      <c r="B45" t="s">
        <v>134</v>
      </c>
      <c r="C45" t="s">
        <v>275</v>
      </c>
      <c r="D45" t="s">
        <v>424</v>
      </c>
      <c r="F45" t="s">
        <v>444</v>
      </c>
      <c r="G45" t="str">
        <f>HYPERLINK("https://ca.linkedin.com/jobs/view/data-analyst-at-tes-the-employment-solution-3322589522?refId=7u8OEBHncOjljh7M3QgZUg%3D%3D&amp;trackingId=QPE9FiZvxxBZCGTImUIErw%3D%3D&amp;position=19&amp;pageNum=0&amp;trk=public_jobs_jserp-result_search-card", "Job Link")</f>
        <v>Job Link</v>
      </c>
      <c r="H45" t="s">
        <v>476</v>
      </c>
      <c r="I45" t="s">
        <v>483</v>
      </c>
      <c r="J45" t="s">
        <v>486</v>
      </c>
      <c r="K45" t="s">
        <v>525</v>
      </c>
      <c r="L45" t="s">
        <v>591</v>
      </c>
      <c r="M45" t="s">
        <v>588</v>
      </c>
      <c r="N45" t="s">
        <v>601</v>
      </c>
    </row>
    <row r="46" spans="1:14" x14ac:dyDescent="0.25">
      <c r="A46" t="s">
        <v>19</v>
      </c>
      <c r="B46" t="s">
        <v>136</v>
      </c>
      <c r="C46" t="s">
        <v>278</v>
      </c>
      <c r="D46" t="s">
        <v>424</v>
      </c>
      <c r="F46" t="s">
        <v>445</v>
      </c>
      <c r="G46" t="str">
        <f>HYPERLINK("https://ca.linkedin.com/jobs/view/data-analyst-operations-at-sonder-inc-3229442908?refId=7u8OEBHncOjljh7M3QgZUg%3D%3D&amp;trackingId=7IzIXgtOuAuE5ifFzk%2F08A%3D%3D&amp;position=20&amp;pageNum=0&amp;trk=public_jobs_jserp-result_search-card", "Job Link")</f>
        <v>Job Link</v>
      </c>
      <c r="H46" t="s">
        <v>476</v>
      </c>
      <c r="I46" t="s">
        <v>481</v>
      </c>
      <c r="J46" t="s">
        <v>486</v>
      </c>
      <c r="K46" t="s">
        <v>529</v>
      </c>
      <c r="L46" t="s">
        <v>582</v>
      </c>
      <c r="M46" t="s">
        <v>588</v>
      </c>
      <c r="N46" t="s">
        <v>601</v>
      </c>
    </row>
    <row r="47" spans="1:14" x14ac:dyDescent="0.25">
      <c r="A47" t="s">
        <v>20</v>
      </c>
      <c r="B47" t="s">
        <v>137</v>
      </c>
      <c r="C47" t="s">
        <v>279</v>
      </c>
      <c r="D47" t="s">
        <v>424</v>
      </c>
      <c r="F47" t="s">
        <v>446</v>
      </c>
      <c r="G47" t="str">
        <f>HYPERLINK("https://ca.linkedin.com/jobs/view/senior-data-analyst-at-mueller-water-products-3122544636?refId=7u8OEBHncOjljh7M3QgZUg%3D%3D&amp;trackingId=VmJM6xC6Y0GfEK0uIarypQ%3D%3D&amp;position=21&amp;pageNum=0&amp;trk=public_jobs_jserp-result_search-card", "Job Link")</f>
        <v>Job Link</v>
      </c>
      <c r="H47" t="s">
        <v>478</v>
      </c>
      <c r="I47" t="s">
        <v>481</v>
      </c>
      <c r="J47" t="s">
        <v>486</v>
      </c>
      <c r="K47" t="s">
        <v>530</v>
      </c>
      <c r="L47" t="s">
        <v>582</v>
      </c>
      <c r="M47" t="s">
        <v>588</v>
      </c>
      <c r="N47" t="s">
        <v>601</v>
      </c>
    </row>
    <row r="48" spans="1:14" x14ac:dyDescent="0.25">
      <c r="A48" t="s">
        <v>14</v>
      </c>
      <c r="B48" t="s">
        <v>128</v>
      </c>
      <c r="C48" t="s">
        <v>283</v>
      </c>
      <c r="D48" t="s">
        <v>424</v>
      </c>
      <c r="F48" t="s">
        <v>439</v>
      </c>
      <c r="G48" t="str">
        <f>HYPERLINK("https://ca.linkedin.com/jobs/view/data-analyst-at-diverse-lynx-3363122507?refId=7u8OEBHncOjljh7M3QgZUg%3D%3D&amp;trackingId=6qpZuL6Gwh%2FEJkLbPFUsMA%3D%3D&amp;position=22&amp;pageNum=0&amp;trk=public_jobs_jserp-result_search-card", "Job Link")</f>
        <v>Job Link</v>
      </c>
      <c r="H48" t="s">
        <v>476</v>
      </c>
      <c r="I48" t="s">
        <v>483</v>
      </c>
      <c r="J48" t="s">
        <v>486</v>
      </c>
      <c r="K48" t="s">
        <v>516</v>
      </c>
      <c r="L48" t="s">
        <v>594</v>
      </c>
      <c r="M48" t="s">
        <v>588</v>
      </c>
      <c r="N48" t="s">
        <v>601</v>
      </c>
    </row>
    <row r="49" spans="1:14" x14ac:dyDescent="0.25">
      <c r="A49" t="s">
        <v>21</v>
      </c>
      <c r="B49" t="s">
        <v>138</v>
      </c>
      <c r="C49" t="s">
        <v>280</v>
      </c>
      <c r="D49" t="s">
        <v>424</v>
      </c>
      <c r="F49" t="s">
        <v>447</v>
      </c>
      <c r="G49" t="str">
        <f>HYPERLINK("https://ca.linkedin.com/jobs/view/data-entry-jr-analyst-6-month-contract-at-csl-group-ltd-3323214993?refId=7u8OEBHncOjljh7M3QgZUg%3D%3D&amp;trackingId=wMB4EPlQ1%2Fh%2FOzZDy%2BXIag%3D%3D&amp;position=23&amp;pageNum=0&amp;trk=public_jobs_jserp-result_search-card", "Job Link")</f>
        <v>Job Link</v>
      </c>
      <c r="H49" t="s">
        <v>476</v>
      </c>
      <c r="I49" t="s">
        <v>484</v>
      </c>
      <c r="J49" t="s">
        <v>489</v>
      </c>
      <c r="K49" t="s">
        <v>531</v>
      </c>
      <c r="L49" t="s">
        <v>593</v>
      </c>
      <c r="M49" t="s">
        <v>588</v>
      </c>
      <c r="N49" t="s">
        <v>601</v>
      </c>
    </row>
    <row r="50" spans="1:14" x14ac:dyDescent="0.25">
      <c r="A50" t="s">
        <v>14</v>
      </c>
      <c r="B50" t="s">
        <v>132</v>
      </c>
      <c r="C50" t="s">
        <v>273</v>
      </c>
      <c r="D50" t="s">
        <v>424</v>
      </c>
      <c r="F50" t="s">
        <v>443</v>
      </c>
      <c r="G50" t="str">
        <f>HYPERLINK("https://ca.linkedin.com/jobs/view/data-analyst-at-fasken-3365947704?refId=7u8OEBHncOjljh7M3QgZUg%3D%3D&amp;trackingId=Q3zQfatR5inH9k%2ByDI8yeQ%3D%3D&amp;position=24&amp;pageNum=0&amp;trk=public_jobs_jserp-result_search-card", "Job Link")</f>
        <v>Job Link</v>
      </c>
      <c r="H50" t="s">
        <v>476</v>
      </c>
      <c r="I50" t="s">
        <v>481</v>
      </c>
      <c r="J50" t="s">
        <v>486</v>
      </c>
      <c r="K50" t="s">
        <v>526</v>
      </c>
      <c r="L50" t="s">
        <v>590</v>
      </c>
      <c r="M50" t="s">
        <v>618</v>
      </c>
      <c r="N50" t="s">
        <v>601</v>
      </c>
    </row>
    <row r="51" spans="1:14" x14ac:dyDescent="0.25">
      <c r="A51" t="s">
        <v>22</v>
      </c>
      <c r="B51" t="s">
        <v>139</v>
      </c>
      <c r="C51" t="s">
        <v>281</v>
      </c>
      <c r="D51" t="s">
        <v>424</v>
      </c>
      <c r="F51" t="s">
        <v>435</v>
      </c>
      <c r="G51" t="str">
        <f>HYPERLINK("https://ca.linkedin.com/jobs/view/quality-data-analyst-at-lululemon-3341634874?refId=7u8OEBHncOjljh7M3QgZUg%3D%3D&amp;trackingId=ufdr4drK3ixumVsgMljy8w%3D%3D&amp;position=25&amp;pageNum=0&amp;trk=public_jobs_jserp-result_search-card", "Job Link")</f>
        <v>Job Link</v>
      </c>
      <c r="H51" t="s">
        <v>476</v>
      </c>
      <c r="I51" t="s">
        <v>481</v>
      </c>
      <c r="J51" t="s">
        <v>486</v>
      </c>
      <c r="K51" t="s">
        <v>532</v>
      </c>
      <c r="L51" t="s">
        <v>590</v>
      </c>
      <c r="M51" t="s">
        <v>618</v>
      </c>
      <c r="N51" t="s">
        <v>601</v>
      </c>
    </row>
    <row r="52" spans="1:14" x14ac:dyDescent="0.25">
      <c r="A52" t="s">
        <v>14</v>
      </c>
      <c r="B52" t="s">
        <v>118</v>
      </c>
      <c r="C52" t="s">
        <v>258</v>
      </c>
      <c r="D52" t="s">
        <v>424</v>
      </c>
      <c r="F52" t="s">
        <v>430</v>
      </c>
      <c r="G52" t="str">
        <f>HYPERLINK("https://ca.linkedin.com/jobs/view/data-analyst-at-axonify-3324670516?refId=UtVIpFx9gkYHVfgATzHx6g%3D%3D&amp;trackingId=eLTuFkyjr%2BYRSKqjtp2NYA%3D%3D&amp;position=1&amp;pageNum=0&amp;trk=public_jobs_jserp-result_search-card", "Job Link")</f>
        <v>Job Link</v>
      </c>
      <c r="H52" t="s">
        <v>476</v>
      </c>
      <c r="I52" t="s">
        <v>481</v>
      </c>
      <c r="J52" t="s">
        <v>486</v>
      </c>
      <c r="K52" t="s">
        <v>516</v>
      </c>
      <c r="L52" t="s">
        <v>581</v>
      </c>
      <c r="M52" t="s">
        <v>588</v>
      </c>
      <c r="N52" t="s">
        <v>601</v>
      </c>
    </row>
    <row r="53" spans="1:14" x14ac:dyDescent="0.25">
      <c r="A53" t="s">
        <v>14</v>
      </c>
      <c r="B53" t="s">
        <v>119</v>
      </c>
      <c r="C53" t="s">
        <v>259</v>
      </c>
      <c r="D53" t="s">
        <v>424</v>
      </c>
      <c r="F53" t="s">
        <v>431</v>
      </c>
      <c r="G53" t="str">
        <f>HYPERLINK("https://ca.linkedin.com/jobs/view/data-analyst-at-b3-systems-3361794123?refId=UtVIpFx9gkYHVfgATzHx6g%3D%3D&amp;trackingId=XZemTXzNswK4pDYftkBCYA%3D%3D&amp;position=2&amp;pageNum=0&amp;trk=public_jobs_jserp-result_search-card", "Job Link")</f>
        <v>Job Link</v>
      </c>
      <c r="I53" t="s">
        <v>481</v>
      </c>
      <c r="L53" t="s">
        <v>582</v>
      </c>
      <c r="M53" t="s">
        <v>588</v>
      </c>
      <c r="N53" t="s">
        <v>601</v>
      </c>
    </row>
    <row r="54" spans="1:14" x14ac:dyDescent="0.25">
      <c r="A54" t="s">
        <v>14</v>
      </c>
      <c r="B54" t="s">
        <v>120</v>
      </c>
      <c r="C54" t="s">
        <v>260</v>
      </c>
      <c r="D54" t="s">
        <v>424</v>
      </c>
      <c r="F54" t="s">
        <v>431</v>
      </c>
      <c r="G54" t="str">
        <f>HYPERLINK("https://ca.linkedin.com/jobs/view/data-analyst-at-wood-mackenzie-3271782079?refId=UtVIpFx9gkYHVfgATzHx6g%3D%3D&amp;trackingId=m8yG27GhJK6XoWBloXiz4g%3D%3D&amp;position=3&amp;pageNum=0&amp;trk=public_jobs_jserp-result_search-card", "Job Link")</f>
        <v>Job Link</v>
      </c>
      <c r="H54" t="s">
        <v>477</v>
      </c>
      <c r="I54" t="s">
        <v>481</v>
      </c>
      <c r="J54" t="s">
        <v>487</v>
      </c>
      <c r="K54" t="s">
        <v>517</v>
      </c>
      <c r="L54" t="s">
        <v>583</v>
      </c>
      <c r="M54" t="s">
        <v>610</v>
      </c>
      <c r="N54" t="s">
        <v>601</v>
      </c>
    </row>
    <row r="55" spans="1:14" x14ac:dyDescent="0.25">
      <c r="A55" t="s">
        <v>14</v>
      </c>
      <c r="B55" t="s">
        <v>122</v>
      </c>
      <c r="C55" t="s">
        <v>262</v>
      </c>
      <c r="D55" t="s">
        <v>424</v>
      </c>
      <c r="F55" t="s">
        <v>433</v>
      </c>
      <c r="G55" t="str">
        <f>HYPERLINK("https://ca.linkedin.com/jobs/view/data-analyst-at-nam-info-inc-3351590976?refId=UtVIpFx9gkYHVfgATzHx6g%3D%3D&amp;trackingId=F9UftPw43VaPdgw7wdjHuQ%3D%3D&amp;position=4&amp;pageNum=0&amp;trk=public_jobs_jserp-result_search-card", "Job Link")</f>
        <v>Job Link</v>
      </c>
      <c r="H55" t="s">
        <v>478</v>
      </c>
      <c r="I55" t="s">
        <v>483</v>
      </c>
      <c r="J55" t="s">
        <v>486</v>
      </c>
      <c r="K55" t="s">
        <v>518</v>
      </c>
      <c r="L55" t="s">
        <v>582</v>
      </c>
      <c r="M55" t="s">
        <v>588</v>
      </c>
      <c r="N55" t="s">
        <v>601</v>
      </c>
    </row>
    <row r="56" spans="1:14" x14ac:dyDescent="0.25">
      <c r="A56" t="s">
        <v>14</v>
      </c>
      <c r="B56" t="s">
        <v>123</v>
      </c>
      <c r="C56" t="s">
        <v>263</v>
      </c>
      <c r="D56" t="s">
        <v>424</v>
      </c>
      <c r="F56" t="s">
        <v>434</v>
      </c>
      <c r="G56" t="str">
        <f>HYPERLINK("https://ca.linkedin.com/jobs/view/data-analyst-at-citi-3263096865?refId=UtVIpFx9gkYHVfgATzHx6g%3D%3D&amp;trackingId=CMZcW4yjde%2Bqk7aREoxgJQ%3D%3D&amp;position=5&amp;pageNum=0&amp;trk=public_jobs_jserp-result_search-card", "Job Link")</f>
        <v>Job Link</v>
      </c>
      <c r="H56" t="s">
        <v>479</v>
      </c>
      <c r="I56" t="s">
        <v>481</v>
      </c>
      <c r="J56" t="s">
        <v>486</v>
      </c>
      <c r="K56" t="s">
        <v>519</v>
      </c>
      <c r="L56" t="s">
        <v>584</v>
      </c>
      <c r="M56" t="s">
        <v>588</v>
      </c>
      <c r="N56" t="s">
        <v>601</v>
      </c>
    </row>
    <row r="57" spans="1:14" x14ac:dyDescent="0.25">
      <c r="A57" t="s">
        <v>14</v>
      </c>
      <c r="B57" t="s">
        <v>121</v>
      </c>
      <c r="C57" t="s">
        <v>261</v>
      </c>
      <c r="D57" t="s">
        <v>424</v>
      </c>
      <c r="F57" t="s">
        <v>432</v>
      </c>
      <c r="G57" t="str">
        <f>HYPERLINK("https://ca.linkedin.com/jobs/view/data-analyst-at-loft-community-services-3364383026?refId=UtVIpFx9gkYHVfgATzHx6g%3D%3D&amp;trackingId=GcJVMm7OGVTtJdNTjwUSVg%3D%3D&amp;position=6&amp;pageNum=0&amp;trk=public_jobs_jserp-result_search-card", "Job Link")</f>
        <v>Job Link</v>
      </c>
      <c r="I57" t="s">
        <v>482</v>
      </c>
      <c r="L57" t="s">
        <v>582</v>
      </c>
      <c r="M57" t="s">
        <v>588</v>
      </c>
      <c r="N57" t="s">
        <v>601</v>
      </c>
    </row>
    <row r="58" spans="1:14" x14ac:dyDescent="0.25">
      <c r="A58" t="s">
        <v>14</v>
      </c>
      <c r="B58" t="s">
        <v>124</v>
      </c>
      <c r="C58" t="s">
        <v>264</v>
      </c>
      <c r="D58" t="s">
        <v>424</v>
      </c>
      <c r="F58" t="s">
        <v>435</v>
      </c>
      <c r="G58" t="str">
        <f>HYPERLINK("https://ca.linkedin.com/jobs/view/data-analyst-at-king-s-college-london-3335332409?refId=UtVIpFx9gkYHVfgATzHx6g%3D%3D&amp;trackingId=yprRGeGCnxOGULAc6pTn4g%3D%3D&amp;position=7&amp;pageNum=0&amp;trk=public_jobs_jserp-result_search-card", "Job Link")</f>
        <v>Job Link</v>
      </c>
      <c r="H58" t="s">
        <v>476</v>
      </c>
      <c r="I58" t="s">
        <v>481</v>
      </c>
      <c r="J58" t="s">
        <v>486</v>
      </c>
      <c r="K58" t="s">
        <v>520</v>
      </c>
      <c r="L58" t="s">
        <v>585</v>
      </c>
      <c r="M58" t="s">
        <v>588</v>
      </c>
      <c r="N58" t="s">
        <v>601</v>
      </c>
    </row>
    <row r="59" spans="1:14" x14ac:dyDescent="0.25">
      <c r="A59" t="s">
        <v>15</v>
      </c>
      <c r="B59" t="s">
        <v>125</v>
      </c>
      <c r="C59" t="s">
        <v>265</v>
      </c>
      <c r="D59" t="s">
        <v>424</v>
      </c>
      <c r="F59" t="s">
        <v>431</v>
      </c>
      <c r="G59" t="str">
        <f>HYPERLINK("https://ca.linkedin.com/jobs/view/data-analyst-remote-at-cognizant-microsoft-business-group-3333618510?refId=UtVIpFx9gkYHVfgATzHx6g%3D%3D&amp;trackingId=6bFW67%2FTGPaMT7SdyXCCoQ%3D%3D&amp;position=8&amp;pageNum=0&amp;trk=public_jobs_jserp-result_search-card", "Job Link")</f>
        <v>Job Link</v>
      </c>
      <c r="H59" t="s">
        <v>476</v>
      </c>
      <c r="I59" t="s">
        <v>481</v>
      </c>
      <c r="J59" t="s">
        <v>486</v>
      </c>
      <c r="K59" t="s">
        <v>521</v>
      </c>
      <c r="L59" t="s">
        <v>582</v>
      </c>
      <c r="M59" t="s">
        <v>588</v>
      </c>
      <c r="N59" t="s">
        <v>601</v>
      </c>
    </row>
    <row r="60" spans="1:14" x14ac:dyDescent="0.25">
      <c r="A60" t="s">
        <v>16</v>
      </c>
      <c r="B60" t="s">
        <v>126</v>
      </c>
      <c r="C60" t="s">
        <v>266</v>
      </c>
      <c r="D60" t="s">
        <v>424</v>
      </c>
      <c r="F60" t="s">
        <v>436</v>
      </c>
      <c r="G60" t="str">
        <f>HYPERLINK("https://ca.linkedin.com/jobs/view/data-analyst-loans-at-tata-consultancy-services-3344804680?refId=UtVIpFx9gkYHVfgATzHx6g%3D%3D&amp;trackingId=makYE8zQE8AobYIdBYA0Hg%3D%3D&amp;position=9&amp;pageNum=0&amp;trk=public_jobs_jserp-result_search-card", "Job Link")</f>
        <v>Job Link</v>
      </c>
      <c r="H60" t="s">
        <v>477</v>
      </c>
      <c r="I60" t="s">
        <v>481</v>
      </c>
      <c r="J60" t="s">
        <v>486</v>
      </c>
      <c r="K60" t="s">
        <v>517</v>
      </c>
      <c r="L60" t="s">
        <v>584</v>
      </c>
      <c r="M60" t="s">
        <v>588</v>
      </c>
      <c r="N60" t="s">
        <v>601</v>
      </c>
    </row>
    <row r="61" spans="1:14" x14ac:dyDescent="0.25">
      <c r="A61" t="s">
        <v>17</v>
      </c>
      <c r="B61" t="s">
        <v>123</v>
      </c>
      <c r="C61" t="s">
        <v>268</v>
      </c>
      <c r="D61" t="s">
        <v>424</v>
      </c>
      <c r="F61" t="s">
        <v>438</v>
      </c>
      <c r="G61" t="str">
        <f>HYPERLINK("https://ca.linkedin.com/jobs/view/data-analyst-developer-at-citi-3322089923?refId=UtVIpFx9gkYHVfgATzHx6g%3D%3D&amp;trackingId=GokgwjOFu%2BFcqejL3bhvbQ%3D%3D&amp;position=10&amp;pageNum=0&amp;trk=public_jobs_jserp-result_search-card", "Job Link")</f>
        <v>Job Link</v>
      </c>
      <c r="H61" t="s">
        <v>479</v>
      </c>
      <c r="I61" t="s">
        <v>481</v>
      </c>
      <c r="J61" t="s">
        <v>486</v>
      </c>
      <c r="K61" t="s">
        <v>519</v>
      </c>
      <c r="L61" t="s">
        <v>584</v>
      </c>
      <c r="M61" t="s">
        <v>588</v>
      </c>
      <c r="N61" t="s">
        <v>601</v>
      </c>
    </row>
    <row r="62" spans="1:14" x14ac:dyDescent="0.25">
      <c r="A62" t="s">
        <v>14</v>
      </c>
      <c r="B62" t="s">
        <v>128</v>
      </c>
      <c r="C62" t="s">
        <v>269</v>
      </c>
      <c r="D62" t="s">
        <v>424</v>
      </c>
      <c r="F62" t="s">
        <v>439</v>
      </c>
      <c r="G62" t="str">
        <f>HYPERLINK("https://ca.linkedin.com/jobs/view/data-analyst-at-diverse-lynx-3363377240?refId=UtVIpFx9gkYHVfgATzHx6g%3D%3D&amp;trackingId=lwRWNkBQOs6zMUjA47flbw%3D%3D&amp;position=11&amp;pageNum=0&amp;trk=public_jobs_jserp-result_search-card", "Job Link")</f>
        <v>Job Link</v>
      </c>
      <c r="H62" t="s">
        <v>476</v>
      </c>
      <c r="I62" t="s">
        <v>481</v>
      </c>
      <c r="J62" t="s">
        <v>486</v>
      </c>
      <c r="K62" t="s">
        <v>516</v>
      </c>
      <c r="L62" t="s">
        <v>586</v>
      </c>
      <c r="M62" t="s">
        <v>617</v>
      </c>
      <c r="N62" t="s">
        <v>601</v>
      </c>
    </row>
    <row r="63" spans="1:14" x14ac:dyDescent="0.25">
      <c r="A63" t="s">
        <v>14</v>
      </c>
      <c r="B63" t="s">
        <v>129</v>
      </c>
      <c r="C63" t="s">
        <v>270</v>
      </c>
      <c r="D63" t="s">
        <v>424</v>
      </c>
      <c r="F63" t="s">
        <v>440</v>
      </c>
      <c r="G63" t="str">
        <f>HYPERLINK("https://ca.linkedin.com/jobs/view/data-analyst-at-agricorp-3364433441?refId=UtVIpFx9gkYHVfgATzHx6g%3D%3D&amp;trackingId=5b6U%2FvMS9w7hDT65SYaE%2BA%3D%3D&amp;position=12&amp;pageNum=0&amp;trk=public_jobs_jserp-result_search-card", "Job Link")</f>
        <v>Job Link</v>
      </c>
      <c r="H63" t="s">
        <v>476</v>
      </c>
      <c r="I63" t="s">
        <v>481</v>
      </c>
      <c r="J63" t="s">
        <v>486</v>
      </c>
      <c r="K63" t="s">
        <v>523</v>
      </c>
      <c r="L63" t="s">
        <v>587</v>
      </c>
      <c r="M63" t="s">
        <v>588</v>
      </c>
      <c r="N63" t="s">
        <v>601</v>
      </c>
    </row>
    <row r="64" spans="1:14" x14ac:dyDescent="0.25">
      <c r="A64" t="s">
        <v>14</v>
      </c>
      <c r="B64" t="s">
        <v>128</v>
      </c>
      <c r="C64" t="s">
        <v>277</v>
      </c>
      <c r="D64" t="s">
        <v>424</v>
      </c>
      <c r="F64" t="s">
        <v>439</v>
      </c>
      <c r="G64" t="str">
        <f>HYPERLINK("https://ca.linkedin.com/jobs/view/data-analyst-at-diverse-lynx-3363374746?refId=UtVIpFx9gkYHVfgATzHx6g%3D%3D&amp;trackingId=j1ftYveSoNP9yQ86N9RKjg%3D%3D&amp;position=13&amp;pageNum=0&amp;trk=public_jobs_jserp-result_search-card", "Job Link")</f>
        <v>Job Link</v>
      </c>
      <c r="H64" t="s">
        <v>476</v>
      </c>
      <c r="I64" t="s">
        <v>481</v>
      </c>
      <c r="J64" t="s">
        <v>486</v>
      </c>
      <c r="K64" t="s">
        <v>516</v>
      </c>
      <c r="L64" t="s">
        <v>586</v>
      </c>
      <c r="M64" t="s">
        <v>617</v>
      </c>
      <c r="N64" t="s">
        <v>601</v>
      </c>
    </row>
    <row r="65" spans="1:14" x14ac:dyDescent="0.25">
      <c r="A65" t="s">
        <v>18</v>
      </c>
      <c r="B65" t="s">
        <v>130</v>
      </c>
      <c r="C65" t="s">
        <v>271</v>
      </c>
      <c r="D65" t="s">
        <v>424</v>
      </c>
      <c r="F65" t="s">
        <v>441</v>
      </c>
      <c r="G65" t="str">
        <f>HYPERLINK("https://ca.linkedin.com/jobs/view/junior-data-analyst-mississauga-on-at-arjo-3323264354?refId=UtVIpFx9gkYHVfgATzHx6g%3D%3D&amp;trackingId=mvN%2BnE2f7%2BAdPhUfftZO%2FA%3D%3D&amp;position=14&amp;pageNum=0&amp;trk=public_jobs_jserp-result_search-card", "Job Link")</f>
        <v>Job Link</v>
      </c>
      <c r="H65" t="s">
        <v>479</v>
      </c>
      <c r="I65" t="s">
        <v>481</v>
      </c>
      <c r="J65" t="s">
        <v>486</v>
      </c>
      <c r="K65" t="s">
        <v>524</v>
      </c>
      <c r="L65" t="s">
        <v>588</v>
      </c>
      <c r="M65" t="s">
        <v>601</v>
      </c>
    </row>
    <row r="66" spans="1:14" x14ac:dyDescent="0.25">
      <c r="A66" t="s">
        <v>14</v>
      </c>
      <c r="B66" t="s">
        <v>127</v>
      </c>
      <c r="C66" t="s">
        <v>267</v>
      </c>
      <c r="D66" t="s">
        <v>424</v>
      </c>
      <c r="F66" t="s">
        <v>437</v>
      </c>
      <c r="G66" t="str">
        <f>HYPERLINK("https://ca.linkedin.com/jobs/view/data-analyst-at-vubiquity-3365112221?refId=UtVIpFx9gkYHVfgATzHx6g%3D%3D&amp;trackingId=TaPJ3FiaNTZIGwKGwffbPg%3D%3D&amp;position=15&amp;pageNum=0&amp;trk=public_jobs_jserp-result_search-card", "Job Link")</f>
        <v>Job Link</v>
      </c>
      <c r="H66" t="s">
        <v>476</v>
      </c>
      <c r="I66" t="s">
        <v>481</v>
      </c>
      <c r="J66" t="s">
        <v>486</v>
      </c>
      <c r="K66" t="s">
        <v>522</v>
      </c>
      <c r="L66" t="s">
        <v>582</v>
      </c>
      <c r="M66" t="s">
        <v>588</v>
      </c>
      <c r="N66" t="s">
        <v>601</v>
      </c>
    </row>
    <row r="67" spans="1:14" x14ac:dyDescent="0.25">
      <c r="A67" t="s">
        <v>14</v>
      </c>
      <c r="B67" t="s">
        <v>135</v>
      </c>
      <c r="C67" t="s">
        <v>276</v>
      </c>
      <c r="D67" t="s">
        <v>424</v>
      </c>
      <c r="F67" t="s">
        <v>440</v>
      </c>
      <c r="G67" t="str">
        <f>HYPERLINK("https://ca.linkedin.com/jobs/view/data-analyst-at-magna-international-3370822450?refId=UtVIpFx9gkYHVfgATzHx6g%3D%3D&amp;trackingId=xzbT8DjtKuF9a2mzBSh7tw%3D%3D&amp;position=16&amp;pageNum=0&amp;trk=public_jobs_jserp-result_search-card", "Job Link")</f>
        <v>Job Link</v>
      </c>
      <c r="H67" t="s">
        <v>476</v>
      </c>
      <c r="I67" t="s">
        <v>481</v>
      </c>
      <c r="J67" t="s">
        <v>488</v>
      </c>
      <c r="K67" t="s">
        <v>528</v>
      </c>
      <c r="L67" t="s">
        <v>592</v>
      </c>
      <c r="M67" t="s">
        <v>588</v>
      </c>
      <c r="N67" t="s">
        <v>601</v>
      </c>
    </row>
    <row r="68" spans="1:14" x14ac:dyDescent="0.25">
      <c r="A68" t="s">
        <v>14</v>
      </c>
      <c r="B68" t="s">
        <v>131</v>
      </c>
      <c r="C68" t="s">
        <v>272</v>
      </c>
      <c r="D68" t="s">
        <v>424</v>
      </c>
      <c r="F68" t="s">
        <v>442</v>
      </c>
      <c r="G68" t="str">
        <f>HYPERLINK("https://ca.linkedin.com/jobs/view/data-analyst-at-westland-insurance-group-ltd-3345807760?refId=UtVIpFx9gkYHVfgATzHx6g%3D%3D&amp;trackingId=acQ9XErnGkqm%2B0hk5B6iPg%3D%3D&amp;position=17&amp;pageNum=0&amp;trk=public_jobs_jserp-result_search-card", "Job Link")</f>
        <v>Job Link</v>
      </c>
      <c r="H68" t="s">
        <v>476</v>
      </c>
      <c r="I68" t="s">
        <v>481</v>
      </c>
      <c r="J68" t="s">
        <v>486</v>
      </c>
      <c r="K68" t="s">
        <v>525</v>
      </c>
      <c r="L68" t="s">
        <v>589</v>
      </c>
      <c r="M68" t="s">
        <v>618</v>
      </c>
      <c r="N68" t="s">
        <v>601</v>
      </c>
    </row>
    <row r="69" spans="1:14" x14ac:dyDescent="0.25">
      <c r="A69" t="s">
        <v>14</v>
      </c>
      <c r="B69" t="s">
        <v>133</v>
      </c>
      <c r="C69" t="s">
        <v>274</v>
      </c>
      <c r="D69" t="s">
        <v>424</v>
      </c>
      <c r="F69" t="s">
        <v>434</v>
      </c>
      <c r="G69" t="str">
        <f>HYPERLINK("https://ca.linkedin.com/jobs/view/data-analyst-at-momentum-financial-services-group-3355811523?refId=UtVIpFx9gkYHVfgATzHx6g%3D%3D&amp;trackingId=I2sgVv3DWyfppdGh4w8Gmw%3D%3D&amp;position=18&amp;pageNum=0&amp;trk=public_jobs_jserp-result_search-card", "Job Link")</f>
        <v>Job Link</v>
      </c>
      <c r="H69" t="s">
        <v>476</v>
      </c>
      <c r="I69" t="s">
        <v>481</v>
      </c>
      <c r="J69" t="s">
        <v>486</v>
      </c>
      <c r="K69" t="s">
        <v>527</v>
      </c>
      <c r="L69" t="s">
        <v>582</v>
      </c>
      <c r="M69" t="s">
        <v>588</v>
      </c>
      <c r="N69" t="s">
        <v>601</v>
      </c>
    </row>
    <row r="70" spans="1:14" x14ac:dyDescent="0.25">
      <c r="A70" t="s">
        <v>14</v>
      </c>
      <c r="B70" t="s">
        <v>134</v>
      </c>
      <c r="C70" t="s">
        <v>275</v>
      </c>
      <c r="D70" t="s">
        <v>424</v>
      </c>
      <c r="F70" t="s">
        <v>444</v>
      </c>
      <c r="G70" t="str">
        <f>HYPERLINK("https://ca.linkedin.com/jobs/view/data-analyst-at-tes-the-employment-solution-3322589522?refId=UtVIpFx9gkYHVfgATzHx6g%3D%3D&amp;trackingId=gsQ6%2Boj860myloc0N3JmOQ%3D%3D&amp;position=19&amp;pageNum=0&amp;trk=public_jobs_jserp-result_search-card", "Job Link")</f>
        <v>Job Link</v>
      </c>
      <c r="H70" t="s">
        <v>476</v>
      </c>
      <c r="I70" t="s">
        <v>483</v>
      </c>
      <c r="J70" t="s">
        <v>486</v>
      </c>
      <c r="K70" t="s">
        <v>525</v>
      </c>
      <c r="L70" t="s">
        <v>591</v>
      </c>
      <c r="M70" t="s">
        <v>588</v>
      </c>
      <c r="N70" t="s">
        <v>601</v>
      </c>
    </row>
    <row r="71" spans="1:14" x14ac:dyDescent="0.25">
      <c r="A71" t="s">
        <v>19</v>
      </c>
      <c r="B71" t="s">
        <v>136</v>
      </c>
      <c r="C71" t="s">
        <v>278</v>
      </c>
      <c r="D71" t="s">
        <v>424</v>
      </c>
      <c r="F71" t="s">
        <v>445</v>
      </c>
      <c r="G71" t="str">
        <f>HYPERLINK("https://ca.linkedin.com/jobs/view/data-analyst-operations-at-sonder-inc-3229442908?refId=UtVIpFx9gkYHVfgATzHx6g%3D%3D&amp;trackingId=0KzQBl%2F%2FWshvt9zso7E4Tg%3D%3D&amp;position=20&amp;pageNum=0&amp;trk=public_jobs_jserp-result_search-card", "Job Link")</f>
        <v>Job Link</v>
      </c>
      <c r="H71" t="s">
        <v>476</v>
      </c>
      <c r="I71" t="s">
        <v>481</v>
      </c>
      <c r="J71" t="s">
        <v>486</v>
      </c>
      <c r="K71" t="s">
        <v>529</v>
      </c>
      <c r="L71" t="s">
        <v>582</v>
      </c>
      <c r="M71" t="s">
        <v>588</v>
      </c>
      <c r="N71" t="s">
        <v>601</v>
      </c>
    </row>
    <row r="72" spans="1:14" x14ac:dyDescent="0.25">
      <c r="A72" t="s">
        <v>20</v>
      </c>
      <c r="B72" t="s">
        <v>137</v>
      </c>
      <c r="C72" t="s">
        <v>279</v>
      </c>
      <c r="D72" t="s">
        <v>424</v>
      </c>
      <c r="F72" t="s">
        <v>446</v>
      </c>
      <c r="G72" t="str">
        <f>HYPERLINK("https://ca.linkedin.com/jobs/view/senior-data-analyst-at-mueller-water-products-3122544636?refId=UtVIpFx9gkYHVfgATzHx6g%3D%3D&amp;trackingId=yqqM3ka6L835Y9glcAAZEQ%3D%3D&amp;position=21&amp;pageNum=0&amp;trk=public_jobs_jserp-result_search-card", "Job Link")</f>
        <v>Job Link</v>
      </c>
      <c r="H72" t="s">
        <v>478</v>
      </c>
      <c r="I72" t="s">
        <v>481</v>
      </c>
      <c r="J72" t="s">
        <v>486</v>
      </c>
      <c r="K72" t="s">
        <v>530</v>
      </c>
      <c r="L72" t="s">
        <v>582</v>
      </c>
      <c r="M72" t="s">
        <v>588</v>
      </c>
      <c r="N72" t="s">
        <v>601</v>
      </c>
    </row>
    <row r="73" spans="1:14" x14ac:dyDescent="0.25">
      <c r="A73" t="s">
        <v>14</v>
      </c>
      <c r="B73" t="s">
        <v>128</v>
      </c>
      <c r="C73" t="s">
        <v>283</v>
      </c>
      <c r="D73" t="s">
        <v>424</v>
      </c>
      <c r="F73" t="s">
        <v>439</v>
      </c>
      <c r="G73" t="str">
        <f>HYPERLINK("https://ca.linkedin.com/jobs/view/data-analyst-at-diverse-lynx-3363122507?refId=UtVIpFx9gkYHVfgATzHx6g%3D%3D&amp;trackingId=nsa%2BeXWWuh1DZJYo0kznfQ%3D%3D&amp;position=22&amp;pageNum=0&amp;trk=public_jobs_jserp-result_search-card", "Job Link")</f>
        <v>Job Link</v>
      </c>
      <c r="H73" t="s">
        <v>476</v>
      </c>
      <c r="I73" t="s">
        <v>483</v>
      </c>
      <c r="J73" t="s">
        <v>486</v>
      </c>
      <c r="K73" t="s">
        <v>516</v>
      </c>
      <c r="L73" t="s">
        <v>594</v>
      </c>
      <c r="M73" t="s">
        <v>588</v>
      </c>
      <c r="N73" t="s">
        <v>601</v>
      </c>
    </row>
    <row r="74" spans="1:14" x14ac:dyDescent="0.25">
      <c r="A74" t="s">
        <v>21</v>
      </c>
      <c r="B74" t="s">
        <v>138</v>
      </c>
      <c r="C74" t="s">
        <v>280</v>
      </c>
      <c r="D74" t="s">
        <v>424</v>
      </c>
      <c r="F74" t="s">
        <v>447</v>
      </c>
      <c r="G74" t="str">
        <f>HYPERLINK("https://ca.linkedin.com/jobs/view/data-entry-jr-analyst-6-month-contract-at-csl-group-ltd-3323214993?refId=UtVIpFx9gkYHVfgATzHx6g%3D%3D&amp;trackingId=jEZ0iIP447KdeRLMLKxm0Q%3D%3D&amp;position=23&amp;pageNum=0&amp;trk=public_jobs_jserp-result_search-card", "Job Link")</f>
        <v>Job Link</v>
      </c>
      <c r="H74" t="s">
        <v>476</v>
      </c>
      <c r="I74" t="s">
        <v>484</v>
      </c>
      <c r="J74" t="s">
        <v>489</v>
      </c>
      <c r="K74" t="s">
        <v>531</v>
      </c>
      <c r="L74" t="s">
        <v>593</v>
      </c>
      <c r="M74" t="s">
        <v>588</v>
      </c>
      <c r="N74" t="s">
        <v>601</v>
      </c>
    </row>
    <row r="75" spans="1:14" x14ac:dyDescent="0.25">
      <c r="A75" t="s">
        <v>14</v>
      </c>
      <c r="B75" t="s">
        <v>132</v>
      </c>
      <c r="C75" t="s">
        <v>273</v>
      </c>
      <c r="D75" t="s">
        <v>424</v>
      </c>
      <c r="F75" t="s">
        <v>443</v>
      </c>
      <c r="G75" t="str">
        <f>HYPERLINK("https://ca.linkedin.com/jobs/view/data-analyst-at-fasken-3365947704?refId=UtVIpFx9gkYHVfgATzHx6g%3D%3D&amp;trackingId=q5mcMeETgcNt7bbBjlxP0g%3D%3D&amp;position=24&amp;pageNum=0&amp;trk=public_jobs_jserp-result_search-card", "Job Link")</f>
        <v>Job Link</v>
      </c>
      <c r="H75" t="s">
        <v>476</v>
      </c>
      <c r="I75" t="s">
        <v>481</v>
      </c>
      <c r="J75" t="s">
        <v>486</v>
      </c>
      <c r="K75" t="s">
        <v>526</v>
      </c>
      <c r="L75" t="s">
        <v>590</v>
      </c>
      <c r="M75" t="s">
        <v>618</v>
      </c>
      <c r="N75" t="s">
        <v>601</v>
      </c>
    </row>
    <row r="76" spans="1:14" x14ac:dyDescent="0.25">
      <c r="A76" t="s">
        <v>22</v>
      </c>
      <c r="B76" t="s">
        <v>139</v>
      </c>
      <c r="C76" t="s">
        <v>281</v>
      </c>
      <c r="D76" t="s">
        <v>424</v>
      </c>
      <c r="F76" t="s">
        <v>435</v>
      </c>
      <c r="G76" t="str">
        <f>HYPERLINK("https://ca.linkedin.com/jobs/view/quality-data-analyst-at-lululemon-3341634874?refId=UtVIpFx9gkYHVfgATzHx6g%3D%3D&amp;trackingId=KCazrzRlUoVZaNIFP8l0Dg%3D%3D&amp;position=25&amp;pageNum=0&amp;trk=public_jobs_jserp-result_search-card", "Job Link")</f>
        <v>Job Link</v>
      </c>
      <c r="H76" t="s">
        <v>476</v>
      </c>
      <c r="I76" t="s">
        <v>481</v>
      </c>
      <c r="J76" t="s">
        <v>486</v>
      </c>
      <c r="K76" t="s">
        <v>532</v>
      </c>
      <c r="L76" t="s">
        <v>590</v>
      </c>
      <c r="M76" t="s">
        <v>618</v>
      </c>
      <c r="N76" t="s">
        <v>601</v>
      </c>
    </row>
    <row r="77" spans="1:14" x14ac:dyDescent="0.25">
      <c r="A77" t="s">
        <v>14</v>
      </c>
      <c r="B77" t="s">
        <v>118</v>
      </c>
      <c r="C77" t="s">
        <v>258</v>
      </c>
      <c r="D77" t="s">
        <v>424</v>
      </c>
      <c r="F77" t="s">
        <v>430</v>
      </c>
      <c r="G77" t="str">
        <f>HYPERLINK("https://ca.linkedin.com/jobs/view/data-analyst-at-axonify-3324670516?refId=v6NhY0wbQmKEOiz2AFd0WQ%3D%3D&amp;trackingId=1w4aqb5WrNi4w7yIjqPlsQ%3D%3D&amp;position=1&amp;pageNum=0&amp;trk=public_jobs_jserp-result_search-card", "Job Link")</f>
        <v>Job Link</v>
      </c>
      <c r="H77" t="s">
        <v>476</v>
      </c>
      <c r="I77" t="s">
        <v>481</v>
      </c>
      <c r="J77" t="s">
        <v>486</v>
      </c>
      <c r="K77" t="s">
        <v>516</v>
      </c>
      <c r="L77" t="s">
        <v>581</v>
      </c>
      <c r="M77" t="s">
        <v>588</v>
      </c>
      <c r="N77" t="s">
        <v>601</v>
      </c>
    </row>
    <row r="78" spans="1:14" x14ac:dyDescent="0.25">
      <c r="A78" t="s">
        <v>14</v>
      </c>
      <c r="B78" t="s">
        <v>119</v>
      </c>
      <c r="C78" t="s">
        <v>259</v>
      </c>
      <c r="D78" t="s">
        <v>424</v>
      </c>
      <c r="F78" t="s">
        <v>431</v>
      </c>
      <c r="G78" t="str">
        <f>HYPERLINK("https://ca.linkedin.com/jobs/view/data-analyst-at-b3-systems-3361794123?refId=v6NhY0wbQmKEOiz2AFd0WQ%3D%3D&amp;trackingId=PXhqnifg0%2BCyciQCIFPNZQ%3D%3D&amp;position=2&amp;pageNum=0&amp;trk=public_jobs_jserp-result_search-card", "Job Link")</f>
        <v>Job Link</v>
      </c>
      <c r="I78" t="s">
        <v>481</v>
      </c>
      <c r="L78" t="s">
        <v>582</v>
      </c>
      <c r="M78" t="s">
        <v>588</v>
      </c>
      <c r="N78" t="s">
        <v>601</v>
      </c>
    </row>
    <row r="79" spans="1:14" x14ac:dyDescent="0.25">
      <c r="A79" t="s">
        <v>14</v>
      </c>
      <c r="B79" t="s">
        <v>120</v>
      </c>
      <c r="C79" t="s">
        <v>260</v>
      </c>
      <c r="D79" t="s">
        <v>424</v>
      </c>
      <c r="F79" t="s">
        <v>431</v>
      </c>
      <c r="G79" t="str">
        <f>HYPERLINK("https://ca.linkedin.com/jobs/view/data-analyst-at-wood-mackenzie-3271782079?refId=v6NhY0wbQmKEOiz2AFd0WQ%3D%3D&amp;trackingId=79ZkNWbFTCucAqWnMUFF5w%3D%3D&amp;position=3&amp;pageNum=0&amp;trk=public_jobs_jserp-result_search-card", "Job Link")</f>
        <v>Job Link</v>
      </c>
      <c r="H79" t="s">
        <v>477</v>
      </c>
      <c r="I79" t="s">
        <v>481</v>
      </c>
      <c r="J79" t="s">
        <v>487</v>
      </c>
      <c r="K79" t="s">
        <v>517</v>
      </c>
      <c r="L79" t="s">
        <v>583</v>
      </c>
      <c r="M79" t="s">
        <v>610</v>
      </c>
      <c r="N79" t="s">
        <v>601</v>
      </c>
    </row>
    <row r="80" spans="1:14" x14ac:dyDescent="0.25">
      <c r="A80" t="s">
        <v>14</v>
      </c>
      <c r="B80" t="s">
        <v>122</v>
      </c>
      <c r="C80" t="s">
        <v>262</v>
      </c>
      <c r="D80" t="s">
        <v>424</v>
      </c>
      <c r="F80" t="s">
        <v>433</v>
      </c>
      <c r="G80" t="str">
        <f>HYPERLINK("https://ca.linkedin.com/jobs/view/data-analyst-at-nam-info-inc-3351590976?refId=v6NhY0wbQmKEOiz2AFd0WQ%3D%3D&amp;trackingId=vGdZq7dRPzLO6H1vZhcbcg%3D%3D&amp;position=4&amp;pageNum=0&amp;trk=public_jobs_jserp-result_search-card", "Job Link")</f>
        <v>Job Link</v>
      </c>
      <c r="H80" t="s">
        <v>478</v>
      </c>
      <c r="I80" t="s">
        <v>483</v>
      </c>
      <c r="J80" t="s">
        <v>486</v>
      </c>
      <c r="K80" t="s">
        <v>518</v>
      </c>
      <c r="L80" t="s">
        <v>582</v>
      </c>
      <c r="M80" t="s">
        <v>588</v>
      </c>
      <c r="N80" t="s">
        <v>601</v>
      </c>
    </row>
    <row r="81" spans="1:14" x14ac:dyDescent="0.25">
      <c r="A81" t="s">
        <v>14</v>
      </c>
      <c r="B81" t="s">
        <v>123</v>
      </c>
      <c r="C81" t="s">
        <v>263</v>
      </c>
      <c r="D81" t="s">
        <v>424</v>
      </c>
      <c r="F81" t="s">
        <v>434</v>
      </c>
      <c r="G81" t="str">
        <f>HYPERLINK("https://ca.linkedin.com/jobs/view/data-analyst-at-citi-3263096865?refId=v6NhY0wbQmKEOiz2AFd0WQ%3D%3D&amp;trackingId=9RxV0oCRoPKFS7APntzl3w%3D%3D&amp;position=5&amp;pageNum=0&amp;trk=public_jobs_jserp-result_search-card", "Job Link")</f>
        <v>Job Link</v>
      </c>
      <c r="H81" t="s">
        <v>479</v>
      </c>
      <c r="I81" t="s">
        <v>481</v>
      </c>
      <c r="J81" t="s">
        <v>486</v>
      </c>
      <c r="K81" t="s">
        <v>519</v>
      </c>
      <c r="L81" t="s">
        <v>584</v>
      </c>
      <c r="M81" t="s">
        <v>588</v>
      </c>
      <c r="N81" t="s">
        <v>601</v>
      </c>
    </row>
    <row r="82" spans="1:14" x14ac:dyDescent="0.25">
      <c r="A82" t="s">
        <v>14</v>
      </c>
      <c r="B82" t="s">
        <v>121</v>
      </c>
      <c r="C82" t="s">
        <v>261</v>
      </c>
      <c r="D82" t="s">
        <v>424</v>
      </c>
      <c r="F82" t="s">
        <v>432</v>
      </c>
      <c r="G82" t="str">
        <f>HYPERLINK("https://ca.linkedin.com/jobs/view/data-analyst-at-loft-community-services-3364383026?refId=v6NhY0wbQmKEOiz2AFd0WQ%3D%3D&amp;trackingId=Jw%2FQncCD0PP8hsR%2FIqUTMA%3D%3D&amp;position=6&amp;pageNum=0&amp;trk=public_jobs_jserp-result_search-card", "Job Link")</f>
        <v>Job Link</v>
      </c>
      <c r="I82" t="s">
        <v>482</v>
      </c>
      <c r="L82" t="s">
        <v>582</v>
      </c>
      <c r="M82" t="s">
        <v>588</v>
      </c>
      <c r="N82" t="s">
        <v>601</v>
      </c>
    </row>
    <row r="83" spans="1:14" x14ac:dyDescent="0.25">
      <c r="A83" t="s">
        <v>14</v>
      </c>
      <c r="B83" t="s">
        <v>124</v>
      </c>
      <c r="C83" t="s">
        <v>264</v>
      </c>
      <c r="D83" t="s">
        <v>424</v>
      </c>
      <c r="F83" t="s">
        <v>435</v>
      </c>
      <c r="G83" t="str">
        <f>HYPERLINK("https://ca.linkedin.com/jobs/view/data-analyst-at-king-s-college-london-3335332409?refId=v6NhY0wbQmKEOiz2AFd0WQ%3D%3D&amp;trackingId=0h6XS3jB9X5KUMmDRbQtuw%3D%3D&amp;position=7&amp;pageNum=0&amp;trk=public_jobs_jserp-result_search-card", "Job Link")</f>
        <v>Job Link</v>
      </c>
      <c r="H83" t="s">
        <v>476</v>
      </c>
      <c r="I83" t="s">
        <v>481</v>
      </c>
      <c r="J83" t="s">
        <v>486</v>
      </c>
      <c r="K83" t="s">
        <v>520</v>
      </c>
      <c r="L83" t="s">
        <v>585</v>
      </c>
      <c r="M83" t="s">
        <v>588</v>
      </c>
      <c r="N83" t="s">
        <v>601</v>
      </c>
    </row>
    <row r="84" spans="1:14" x14ac:dyDescent="0.25">
      <c r="A84" t="s">
        <v>15</v>
      </c>
      <c r="B84" t="s">
        <v>125</v>
      </c>
      <c r="C84" t="s">
        <v>265</v>
      </c>
      <c r="D84" t="s">
        <v>424</v>
      </c>
      <c r="F84" t="s">
        <v>431</v>
      </c>
      <c r="G84" t="str">
        <f>HYPERLINK("https://ca.linkedin.com/jobs/view/data-analyst-remote-at-cognizant-microsoft-business-group-3333618510?refId=v6NhY0wbQmKEOiz2AFd0WQ%3D%3D&amp;trackingId=s5IfhCcI5imuOZ5YqBkctA%3D%3D&amp;position=8&amp;pageNum=0&amp;trk=public_jobs_jserp-result_search-card", "Job Link")</f>
        <v>Job Link</v>
      </c>
      <c r="H84" t="s">
        <v>476</v>
      </c>
      <c r="I84" t="s">
        <v>481</v>
      </c>
      <c r="J84" t="s">
        <v>486</v>
      </c>
      <c r="K84" t="s">
        <v>521</v>
      </c>
      <c r="L84" t="s">
        <v>582</v>
      </c>
      <c r="M84" t="s">
        <v>588</v>
      </c>
      <c r="N84" t="s">
        <v>601</v>
      </c>
    </row>
    <row r="85" spans="1:14" x14ac:dyDescent="0.25">
      <c r="A85" t="s">
        <v>16</v>
      </c>
      <c r="B85" t="s">
        <v>126</v>
      </c>
      <c r="C85" t="s">
        <v>266</v>
      </c>
      <c r="D85" t="s">
        <v>424</v>
      </c>
      <c r="F85" t="s">
        <v>436</v>
      </c>
      <c r="G85" t="str">
        <f>HYPERLINK("https://ca.linkedin.com/jobs/view/data-analyst-loans-at-tata-consultancy-services-3344804680?refId=v6NhY0wbQmKEOiz2AFd0WQ%3D%3D&amp;trackingId=PyOp%2BA6%2Fk%2FsHadbJNMeaJw%3D%3D&amp;position=9&amp;pageNum=0&amp;trk=public_jobs_jserp-result_search-card", "Job Link")</f>
        <v>Job Link</v>
      </c>
      <c r="H85" t="s">
        <v>477</v>
      </c>
      <c r="I85" t="s">
        <v>481</v>
      </c>
      <c r="J85" t="s">
        <v>486</v>
      </c>
      <c r="K85" t="s">
        <v>517</v>
      </c>
      <c r="L85" t="s">
        <v>584</v>
      </c>
      <c r="M85" t="s">
        <v>588</v>
      </c>
      <c r="N85" t="s">
        <v>601</v>
      </c>
    </row>
    <row r="86" spans="1:14" x14ac:dyDescent="0.25">
      <c r="A86" t="s">
        <v>17</v>
      </c>
      <c r="B86" t="s">
        <v>123</v>
      </c>
      <c r="C86" t="s">
        <v>284</v>
      </c>
      <c r="D86" t="s">
        <v>424</v>
      </c>
      <c r="F86" t="s">
        <v>438</v>
      </c>
      <c r="G86" t="str">
        <f>HYPERLINK("https://ca.linkedin.com/jobs/view/data-analyst-developer-at-citi-3322089923?refId=v6NhY0wbQmKEOiz2AFd0WQ%3D%3D&amp;trackingId=%2BlguMOUraTTw7EhsYbQeVA%3D%3D&amp;position=10&amp;pageNum=0&amp;trk=public_jobs_jserp-result_search-card", "Job Link")</f>
        <v>Job Link</v>
      </c>
      <c r="L86" t="s">
        <v>584</v>
      </c>
      <c r="M86" t="s">
        <v>588</v>
      </c>
      <c r="N86" t="s">
        <v>601</v>
      </c>
    </row>
    <row r="87" spans="1:14" x14ac:dyDescent="0.25">
      <c r="A87" t="s">
        <v>14</v>
      </c>
      <c r="B87" t="s">
        <v>128</v>
      </c>
      <c r="C87" t="s">
        <v>269</v>
      </c>
      <c r="D87" t="s">
        <v>424</v>
      </c>
      <c r="F87" t="s">
        <v>439</v>
      </c>
      <c r="G87" t="str">
        <f>HYPERLINK("https://ca.linkedin.com/jobs/view/data-analyst-at-diverse-lynx-3363377240?refId=v6NhY0wbQmKEOiz2AFd0WQ%3D%3D&amp;trackingId=XL3An49Zl9cSZxViMI3Y4A%3D%3D&amp;position=11&amp;pageNum=0&amp;trk=public_jobs_jserp-result_search-card", "Job Link")</f>
        <v>Job Link</v>
      </c>
      <c r="H87" t="s">
        <v>476</v>
      </c>
      <c r="I87" t="s">
        <v>481</v>
      </c>
      <c r="J87" t="s">
        <v>486</v>
      </c>
      <c r="K87" t="s">
        <v>516</v>
      </c>
      <c r="L87" t="s">
        <v>586</v>
      </c>
      <c r="M87" t="s">
        <v>617</v>
      </c>
      <c r="N87" t="s">
        <v>601</v>
      </c>
    </row>
    <row r="88" spans="1:14" x14ac:dyDescent="0.25">
      <c r="A88" t="s">
        <v>14</v>
      </c>
      <c r="B88" t="s">
        <v>129</v>
      </c>
      <c r="C88" t="s">
        <v>270</v>
      </c>
      <c r="D88" t="s">
        <v>424</v>
      </c>
      <c r="F88" t="s">
        <v>440</v>
      </c>
      <c r="G88" t="str">
        <f>HYPERLINK("https://ca.linkedin.com/jobs/view/data-analyst-at-agricorp-3364433441?refId=v6NhY0wbQmKEOiz2AFd0WQ%3D%3D&amp;trackingId=KQ4Njw4mDUuQ8Jd15QxEGw%3D%3D&amp;position=12&amp;pageNum=0&amp;trk=public_jobs_jserp-result_search-card", "Job Link")</f>
        <v>Job Link</v>
      </c>
      <c r="H88" t="s">
        <v>476</v>
      </c>
      <c r="I88" t="s">
        <v>481</v>
      </c>
      <c r="J88" t="s">
        <v>486</v>
      </c>
      <c r="K88" t="s">
        <v>523</v>
      </c>
      <c r="L88" t="s">
        <v>587</v>
      </c>
      <c r="M88" t="s">
        <v>588</v>
      </c>
      <c r="N88" t="s">
        <v>601</v>
      </c>
    </row>
    <row r="89" spans="1:14" x14ac:dyDescent="0.25">
      <c r="A89" t="s">
        <v>14</v>
      </c>
      <c r="B89" t="s">
        <v>128</v>
      </c>
      <c r="C89" t="s">
        <v>277</v>
      </c>
      <c r="D89" t="s">
        <v>424</v>
      </c>
      <c r="F89" t="s">
        <v>439</v>
      </c>
      <c r="G89" t="str">
        <f>HYPERLINK("https://ca.linkedin.com/jobs/view/data-analyst-at-diverse-lynx-3363374746?refId=v6NhY0wbQmKEOiz2AFd0WQ%3D%3D&amp;trackingId=c1%2FNxUDbxoKdFRLyaMrcgw%3D%3D&amp;position=13&amp;pageNum=0&amp;trk=public_jobs_jserp-result_search-card", "Job Link")</f>
        <v>Job Link</v>
      </c>
      <c r="H89" t="s">
        <v>476</v>
      </c>
      <c r="I89" t="s">
        <v>481</v>
      </c>
      <c r="J89" t="s">
        <v>486</v>
      </c>
      <c r="K89" t="s">
        <v>516</v>
      </c>
      <c r="L89" t="s">
        <v>586</v>
      </c>
      <c r="M89" t="s">
        <v>617</v>
      </c>
      <c r="N89" t="s">
        <v>601</v>
      </c>
    </row>
    <row r="90" spans="1:14" x14ac:dyDescent="0.25">
      <c r="A90" t="s">
        <v>18</v>
      </c>
      <c r="B90" t="s">
        <v>130</v>
      </c>
      <c r="C90" t="s">
        <v>271</v>
      </c>
      <c r="D90" t="s">
        <v>424</v>
      </c>
      <c r="F90" t="s">
        <v>441</v>
      </c>
      <c r="G90" t="str">
        <f>HYPERLINK("https://ca.linkedin.com/jobs/view/junior-data-analyst-mississauga-on-at-arjo-3323264354?refId=v6NhY0wbQmKEOiz2AFd0WQ%3D%3D&amp;trackingId=1KyrmycucKRqzY%2B8hKlQSw%3D%3D&amp;position=14&amp;pageNum=0&amp;trk=public_jobs_jserp-result_search-card", "Job Link")</f>
        <v>Job Link</v>
      </c>
      <c r="H90" t="s">
        <v>479</v>
      </c>
      <c r="I90" t="s">
        <v>481</v>
      </c>
      <c r="J90" t="s">
        <v>486</v>
      </c>
      <c r="K90" t="s">
        <v>524</v>
      </c>
      <c r="L90" t="s">
        <v>588</v>
      </c>
      <c r="M90" t="s">
        <v>601</v>
      </c>
    </row>
    <row r="91" spans="1:14" x14ac:dyDescent="0.25">
      <c r="A91" t="s">
        <v>14</v>
      </c>
      <c r="B91" t="s">
        <v>127</v>
      </c>
      <c r="C91" t="s">
        <v>267</v>
      </c>
      <c r="D91" t="s">
        <v>424</v>
      </c>
      <c r="F91" t="s">
        <v>437</v>
      </c>
      <c r="G91" t="str">
        <f>HYPERLINK("https://ca.linkedin.com/jobs/view/data-analyst-at-vubiquity-3365112221?refId=v6NhY0wbQmKEOiz2AFd0WQ%3D%3D&amp;trackingId=YToc1SkqquC2WsgN8vOQlQ%3D%3D&amp;position=15&amp;pageNum=0&amp;trk=public_jobs_jserp-result_search-card", "Job Link")</f>
        <v>Job Link</v>
      </c>
      <c r="H91" t="s">
        <v>476</v>
      </c>
      <c r="I91" t="s">
        <v>481</v>
      </c>
      <c r="J91" t="s">
        <v>486</v>
      </c>
      <c r="K91" t="s">
        <v>522</v>
      </c>
      <c r="L91" t="s">
        <v>582</v>
      </c>
      <c r="M91" t="s">
        <v>588</v>
      </c>
      <c r="N91" t="s">
        <v>601</v>
      </c>
    </row>
    <row r="92" spans="1:14" x14ac:dyDescent="0.25">
      <c r="A92" t="s">
        <v>14</v>
      </c>
      <c r="B92" t="s">
        <v>135</v>
      </c>
      <c r="C92" t="s">
        <v>276</v>
      </c>
      <c r="D92" t="s">
        <v>424</v>
      </c>
      <c r="F92" t="s">
        <v>440</v>
      </c>
      <c r="G92" t="str">
        <f>HYPERLINK("https://ca.linkedin.com/jobs/view/data-analyst-at-magna-international-3370822450?refId=v6NhY0wbQmKEOiz2AFd0WQ%3D%3D&amp;trackingId=NdcaDw%2Bye8IVscDbr%2B11Ug%3D%3D&amp;position=16&amp;pageNum=0&amp;trk=public_jobs_jserp-result_search-card", "Job Link")</f>
        <v>Job Link</v>
      </c>
      <c r="H92" t="s">
        <v>476</v>
      </c>
      <c r="I92" t="s">
        <v>481</v>
      </c>
      <c r="J92" t="s">
        <v>488</v>
      </c>
      <c r="K92" t="s">
        <v>528</v>
      </c>
      <c r="L92" t="s">
        <v>592</v>
      </c>
      <c r="M92" t="s">
        <v>588</v>
      </c>
      <c r="N92" t="s">
        <v>601</v>
      </c>
    </row>
    <row r="93" spans="1:14" x14ac:dyDescent="0.25">
      <c r="A93" t="s">
        <v>14</v>
      </c>
      <c r="B93" t="s">
        <v>131</v>
      </c>
      <c r="C93" t="s">
        <v>272</v>
      </c>
      <c r="D93" t="s">
        <v>424</v>
      </c>
      <c r="F93" t="s">
        <v>442</v>
      </c>
      <c r="G93" t="str">
        <f>HYPERLINK("https://ca.linkedin.com/jobs/view/data-analyst-at-westland-insurance-group-ltd-3345807760?refId=v6NhY0wbQmKEOiz2AFd0WQ%3D%3D&amp;trackingId=idRKZvxmPxO3wjQ00LZapA%3D%3D&amp;position=17&amp;pageNum=0&amp;trk=public_jobs_jserp-result_search-card", "Job Link")</f>
        <v>Job Link</v>
      </c>
      <c r="H93" t="s">
        <v>476</v>
      </c>
      <c r="I93" t="s">
        <v>481</v>
      </c>
      <c r="J93" t="s">
        <v>486</v>
      </c>
      <c r="K93" t="s">
        <v>525</v>
      </c>
      <c r="L93" t="s">
        <v>589</v>
      </c>
      <c r="M93" t="s">
        <v>618</v>
      </c>
      <c r="N93" t="s">
        <v>601</v>
      </c>
    </row>
    <row r="94" spans="1:14" x14ac:dyDescent="0.25">
      <c r="A94" t="s">
        <v>14</v>
      </c>
      <c r="B94" t="s">
        <v>133</v>
      </c>
      <c r="C94" t="s">
        <v>274</v>
      </c>
      <c r="D94" t="s">
        <v>424</v>
      </c>
      <c r="F94" t="s">
        <v>434</v>
      </c>
      <c r="G94" t="str">
        <f>HYPERLINK("https://ca.linkedin.com/jobs/view/data-analyst-at-momentum-financial-services-group-3355811523?refId=v6NhY0wbQmKEOiz2AFd0WQ%3D%3D&amp;trackingId=dwjdK6cWFcuDGO%2F4%2FMT46g%3D%3D&amp;position=18&amp;pageNum=0&amp;trk=public_jobs_jserp-result_search-card", "Job Link")</f>
        <v>Job Link</v>
      </c>
      <c r="H94" t="s">
        <v>476</v>
      </c>
      <c r="I94" t="s">
        <v>481</v>
      </c>
      <c r="J94" t="s">
        <v>486</v>
      </c>
      <c r="K94" t="s">
        <v>527</v>
      </c>
      <c r="L94" t="s">
        <v>582</v>
      </c>
      <c r="M94" t="s">
        <v>588</v>
      </c>
      <c r="N94" t="s">
        <v>601</v>
      </c>
    </row>
    <row r="95" spans="1:14" x14ac:dyDescent="0.25">
      <c r="A95" t="s">
        <v>14</v>
      </c>
      <c r="B95" t="s">
        <v>134</v>
      </c>
      <c r="C95" t="s">
        <v>284</v>
      </c>
      <c r="D95" t="s">
        <v>424</v>
      </c>
      <c r="F95" t="s">
        <v>444</v>
      </c>
      <c r="G95" t="str">
        <f>HYPERLINK("https://ca.linkedin.com/jobs/view/data-analyst-at-tes-the-employment-solution-3322589522?refId=v6NhY0wbQmKEOiz2AFd0WQ%3D%3D&amp;trackingId=ZBxQ6Ga4TXxK2IB%2F0zgwUQ%3D%3D&amp;position=19&amp;pageNum=0&amp;trk=public_jobs_jserp-result_search-card", "Job Link")</f>
        <v>Job Link</v>
      </c>
      <c r="L95" t="s">
        <v>591</v>
      </c>
      <c r="M95" t="s">
        <v>588</v>
      </c>
      <c r="N95" t="s">
        <v>601</v>
      </c>
    </row>
    <row r="96" spans="1:14" x14ac:dyDescent="0.25">
      <c r="A96" t="s">
        <v>19</v>
      </c>
      <c r="B96" t="s">
        <v>136</v>
      </c>
      <c r="C96" t="s">
        <v>278</v>
      </c>
      <c r="D96" t="s">
        <v>424</v>
      </c>
      <c r="F96" t="s">
        <v>445</v>
      </c>
      <c r="G96" t="str">
        <f>HYPERLINK("https://ca.linkedin.com/jobs/view/data-analyst-operations-at-sonder-inc-3229442908?refId=v6NhY0wbQmKEOiz2AFd0WQ%3D%3D&amp;trackingId=L3kn2OAXWsevHE8pBGXYUg%3D%3D&amp;position=20&amp;pageNum=0&amp;trk=public_jobs_jserp-result_search-card", "Job Link")</f>
        <v>Job Link</v>
      </c>
      <c r="H96" t="s">
        <v>476</v>
      </c>
      <c r="I96" t="s">
        <v>481</v>
      </c>
      <c r="J96" t="s">
        <v>486</v>
      </c>
      <c r="K96" t="s">
        <v>529</v>
      </c>
      <c r="L96" t="s">
        <v>582</v>
      </c>
      <c r="M96" t="s">
        <v>588</v>
      </c>
      <c r="N96" t="s">
        <v>601</v>
      </c>
    </row>
    <row r="97" spans="1:14" x14ac:dyDescent="0.25">
      <c r="A97" t="s">
        <v>20</v>
      </c>
      <c r="B97" t="s">
        <v>137</v>
      </c>
      <c r="C97" t="s">
        <v>279</v>
      </c>
      <c r="D97" t="s">
        <v>424</v>
      </c>
      <c r="F97" t="s">
        <v>446</v>
      </c>
      <c r="G97" t="str">
        <f>HYPERLINK("https://ca.linkedin.com/jobs/view/senior-data-analyst-at-mueller-water-products-3122544636?refId=v6NhY0wbQmKEOiz2AFd0WQ%3D%3D&amp;trackingId=%2BzxSWNj%2FbVu7f7VI1dSJbQ%3D%3D&amp;position=21&amp;pageNum=0&amp;trk=public_jobs_jserp-result_search-card", "Job Link")</f>
        <v>Job Link</v>
      </c>
      <c r="H97" t="s">
        <v>478</v>
      </c>
      <c r="I97" t="s">
        <v>481</v>
      </c>
      <c r="J97" t="s">
        <v>486</v>
      </c>
      <c r="K97" t="s">
        <v>530</v>
      </c>
      <c r="L97" t="s">
        <v>582</v>
      </c>
      <c r="M97" t="s">
        <v>588</v>
      </c>
      <c r="N97" t="s">
        <v>601</v>
      </c>
    </row>
    <row r="98" spans="1:14" x14ac:dyDescent="0.25">
      <c r="A98" t="s">
        <v>14</v>
      </c>
      <c r="B98" t="s">
        <v>128</v>
      </c>
      <c r="C98" t="s">
        <v>283</v>
      </c>
      <c r="D98" t="s">
        <v>424</v>
      </c>
      <c r="F98" t="s">
        <v>439</v>
      </c>
      <c r="G98" t="str">
        <f>HYPERLINK("https://ca.linkedin.com/jobs/view/data-analyst-at-diverse-lynx-3363122507?refId=v6NhY0wbQmKEOiz2AFd0WQ%3D%3D&amp;trackingId=8Cg0d%2F%2FdZIHSOJ4CuB8R8w%3D%3D&amp;position=22&amp;pageNum=0&amp;trk=public_jobs_jserp-result_search-card", "Job Link")</f>
        <v>Job Link</v>
      </c>
      <c r="H98" t="s">
        <v>476</v>
      </c>
      <c r="I98" t="s">
        <v>483</v>
      </c>
      <c r="J98" t="s">
        <v>486</v>
      </c>
      <c r="K98" t="s">
        <v>516</v>
      </c>
      <c r="L98" t="s">
        <v>594</v>
      </c>
      <c r="M98" t="s">
        <v>588</v>
      </c>
      <c r="N98" t="s">
        <v>601</v>
      </c>
    </row>
    <row r="99" spans="1:14" x14ac:dyDescent="0.25">
      <c r="A99" t="s">
        <v>21</v>
      </c>
      <c r="B99" t="s">
        <v>138</v>
      </c>
      <c r="C99" t="s">
        <v>280</v>
      </c>
      <c r="D99" t="s">
        <v>424</v>
      </c>
      <c r="F99" t="s">
        <v>447</v>
      </c>
      <c r="G99" t="str">
        <f>HYPERLINK("https://ca.linkedin.com/jobs/view/data-entry-jr-analyst-6-month-contract-at-csl-group-ltd-3323214993?refId=v6NhY0wbQmKEOiz2AFd0WQ%3D%3D&amp;trackingId=nB54BWg8iHVYvSJm%2FVAgOA%3D%3D&amp;position=23&amp;pageNum=0&amp;trk=public_jobs_jserp-result_search-card", "Job Link")</f>
        <v>Job Link</v>
      </c>
      <c r="H99" t="s">
        <v>476</v>
      </c>
      <c r="I99" t="s">
        <v>484</v>
      </c>
      <c r="J99" t="s">
        <v>489</v>
      </c>
      <c r="K99" t="s">
        <v>531</v>
      </c>
      <c r="L99" t="s">
        <v>593</v>
      </c>
      <c r="M99" t="s">
        <v>588</v>
      </c>
      <c r="N99" t="s">
        <v>601</v>
      </c>
    </row>
    <row r="100" spans="1:14" x14ac:dyDescent="0.25">
      <c r="A100" t="s">
        <v>14</v>
      </c>
      <c r="B100" t="s">
        <v>132</v>
      </c>
      <c r="C100" t="s">
        <v>273</v>
      </c>
      <c r="D100" t="s">
        <v>424</v>
      </c>
      <c r="F100" t="s">
        <v>443</v>
      </c>
      <c r="G100" t="str">
        <f>HYPERLINK("https://ca.linkedin.com/jobs/view/data-analyst-at-fasken-3365947704?refId=v6NhY0wbQmKEOiz2AFd0WQ%3D%3D&amp;trackingId=IPRyUNLqzXqbE4Y66PtmuA%3D%3D&amp;position=24&amp;pageNum=0&amp;trk=public_jobs_jserp-result_search-card", "Job Link")</f>
        <v>Job Link</v>
      </c>
      <c r="H100" t="s">
        <v>476</v>
      </c>
      <c r="I100" t="s">
        <v>481</v>
      </c>
      <c r="J100" t="s">
        <v>486</v>
      </c>
      <c r="K100" t="s">
        <v>526</v>
      </c>
      <c r="L100" t="s">
        <v>590</v>
      </c>
      <c r="M100" t="s">
        <v>618</v>
      </c>
      <c r="N100" t="s">
        <v>601</v>
      </c>
    </row>
    <row r="101" spans="1:14" x14ac:dyDescent="0.25">
      <c r="A101" t="s">
        <v>22</v>
      </c>
      <c r="B101" t="s">
        <v>139</v>
      </c>
      <c r="C101" t="s">
        <v>281</v>
      </c>
      <c r="D101" t="s">
        <v>424</v>
      </c>
      <c r="F101" t="s">
        <v>435</v>
      </c>
      <c r="G101" t="str">
        <f>HYPERLINK("https://ca.linkedin.com/jobs/view/quality-data-analyst-at-lululemon-3341634874?refId=v6NhY0wbQmKEOiz2AFd0WQ%3D%3D&amp;trackingId=vqMyXgffn9H1UalKRvXmtg%3D%3D&amp;position=25&amp;pageNum=0&amp;trk=public_jobs_jserp-result_search-card", "Job Link")</f>
        <v>Job Link</v>
      </c>
      <c r="H101" t="s">
        <v>476</v>
      </c>
      <c r="I101" t="s">
        <v>481</v>
      </c>
      <c r="J101" t="s">
        <v>486</v>
      </c>
      <c r="K101" t="s">
        <v>532</v>
      </c>
      <c r="L101" t="s">
        <v>590</v>
      </c>
      <c r="M101" t="s">
        <v>618</v>
      </c>
      <c r="N101" t="s">
        <v>601</v>
      </c>
    </row>
    <row r="102" spans="1:14" x14ac:dyDescent="0.25">
      <c r="A102" t="s">
        <v>14</v>
      </c>
      <c r="B102" t="s">
        <v>118</v>
      </c>
      <c r="C102" t="s">
        <v>258</v>
      </c>
      <c r="D102" t="s">
        <v>424</v>
      </c>
      <c r="F102" t="s">
        <v>430</v>
      </c>
      <c r="G102" t="str">
        <f>HYPERLINK("https://ca.linkedin.com/jobs/view/data-analyst-at-axonify-3324670516?refId=3iNs0%2F0GpwpHK5V%2BbrVUUg%3D%3D&amp;trackingId=RPqDL6mJTn%2Bv8gO8Cr21VQ%3D%3D&amp;position=1&amp;pageNum=0&amp;trk=public_jobs_jserp-result_search-card", "Job Link")</f>
        <v>Job Link</v>
      </c>
      <c r="H102" t="s">
        <v>476</v>
      </c>
      <c r="I102" t="s">
        <v>481</v>
      </c>
      <c r="J102" t="s">
        <v>486</v>
      </c>
      <c r="K102" t="s">
        <v>516</v>
      </c>
      <c r="L102" t="s">
        <v>581</v>
      </c>
      <c r="M102" t="s">
        <v>588</v>
      </c>
      <c r="N102" t="s">
        <v>601</v>
      </c>
    </row>
    <row r="103" spans="1:14" x14ac:dyDescent="0.25">
      <c r="A103" t="s">
        <v>14</v>
      </c>
      <c r="B103" t="s">
        <v>119</v>
      </c>
      <c r="C103" t="s">
        <v>259</v>
      </c>
      <c r="D103" t="s">
        <v>424</v>
      </c>
      <c r="F103" t="s">
        <v>431</v>
      </c>
      <c r="G103" t="str">
        <f>HYPERLINK("https://ca.linkedin.com/jobs/view/data-analyst-at-b3-systems-3361794123?refId=3iNs0%2F0GpwpHK5V%2BbrVUUg%3D%3D&amp;trackingId=x%2BH3iku2DehFTFtI0TH%2BAg%3D%3D&amp;position=2&amp;pageNum=0&amp;trk=public_jobs_jserp-result_search-card", "Job Link")</f>
        <v>Job Link</v>
      </c>
      <c r="I103" t="s">
        <v>481</v>
      </c>
      <c r="L103" t="s">
        <v>582</v>
      </c>
      <c r="M103" t="s">
        <v>588</v>
      </c>
      <c r="N103" t="s">
        <v>601</v>
      </c>
    </row>
    <row r="104" spans="1:14" x14ac:dyDescent="0.25">
      <c r="A104" t="s">
        <v>14</v>
      </c>
      <c r="B104" t="s">
        <v>120</v>
      </c>
      <c r="C104" t="s">
        <v>260</v>
      </c>
      <c r="D104" t="s">
        <v>424</v>
      </c>
      <c r="F104" t="s">
        <v>431</v>
      </c>
      <c r="G104" t="str">
        <f>HYPERLINK("https://ca.linkedin.com/jobs/view/data-analyst-at-wood-mackenzie-3271782079?refId=3iNs0%2F0GpwpHK5V%2BbrVUUg%3D%3D&amp;trackingId=CQzquP2SJwebUfZv73TdgA%3D%3D&amp;position=3&amp;pageNum=0&amp;trk=public_jobs_jserp-result_search-card", "Job Link")</f>
        <v>Job Link</v>
      </c>
      <c r="H104" t="s">
        <v>477</v>
      </c>
      <c r="I104" t="s">
        <v>481</v>
      </c>
      <c r="J104" t="s">
        <v>487</v>
      </c>
      <c r="K104" t="s">
        <v>517</v>
      </c>
      <c r="L104" t="s">
        <v>583</v>
      </c>
      <c r="M104" t="s">
        <v>610</v>
      </c>
      <c r="N104" t="s">
        <v>601</v>
      </c>
    </row>
    <row r="105" spans="1:14" x14ac:dyDescent="0.25">
      <c r="A105" t="s">
        <v>14</v>
      </c>
      <c r="B105" t="s">
        <v>122</v>
      </c>
      <c r="C105" t="s">
        <v>262</v>
      </c>
      <c r="D105" t="s">
        <v>424</v>
      </c>
      <c r="F105" t="s">
        <v>433</v>
      </c>
      <c r="G105" t="str">
        <f>HYPERLINK("https://ca.linkedin.com/jobs/view/data-analyst-at-nam-info-inc-3351590976?refId=3iNs0%2F0GpwpHK5V%2BbrVUUg%3D%3D&amp;trackingId=UAyKLhHBWd1f8kpa9jYkOA%3D%3D&amp;position=4&amp;pageNum=0&amp;trk=public_jobs_jserp-result_search-card", "Job Link")</f>
        <v>Job Link</v>
      </c>
      <c r="H105" t="s">
        <v>478</v>
      </c>
      <c r="I105" t="s">
        <v>483</v>
      </c>
      <c r="J105" t="s">
        <v>486</v>
      </c>
      <c r="K105" t="s">
        <v>518</v>
      </c>
      <c r="L105" t="s">
        <v>582</v>
      </c>
      <c r="M105" t="s">
        <v>588</v>
      </c>
      <c r="N105" t="s">
        <v>601</v>
      </c>
    </row>
    <row r="106" spans="1:14" x14ac:dyDescent="0.25">
      <c r="A106" t="s">
        <v>14</v>
      </c>
      <c r="B106" t="s">
        <v>123</v>
      </c>
      <c r="C106" t="s">
        <v>263</v>
      </c>
      <c r="D106" t="s">
        <v>424</v>
      </c>
      <c r="F106" t="s">
        <v>434</v>
      </c>
      <c r="G106" t="str">
        <f>HYPERLINK("https://ca.linkedin.com/jobs/view/data-analyst-at-citi-3263096865?refId=3iNs0%2F0GpwpHK5V%2BbrVUUg%3D%3D&amp;trackingId=pVsULmrfSNVyD9GF4gopXg%3D%3D&amp;position=5&amp;pageNum=0&amp;trk=public_jobs_jserp-result_search-card", "Job Link")</f>
        <v>Job Link</v>
      </c>
      <c r="H106" t="s">
        <v>479</v>
      </c>
      <c r="I106" t="s">
        <v>481</v>
      </c>
      <c r="J106" t="s">
        <v>486</v>
      </c>
      <c r="K106" t="s">
        <v>519</v>
      </c>
      <c r="L106" t="s">
        <v>584</v>
      </c>
      <c r="M106" t="s">
        <v>588</v>
      </c>
      <c r="N106" t="s">
        <v>601</v>
      </c>
    </row>
    <row r="107" spans="1:14" x14ac:dyDescent="0.25">
      <c r="A107" t="s">
        <v>14</v>
      </c>
      <c r="B107" t="s">
        <v>121</v>
      </c>
      <c r="C107" t="s">
        <v>261</v>
      </c>
      <c r="D107" t="s">
        <v>424</v>
      </c>
      <c r="F107" t="s">
        <v>432</v>
      </c>
      <c r="G107" t="str">
        <f>HYPERLINK("https://ca.linkedin.com/jobs/view/data-analyst-at-loft-community-services-3364383026?refId=3iNs0%2F0GpwpHK5V%2BbrVUUg%3D%3D&amp;trackingId=LHJZuc%2BmyK%2FVbsR4o9TkJw%3D%3D&amp;position=6&amp;pageNum=0&amp;trk=public_jobs_jserp-result_search-card", "Job Link")</f>
        <v>Job Link</v>
      </c>
      <c r="I107" t="s">
        <v>482</v>
      </c>
      <c r="L107" t="s">
        <v>582</v>
      </c>
      <c r="M107" t="s">
        <v>588</v>
      </c>
      <c r="N107" t="s">
        <v>601</v>
      </c>
    </row>
    <row r="108" spans="1:14" x14ac:dyDescent="0.25">
      <c r="A108" t="s">
        <v>14</v>
      </c>
      <c r="B108" t="s">
        <v>124</v>
      </c>
      <c r="C108" t="s">
        <v>264</v>
      </c>
      <c r="D108" t="s">
        <v>424</v>
      </c>
      <c r="F108" t="s">
        <v>435</v>
      </c>
      <c r="G108" t="str">
        <f>HYPERLINK("https://ca.linkedin.com/jobs/view/data-analyst-at-king-s-college-london-3335332409?refId=3iNs0%2F0GpwpHK5V%2BbrVUUg%3D%3D&amp;trackingId=wxo8PcTQ67UCoPN8veJVLg%3D%3D&amp;position=7&amp;pageNum=0&amp;trk=public_jobs_jserp-result_search-card", "Job Link")</f>
        <v>Job Link</v>
      </c>
      <c r="H108" t="s">
        <v>476</v>
      </c>
      <c r="I108" t="s">
        <v>481</v>
      </c>
      <c r="J108" t="s">
        <v>486</v>
      </c>
      <c r="K108" t="s">
        <v>520</v>
      </c>
      <c r="L108" t="s">
        <v>585</v>
      </c>
      <c r="M108" t="s">
        <v>588</v>
      </c>
      <c r="N108" t="s">
        <v>601</v>
      </c>
    </row>
    <row r="109" spans="1:14" x14ac:dyDescent="0.25">
      <c r="A109" t="s">
        <v>15</v>
      </c>
      <c r="B109" t="s">
        <v>125</v>
      </c>
      <c r="C109" t="s">
        <v>265</v>
      </c>
      <c r="D109" t="s">
        <v>424</v>
      </c>
      <c r="F109" t="s">
        <v>431</v>
      </c>
      <c r="G109" t="str">
        <f>HYPERLINK("https://ca.linkedin.com/jobs/view/data-analyst-remote-at-cognizant-microsoft-business-group-3333618510?refId=3iNs0%2F0GpwpHK5V%2BbrVUUg%3D%3D&amp;trackingId=CCpoz4k%2FlmacqFy3XAKztA%3D%3D&amp;position=8&amp;pageNum=0&amp;trk=public_jobs_jserp-result_search-card", "Job Link")</f>
        <v>Job Link</v>
      </c>
      <c r="H109" t="s">
        <v>476</v>
      </c>
      <c r="I109" t="s">
        <v>481</v>
      </c>
      <c r="J109" t="s">
        <v>486</v>
      </c>
      <c r="K109" t="s">
        <v>521</v>
      </c>
      <c r="L109" t="s">
        <v>582</v>
      </c>
      <c r="M109" t="s">
        <v>588</v>
      </c>
      <c r="N109" t="s">
        <v>601</v>
      </c>
    </row>
    <row r="110" spans="1:14" x14ac:dyDescent="0.25">
      <c r="A110" t="s">
        <v>16</v>
      </c>
      <c r="B110" t="s">
        <v>126</v>
      </c>
      <c r="C110" t="s">
        <v>266</v>
      </c>
      <c r="D110" t="s">
        <v>424</v>
      </c>
      <c r="F110" t="s">
        <v>436</v>
      </c>
      <c r="G110" t="str">
        <f>HYPERLINK("https://ca.linkedin.com/jobs/view/data-analyst-loans-at-tata-consultancy-services-3344804680?refId=3iNs0%2F0GpwpHK5V%2BbrVUUg%3D%3D&amp;trackingId=FUSLNJ8JUE81xZ8D4cxFTg%3D%3D&amp;position=9&amp;pageNum=0&amp;trk=public_jobs_jserp-result_search-card", "Job Link")</f>
        <v>Job Link</v>
      </c>
      <c r="H110" t="s">
        <v>477</v>
      </c>
      <c r="I110" t="s">
        <v>481</v>
      </c>
      <c r="J110" t="s">
        <v>486</v>
      </c>
      <c r="K110" t="s">
        <v>517</v>
      </c>
      <c r="L110" t="s">
        <v>584</v>
      </c>
      <c r="M110" t="s">
        <v>588</v>
      </c>
      <c r="N110" t="s">
        <v>601</v>
      </c>
    </row>
    <row r="111" spans="1:14" x14ac:dyDescent="0.25">
      <c r="A111" t="s">
        <v>17</v>
      </c>
      <c r="B111" t="s">
        <v>123</v>
      </c>
      <c r="C111" t="s">
        <v>268</v>
      </c>
      <c r="D111" t="s">
        <v>424</v>
      </c>
      <c r="F111" t="s">
        <v>438</v>
      </c>
      <c r="G111" t="str">
        <f>HYPERLINK("https://ca.linkedin.com/jobs/view/data-analyst-developer-at-citi-3322089923?refId=3iNs0%2F0GpwpHK5V%2BbrVUUg%3D%3D&amp;trackingId=Urra9hKvKZgIPy4DWgNTvw%3D%3D&amp;position=10&amp;pageNum=0&amp;trk=public_jobs_jserp-result_search-card", "Job Link")</f>
        <v>Job Link</v>
      </c>
      <c r="H111" t="s">
        <v>479</v>
      </c>
      <c r="I111" t="s">
        <v>481</v>
      </c>
      <c r="J111" t="s">
        <v>486</v>
      </c>
      <c r="K111" t="s">
        <v>519</v>
      </c>
      <c r="L111" t="s">
        <v>584</v>
      </c>
      <c r="M111" t="s">
        <v>588</v>
      </c>
      <c r="N111" t="s">
        <v>601</v>
      </c>
    </row>
    <row r="112" spans="1:14" x14ac:dyDescent="0.25">
      <c r="A112" t="s">
        <v>14</v>
      </c>
      <c r="B112" t="s">
        <v>128</v>
      </c>
      <c r="C112" t="s">
        <v>269</v>
      </c>
      <c r="D112" t="s">
        <v>424</v>
      </c>
      <c r="F112" t="s">
        <v>439</v>
      </c>
      <c r="G112" t="str">
        <f>HYPERLINK("https://ca.linkedin.com/jobs/view/data-analyst-at-diverse-lynx-3363377240?refId=3iNs0%2F0GpwpHK5V%2BbrVUUg%3D%3D&amp;trackingId=Mb4p26wbNbODaU8jkpj%2FdQ%3D%3D&amp;position=11&amp;pageNum=0&amp;trk=public_jobs_jserp-result_search-card", "Job Link")</f>
        <v>Job Link</v>
      </c>
      <c r="H112" t="s">
        <v>476</v>
      </c>
      <c r="I112" t="s">
        <v>481</v>
      </c>
      <c r="J112" t="s">
        <v>486</v>
      </c>
      <c r="K112" t="s">
        <v>516</v>
      </c>
      <c r="L112" t="s">
        <v>586</v>
      </c>
      <c r="M112" t="s">
        <v>617</v>
      </c>
      <c r="N112" t="s">
        <v>601</v>
      </c>
    </row>
    <row r="113" spans="1:14" x14ac:dyDescent="0.25">
      <c r="A113" t="s">
        <v>14</v>
      </c>
      <c r="B113" t="s">
        <v>129</v>
      </c>
      <c r="C113" t="s">
        <v>270</v>
      </c>
      <c r="D113" t="s">
        <v>424</v>
      </c>
      <c r="F113" t="s">
        <v>440</v>
      </c>
      <c r="G113" t="str">
        <f>HYPERLINK("https://ca.linkedin.com/jobs/view/data-analyst-at-agricorp-3364433441?refId=3iNs0%2F0GpwpHK5V%2BbrVUUg%3D%3D&amp;trackingId=zY19FiLjE2zFlzqE%2BcPykA%3D%3D&amp;position=12&amp;pageNum=0&amp;trk=public_jobs_jserp-result_search-card", "Job Link")</f>
        <v>Job Link</v>
      </c>
      <c r="H113" t="s">
        <v>476</v>
      </c>
      <c r="I113" t="s">
        <v>481</v>
      </c>
      <c r="J113" t="s">
        <v>486</v>
      </c>
      <c r="K113" t="s">
        <v>523</v>
      </c>
      <c r="L113" t="s">
        <v>587</v>
      </c>
      <c r="M113" t="s">
        <v>588</v>
      </c>
      <c r="N113" t="s">
        <v>601</v>
      </c>
    </row>
    <row r="114" spans="1:14" x14ac:dyDescent="0.25">
      <c r="A114" t="s">
        <v>14</v>
      </c>
      <c r="B114" t="s">
        <v>128</v>
      </c>
      <c r="C114" t="s">
        <v>277</v>
      </c>
      <c r="D114" t="s">
        <v>424</v>
      </c>
      <c r="F114" t="s">
        <v>439</v>
      </c>
      <c r="G114" t="str">
        <f>HYPERLINK("https://ca.linkedin.com/jobs/view/data-analyst-at-diverse-lynx-3363374746?refId=3iNs0%2F0GpwpHK5V%2BbrVUUg%3D%3D&amp;trackingId=B8z0JjbzoccBxMpDPWFsNQ%3D%3D&amp;position=13&amp;pageNum=0&amp;trk=public_jobs_jserp-result_search-card", "Job Link")</f>
        <v>Job Link</v>
      </c>
      <c r="H114" t="s">
        <v>476</v>
      </c>
      <c r="I114" t="s">
        <v>481</v>
      </c>
      <c r="J114" t="s">
        <v>486</v>
      </c>
      <c r="K114" t="s">
        <v>516</v>
      </c>
      <c r="L114" t="s">
        <v>586</v>
      </c>
      <c r="M114" t="s">
        <v>617</v>
      </c>
      <c r="N114" t="s">
        <v>601</v>
      </c>
    </row>
    <row r="115" spans="1:14" x14ac:dyDescent="0.25">
      <c r="A115" t="s">
        <v>18</v>
      </c>
      <c r="B115" t="s">
        <v>130</v>
      </c>
      <c r="C115" t="s">
        <v>271</v>
      </c>
      <c r="D115" t="s">
        <v>424</v>
      </c>
      <c r="F115" t="s">
        <v>441</v>
      </c>
      <c r="G115" t="str">
        <f>HYPERLINK("https://ca.linkedin.com/jobs/view/junior-data-analyst-mississauga-on-at-arjo-3323264354?refId=3iNs0%2F0GpwpHK5V%2BbrVUUg%3D%3D&amp;trackingId=9tkhvQG9GkAZHSZLJ%2FbDFQ%3D%3D&amp;position=14&amp;pageNum=0&amp;trk=public_jobs_jserp-result_search-card", "Job Link")</f>
        <v>Job Link</v>
      </c>
      <c r="H115" t="s">
        <v>479</v>
      </c>
      <c r="I115" t="s">
        <v>481</v>
      </c>
      <c r="J115" t="s">
        <v>486</v>
      </c>
      <c r="K115" t="s">
        <v>524</v>
      </c>
      <c r="L115" t="s">
        <v>588</v>
      </c>
      <c r="M115" t="s">
        <v>601</v>
      </c>
    </row>
    <row r="116" spans="1:14" x14ac:dyDescent="0.25">
      <c r="A116" t="s">
        <v>14</v>
      </c>
      <c r="B116" t="s">
        <v>127</v>
      </c>
      <c r="C116" t="s">
        <v>267</v>
      </c>
      <c r="D116" t="s">
        <v>424</v>
      </c>
      <c r="F116" t="s">
        <v>437</v>
      </c>
      <c r="G116" t="str">
        <f>HYPERLINK("https://ca.linkedin.com/jobs/view/data-analyst-at-vubiquity-3365112221?refId=3iNs0%2F0GpwpHK5V%2BbrVUUg%3D%3D&amp;trackingId=cTlcAFR4korB3vxEjeZcYA%3D%3D&amp;position=15&amp;pageNum=0&amp;trk=public_jobs_jserp-result_search-card", "Job Link")</f>
        <v>Job Link</v>
      </c>
      <c r="H116" t="s">
        <v>476</v>
      </c>
      <c r="I116" t="s">
        <v>481</v>
      </c>
      <c r="J116" t="s">
        <v>486</v>
      </c>
      <c r="K116" t="s">
        <v>522</v>
      </c>
      <c r="L116" t="s">
        <v>582</v>
      </c>
      <c r="M116" t="s">
        <v>588</v>
      </c>
      <c r="N116" t="s">
        <v>601</v>
      </c>
    </row>
    <row r="117" spans="1:14" x14ac:dyDescent="0.25">
      <c r="A117" t="s">
        <v>14</v>
      </c>
      <c r="B117" t="s">
        <v>135</v>
      </c>
      <c r="C117" t="s">
        <v>276</v>
      </c>
      <c r="D117" t="s">
        <v>424</v>
      </c>
      <c r="F117" t="s">
        <v>440</v>
      </c>
      <c r="G117" t="str">
        <f>HYPERLINK("https://ca.linkedin.com/jobs/view/data-analyst-at-magna-international-3370822450?refId=3iNs0%2F0GpwpHK5V%2BbrVUUg%3D%3D&amp;trackingId=i1ct0nemjHJ2Ol6J2y1kUw%3D%3D&amp;position=16&amp;pageNum=0&amp;trk=public_jobs_jserp-result_search-card", "Job Link")</f>
        <v>Job Link</v>
      </c>
      <c r="H117" t="s">
        <v>476</v>
      </c>
      <c r="I117" t="s">
        <v>481</v>
      </c>
      <c r="J117" t="s">
        <v>488</v>
      </c>
      <c r="K117" t="s">
        <v>528</v>
      </c>
      <c r="L117" t="s">
        <v>592</v>
      </c>
      <c r="M117" t="s">
        <v>588</v>
      </c>
      <c r="N117" t="s">
        <v>601</v>
      </c>
    </row>
    <row r="118" spans="1:14" x14ac:dyDescent="0.25">
      <c r="A118" t="s">
        <v>14</v>
      </c>
      <c r="B118" t="s">
        <v>131</v>
      </c>
      <c r="C118" t="s">
        <v>272</v>
      </c>
      <c r="D118" t="s">
        <v>424</v>
      </c>
      <c r="F118" t="s">
        <v>442</v>
      </c>
      <c r="G118" t="str">
        <f>HYPERLINK("https://ca.linkedin.com/jobs/view/data-analyst-at-westland-insurance-group-ltd-3345807760?refId=3iNs0%2F0GpwpHK5V%2BbrVUUg%3D%3D&amp;trackingId=lqf9zo4WKb4bYfds3NUSBA%3D%3D&amp;position=17&amp;pageNum=0&amp;trk=public_jobs_jserp-result_search-card", "Job Link")</f>
        <v>Job Link</v>
      </c>
      <c r="H118" t="s">
        <v>476</v>
      </c>
      <c r="I118" t="s">
        <v>481</v>
      </c>
      <c r="J118" t="s">
        <v>486</v>
      </c>
      <c r="K118" t="s">
        <v>525</v>
      </c>
      <c r="L118" t="s">
        <v>589</v>
      </c>
      <c r="M118" t="s">
        <v>618</v>
      </c>
      <c r="N118" t="s">
        <v>601</v>
      </c>
    </row>
    <row r="119" spans="1:14" x14ac:dyDescent="0.25">
      <c r="A119" t="s">
        <v>14</v>
      </c>
      <c r="B119" t="s">
        <v>133</v>
      </c>
      <c r="C119" t="s">
        <v>274</v>
      </c>
      <c r="D119" t="s">
        <v>424</v>
      </c>
      <c r="F119" t="s">
        <v>434</v>
      </c>
      <c r="G119" t="str">
        <f>HYPERLINK("https://ca.linkedin.com/jobs/view/data-analyst-at-momentum-financial-services-group-3355811523?refId=3iNs0%2F0GpwpHK5V%2BbrVUUg%3D%3D&amp;trackingId=XGVKeK08cXgiFQwrNgaUpw%3D%3D&amp;position=18&amp;pageNum=0&amp;trk=public_jobs_jserp-result_search-card", "Job Link")</f>
        <v>Job Link</v>
      </c>
      <c r="H119" t="s">
        <v>476</v>
      </c>
      <c r="I119" t="s">
        <v>481</v>
      </c>
      <c r="J119" t="s">
        <v>486</v>
      </c>
      <c r="K119" t="s">
        <v>527</v>
      </c>
      <c r="L119" t="s">
        <v>582</v>
      </c>
      <c r="M119" t="s">
        <v>588</v>
      </c>
      <c r="N119" t="s">
        <v>601</v>
      </c>
    </row>
    <row r="120" spans="1:14" x14ac:dyDescent="0.25">
      <c r="A120" t="s">
        <v>14</v>
      </c>
      <c r="B120" t="s">
        <v>134</v>
      </c>
      <c r="C120" t="s">
        <v>275</v>
      </c>
      <c r="D120" t="s">
        <v>424</v>
      </c>
      <c r="F120" t="s">
        <v>444</v>
      </c>
      <c r="G120" t="str">
        <f>HYPERLINK("https://ca.linkedin.com/jobs/view/data-analyst-at-tes-the-employment-solution-3322589522?refId=3iNs0%2F0GpwpHK5V%2BbrVUUg%3D%3D&amp;trackingId=XIkPpiYVXvZVrYPv%2BjXEzQ%3D%3D&amp;position=19&amp;pageNum=0&amp;trk=public_jobs_jserp-result_search-card", "Job Link")</f>
        <v>Job Link</v>
      </c>
      <c r="H120" t="s">
        <v>476</v>
      </c>
      <c r="I120" t="s">
        <v>483</v>
      </c>
      <c r="J120" t="s">
        <v>486</v>
      </c>
      <c r="K120" t="s">
        <v>525</v>
      </c>
      <c r="L120" t="s">
        <v>591</v>
      </c>
      <c r="M120" t="s">
        <v>588</v>
      </c>
      <c r="N120" t="s">
        <v>601</v>
      </c>
    </row>
    <row r="121" spans="1:14" x14ac:dyDescent="0.25">
      <c r="A121" t="s">
        <v>19</v>
      </c>
      <c r="B121" t="s">
        <v>136</v>
      </c>
      <c r="C121" t="s">
        <v>278</v>
      </c>
      <c r="D121" t="s">
        <v>424</v>
      </c>
      <c r="F121" t="s">
        <v>445</v>
      </c>
      <c r="G121" t="str">
        <f>HYPERLINK("https://ca.linkedin.com/jobs/view/data-analyst-operations-at-sonder-inc-3229442908?refId=3iNs0%2F0GpwpHK5V%2BbrVUUg%3D%3D&amp;trackingId=NaI03Ab5hXUF4rDXTsQtAA%3D%3D&amp;position=20&amp;pageNum=0&amp;trk=public_jobs_jserp-result_search-card", "Job Link")</f>
        <v>Job Link</v>
      </c>
      <c r="H121" t="s">
        <v>476</v>
      </c>
      <c r="I121" t="s">
        <v>481</v>
      </c>
      <c r="J121" t="s">
        <v>486</v>
      </c>
      <c r="K121" t="s">
        <v>529</v>
      </c>
      <c r="L121" t="s">
        <v>582</v>
      </c>
      <c r="M121" t="s">
        <v>588</v>
      </c>
      <c r="N121" t="s">
        <v>601</v>
      </c>
    </row>
    <row r="122" spans="1:14" x14ac:dyDescent="0.25">
      <c r="A122" t="s">
        <v>20</v>
      </c>
      <c r="B122" t="s">
        <v>137</v>
      </c>
      <c r="C122" t="s">
        <v>279</v>
      </c>
      <c r="D122" t="s">
        <v>424</v>
      </c>
      <c r="F122" t="s">
        <v>446</v>
      </c>
      <c r="G122" t="str">
        <f>HYPERLINK("https://ca.linkedin.com/jobs/view/senior-data-analyst-at-mueller-water-products-3122544636?refId=3iNs0%2F0GpwpHK5V%2BbrVUUg%3D%3D&amp;trackingId=lIrltbrnhKybhz3Nb9hMZg%3D%3D&amp;position=21&amp;pageNum=0&amp;trk=public_jobs_jserp-result_search-card", "Job Link")</f>
        <v>Job Link</v>
      </c>
      <c r="H122" t="s">
        <v>478</v>
      </c>
      <c r="I122" t="s">
        <v>481</v>
      </c>
      <c r="J122" t="s">
        <v>486</v>
      </c>
      <c r="K122" t="s">
        <v>530</v>
      </c>
      <c r="L122" t="s">
        <v>582</v>
      </c>
      <c r="M122" t="s">
        <v>588</v>
      </c>
      <c r="N122" t="s">
        <v>601</v>
      </c>
    </row>
    <row r="123" spans="1:14" x14ac:dyDescent="0.25">
      <c r="A123" t="s">
        <v>14</v>
      </c>
      <c r="B123" t="s">
        <v>128</v>
      </c>
      <c r="C123" t="s">
        <v>283</v>
      </c>
      <c r="D123" t="s">
        <v>424</v>
      </c>
      <c r="F123" t="s">
        <v>439</v>
      </c>
      <c r="G123" t="str">
        <f>HYPERLINK("https://ca.linkedin.com/jobs/view/data-analyst-at-diverse-lynx-3363122507?refId=3iNs0%2F0GpwpHK5V%2BbrVUUg%3D%3D&amp;trackingId=d2Wz%2B4Jt0KiBBw38gNYCKQ%3D%3D&amp;position=22&amp;pageNum=0&amp;trk=public_jobs_jserp-result_search-card", "Job Link")</f>
        <v>Job Link</v>
      </c>
      <c r="H123" t="s">
        <v>476</v>
      </c>
      <c r="I123" t="s">
        <v>483</v>
      </c>
      <c r="J123" t="s">
        <v>486</v>
      </c>
      <c r="K123" t="s">
        <v>516</v>
      </c>
      <c r="L123" t="s">
        <v>594</v>
      </c>
      <c r="M123" t="s">
        <v>588</v>
      </c>
      <c r="N123" t="s">
        <v>601</v>
      </c>
    </row>
    <row r="124" spans="1:14" x14ac:dyDescent="0.25">
      <c r="A124" t="s">
        <v>21</v>
      </c>
      <c r="B124" t="s">
        <v>138</v>
      </c>
      <c r="C124" t="s">
        <v>280</v>
      </c>
      <c r="D124" t="s">
        <v>424</v>
      </c>
      <c r="F124" t="s">
        <v>447</v>
      </c>
      <c r="G124" t="str">
        <f>HYPERLINK("https://ca.linkedin.com/jobs/view/data-entry-jr-analyst-6-month-contract-at-csl-group-ltd-3323214993?refId=3iNs0%2F0GpwpHK5V%2BbrVUUg%3D%3D&amp;trackingId=URXbnZRkI%2BVy1PrlsdCZ%2BQ%3D%3D&amp;position=23&amp;pageNum=0&amp;trk=public_jobs_jserp-result_search-card", "Job Link")</f>
        <v>Job Link</v>
      </c>
      <c r="H124" t="s">
        <v>476</v>
      </c>
      <c r="I124" t="s">
        <v>484</v>
      </c>
      <c r="J124" t="s">
        <v>489</v>
      </c>
      <c r="K124" t="s">
        <v>531</v>
      </c>
      <c r="L124" t="s">
        <v>593</v>
      </c>
      <c r="M124" t="s">
        <v>588</v>
      </c>
      <c r="N124" t="s">
        <v>601</v>
      </c>
    </row>
    <row r="125" spans="1:14" x14ac:dyDescent="0.25">
      <c r="A125" t="s">
        <v>14</v>
      </c>
      <c r="B125" t="s">
        <v>132</v>
      </c>
      <c r="C125" t="s">
        <v>273</v>
      </c>
      <c r="D125" t="s">
        <v>424</v>
      </c>
      <c r="F125" t="s">
        <v>443</v>
      </c>
      <c r="G125" t="str">
        <f>HYPERLINK("https://ca.linkedin.com/jobs/view/data-analyst-at-fasken-3365947704?refId=3iNs0%2F0GpwpHK5V%2BbrVUUg%3D%3D&amp;trackingId=KEPTJvRuYKuCp72cjkEVcg%3D%3D&amp;position=24&amp;pageNum=0&amp;trk=public_jobs_jserp-result_search-card", "Job Link")</f>
        <v>Job Link</v>
      </c>
      <c r="H125" t="s">
        <v>476</v>
      </c>
      <c r="I125" t="s">
        <v>481</v>
      </c>
      <c r="J125" t="s">
        <v>486</v>
      </c>
      <c r="K125" t="s">
        <v>526</v>
      </c>
      <c r="L125" t="s">
        <v>590</v>
      </c>
      <c r="M125" t="s">
        <v>618</v>
      </c>
      <c r="N125" t="s">
        <v>601</v>
      </c>
    </row>
    <row r="126" spans="1:14" x14ac:dyDescent="0.25">
      <c r="A126" t="s">
        <v>22</v>
      </c>
      <c r="B126" t="s">
        <v>139</v>
      </c>
      <c r="C126" t="s">
        <v>281</v>
      </c>
      <c r="D126" t="s">
        <v>424</v>
      </c>
      <c r="F126" t="s">
        <v>435</v>
      </c>
      <c r="G126" t="str">
        <f>HYPERLINK("https://ca.linkedin.com/jobs/view/quality-data-analyst-at-lululemon-3341634874?refId=3iNs0%2F0GpwpHK5V%2BbrVUUg%3D%3D&amp;trackingId=H19BacYj%2BOCh56koeT4M8A%3D%3D&amp;position=25&amp;pageNum=0&amp;trk=public_jobs_jserp-result_search-card", "Job Link")</f>
        <v>Job Link</v>
      </c>
      <c r="H126" t="s">
        <v>476</v>
      </c>
      <c r="I126" t="s">
        <v>481</v>
      </c>
      <c r="J126" t="s">
        <v>486</v>
      </c>
      <c r="K126" t="s">
        <v>532</v>
      </c>
      <c r="L126" t="s">
        <v>590</v>
      </c>
      <c r="M126" t="s">
        <v>618</v>
      </c>
      <c r="N126" t="s">
        <v>601</v>
      </c>
    </row>
    <row r="127" spans="1:14" x14ac:dyDescent="0.25">
      <c r="A127" t="s">
        <v>14</v>
      </c>
      <c r="B127" t="s">
        <v>118</v>
      </c>
      <c r="C127" t="s">
        <v>258</v>
      </c>
      <c r="D127" t="s">
        <v>424</v>
      </c>
      <c r="F127" t="s">
        <v>430</v>
      </c>
      <c r="G127" t="str">
        <f>HYPERLINK("https://ca.linkedin.com/jobs/view/data-analyst-at-axonify-3324670516?refId=OCwPD%2B%2B5Rqrx8y2dniGshg%3D%3D&amp;trackingId=LvpgAyKqnv7oUoezG6wyiw%3D%3D&amp;position=1&amp;pageNum=0&amp;trk=public_jobs_jserp-result_search-card", "Job Link")</f>
        <v>Job Link</v>
      </c>
      <c r="H127" t="s">
        <v>476</v>
      </c>
      <c r="I127" t="s">
        <v>481</v>
      </c>
      <c r="J127" t="s">
        <v>486</v>
      </c>
      <c r="K127" t="s">
        <v>516</v>
      </c>
      <c r="L127" t="s">
        <v>581</v>
      </c>
      <c r="M127" t="s">
        <v>588</v>
      </c>
      <c r="N127" t="s">
        <v>601</v>
      </c>
    </row>
    <row r="128" spans="1:14" x14ac:dyDescent="0.25">
      <c r="A128" t="s">
        <v>14</v>
      </c>
      <c r="B128" t="s">
        <v>119</v>
      </c>
      <c r="C128" t="s">
        <v>259</v>
      </c>
      <c r="D128" t="s">
        <v>424</v>
      </c>
      <c r="F128" t="s">
        <v>431</v>
      </c>
      <c r="G128" t="str">
        <f>HYPERLINK("https://ca.linkedin.com/jobs/view/data-analyst-at-b3-systems-3361794123?refId=OCwPD%2B%2B5Rqrx8y2dniGshg%3D%3D&amp;trackingId=s7bRAQsSOpMAlMXwArCv6w%3D%3D&amp;position=2&amp;pageNum=0&amp;trk=public_jobs_jserp-result_search-card", "Job Link")</f>
        <v>Job Link</v>
      </c>
      <c r="I128" t="s">
        <v>481</v>
      </c>
      <c r="L128" t="s">
        <v>582</v>
      </c>
      <c r="M128" t="s">
        <v>588</v>
      </c>
      <c r="N128" t="s">
        <v>601</v>
      </c>
    </row>
    <row r="129" spans="1:14" x14ac:dyDescent="0.25">
      <c r="A129" t="s">
        <v>14</v>
      </c>
      <c r="B129" t="s">
        <v>120</v>
      </c>
      <c r="C129" t="s">
        <v>260</v>
      </c>
      <c r="D129" t="s">
        <v>424</v>
      </c>
      <c r="F129" t="s">
        <v>431</v>
      </c>
      <c r="G129" t="str">
        <f>HYPERLINK("https://ca.linkedin.com/jobs/view/data-analyst-at-wood-mackenzie-3271782079?refId=OCwPD%2B%2B5Rqrx8y2dniGshg%3D%3D&amp;trackingId=AFmFnrNxnImpqvfOH0OSew%3D%3D&amp;position=3&amp;pageNum=0&amp;trk=public_jobs_jserp-result_search-card", "Job Link")</f>
        <v>Job Link</v>
      </c>
      <c r="H129" t="s">
        <v>477</v>
      </c>
      <c r="I129" t="s">
        <v>481</v>
      </c>
      <c r="J129" t="s">
        <v>487</v>
      </c>
      <c r="K129" t="s">
        <v>517</v>
      </c>
      <c r="L129" t="s">
        <v>583</v>
      </c>
      <c r="M129" t="s">
        <v>610</v>
      </c>
      <c r="N129" t="s">
        <v>601</v>
      </c>
    </row>
    <row r="130" spans="1:14" x14ac:dyDescent="0.25">
      <c r="A130" t="s">
        <v>14</v>
      </c>
      <c r="B130" t="s">
        <v>121</v>
      </c>
      <c r="C130" t="s">
        <v>261</v>
      </c>
      <c r="D130" t="s">
        <v>424</v>
      </c>
      <c r="F130" t="s">
        <v>432</v>
      </c>
      <c r="G130" t="str">
        <f>HYPERLINK("https://ca.linkedin.com/jobs/view/data-analyst-at-loft-community-services-3364383026?refId=OCwPD%2B%2B5Rqrx8y2dniGshg%3D%3D&amp;trackingId=EdCSr4lA7pwcF2ZkHCvr6w%3D%3D&amp;position=4&amp;pageNum=0&amp;trk=public_jobs_jserp-result_search-card", "Job Link")</f>
        <v>Job Link</v>
      </c>
      <c r="I130" t="s">
        <v>482</v>
      </c>
      <c r="L130" t="s">
        <v>582</v>
      </c>
      <c r="M130" t="s">
        <v>588</v>
      </c>
      <c r="N130" t="s">
        <v>601</v>
      </c>
    </row>
    <row r="131" spans="1:14" x14ac:dyDescent="0.25">
      <c r="A131" t="s">
        <v>14</v>
      </c>
      <c r="B131" t="s">
        <v>122</v>
      </c>
      <c r="C131" t="s">
        <v>262</v>
      </c>
      <c r="D131" t="s">
        <v>424</v>
      </c>
      <c r="F131" t="s">
        <v>433</v>
      </c>
      <c r="G131" t="str">
        <f>HYPERLINK("https://ca.linkedin.com/jobs/view/data-analyst-at-nam-info-inc-3351590976?refId=OCwPD%2B%2B5Rqrx8y2dniGshg%3D%3D&amp;trackingId=FQjUjUXMaDe3l0Eglg20HQ%3D%3D&amp;position=5&amp;pageNum=0&amp;trk=public_jobs_jserp-result_search-card", "Job Link")</f>
        <v>Job Link</v>
      </c>
      <c r="H131" t="s">
        <v>478</v>
      </c>
      <c r="I131" t="s">
        <v>483</v>
      </c>
      <c r="J131" t="s">
        <v>486</v>
      </c>
      <c r="K131" t="s">
        <v>518</v>
      </c>
      <c r="L131" t="s">
        <v>582</v>
      </c>
      <c r="M131" t="s">
        <v>588</v>
      </c>
      <c r="N131" t="s">
        <v>601</v>
      </c>
    </row>
    <row r="132" spans="1:14" x14ac:dyDescent="0.25">
      <c r="A132" t="s">
        <v>14</v>
      </c>
      <c r="B132" t="s">
        <v>123</v>
      </c>
      <c r="C132" t="s">
        <v>263</v>
      </c>
      <c r="D132" t="s">
        <v>424</v>
      </c>
      <c r="F132" t="s">
        <v>434</v>
      </c>
      <c r="G132" t="str">
        <f>HYPERLINK("https://ca.linkedin.com/jobs/view/data-analyst-at-citi-3263096865?refId=OCwPD%2B%2B5Rqrx8y2dniGshg%3D%3D&amp;trackingId=HKOUVFRWkcEYu0Drgr5Z4A%3D%3D&amp;position=6&amp;pageNum=0&amp;trk=public_jobs_jserp-result_search-card", "Job Link")</f>
        <v>Job Link</v>
      </c>
      <c r="H132" t="s">
        <v>479</v>
      </c>
      <c r="I132" t="s">
        <v>481</v>
      </c>
      <c r="J132" t="s">
        <v>486</v>
      </c>
      <c r="K132" t="s">
        <v>519</v>
      </c>
      <c r="L132" t="s">
        <v>584</v>
      </c>
      <c r="M132" t="s">
        <v>588</v>
      </c>
      <c r="N132" t="s">
        <v>601</v>
      </c>
    </row>
    <row r="133" spans="1:14" x14ac:dyDescent="0.25">
      <c r="A133" t="s">
        <v>19</v>
      </c>
      <c r="B133" t="s">
        <v>136</v>
      </c>
      <c r="C133" t="s">
        <v>278</v>
      </c>
      <c r="D133" t="s">
        <v>424</v>
      </c>
      <c r="F133" t="s">
        <v>445</v>
      </c>
      <c r="G133" t="str">
        <f>HYPERLINK("https://ca.linkedin.com/jobs/view/data-analyst-operations-at-sonder-inc-3229442908?refId=OCwPD%2B%2B5Rqrx8y2dniGshg%3D%3D&amp;trackingId=gHcTIr1a%2F9N20GOhrpwM%2Bw%3D%3D&amp;position=7&amp;pageNum=0&amp;trk=public_jobs_jserp-result_search-card", "Job Link")</f>
        <v>Job Link</v>
      </c>
      <c r="H133" t="s">
        <v>476</v>
      </c>
      <c r="I133" t="s">
        <v>481</v>
      </c>
      <c r="J133" t="s">
        <v>486</v>
      </c>
      <c r="K133" t="s">
        <v>529</v>
      </c>
      <c r="L133" t="s">
        <v>582</v>
      </c>
      <c r="M133" t="s">
        <v>588</v>
      </c>
      <c r="N133" t="s">
        <v>601</v>
      </c>
    </row>
    <row r="134" spans="1:14" x14ac:dyDescent="0.25">
      <c r="A134" t="s">
        <v>14</v>
      </c>
      <c r="B134" t="s">
        <v>124</v>
      </c>
      <c r="C134" t="s">
        <v>264</v>
      </c>
      <c r="D134" t="s">
        <v>424</v>
      </c>
      <c r="F134" t="s">
        <v>435</v>
      </c>
      <c r="G134" t="str">
        <f>HYPERLINK("https://ca.linkedin.com/jobs/view/data-analyst-at-king-s-college-london-3335332409?refId=OCwPD%2B%2B5Rqrx8y2dniGshg%3D%3D&amp;trackingId=sq%2B6fuUGVM85fXrqsi9%2FuQ%3D%3D&amp;position=8&amp;pageNum=0&amp;trk=public_jobs_jserp-result_search-card", "Job Link")</f>
        <v>Job Link</v>
      </c>
      <c r="H134" t="s">
        <v>476</v>
      </c>
      <c r="I134" t="s">
        <v>481</v>
      </c>
      <c r="J134" t="s">
        <v>486</v>
      </c>
      <c r="K134" t="s">
        <v>520</v>
      </c>
      <c r="L134" t="s">
        <v>585</v>
      </c>
      <c r="M134" t="s">
        <v>588</v>
      </c>
      <c r="N134" t="s">
        <v>601</v>
      </c>
    </row>
    <row r="135" spans="1:14" x14ac:dyDescent="0.25">
      <c r="A135" t="s">
        <v>15</v>
      </c>
      <c r="B135" t="s">
        <v>125</v>
      </c>
      <c r="C135" t="s">
        <v>265</v>
      </c>
      <c r="D135" t="s">
        <v>424</v>
      </c>
      <c r="F135" t="s">
        <v>431</v>
      </c>
      <c r="G135" t="str">
        <f>HYPERLINK("https://ca.linkedin.com/jobs/view/data-analyst-remote-at-cognizant-microsoft-business-group-3333618510?refId=OCwPD%2B%2B5Rqrx8y2dniGshg%3D%3D&amp;trackingId=sh7uURvxgbfQWGg57qK%2FZA%3D%3D&amp;position=9&amp;pageNum=0&amp;trk=public_jobs_jserp-result_search-card", "Job Link")</f>
        <v>Job Link</v>
      </c>
      <c r="H135" t="s">
        <v>476</v>
      </c>
      <c r="I135" t="s">
        <v>481</v>
      </c>
      <c r="J135" t="s">
        <v>486</v>
      </c>
      <c r="K135" t="s">
        <v>521</v>
      </c>
      <c r="L135" t="s">
        <v>582</v>
      </c>
      <c r="M135" t="s">
        <v>588</v>
      </c>
      <c r="N135" t="s">
        <v>601</v>
      </c>
    </row>
    <row r="136" spans="1:14" x14ac:dyDescent="0.25">
      <c r="A136" t="s">
        <v>16</v>
      </c>
      <c r="B136" t="s">
        <v>126</v>
      </c>
      <c r="C136" t="s">
        <v>266</v>
      </c>
      <c r="D136" t="s">
        <v>424</v>
      </c>
      <c r="F136" t="s">
        <v>436</v>
      </c>
      <c r="G136" t="str">
        <f>HYPERLINK("https://ca.linkedin.com/jobs/view/data-analyst-loans-at-tata-consultancy-services-3344804680?refId=OCwPD%2B%2B5Rqrx8y2dniGshg%3D%3D&amp;trackingId=rcsQ70D8LL4uKGzgeF1KmQ%3D%3D&amp;position=10&amp;pageNum=0&amp;trk=public_jobs_jserp-result_search-card", "Job Link")</f>
        <v>Job Link</v>
      </c>
      <c r="H136" t="s">
        <v>477</v>
      </c>
      <c r="I136" t="s">
        <v>481</v>
      </c>
      <c r="J136" t="s">
        <v>486</v>
      </c>
      <c r="K136" t="s">
        <v>517</v>
      </c>
      <c r="L136" t="s">
        <v>584</v>
      </c>
      <c r="M136" t="s">
        <v>588</v>
      </c>
      <c r="N136" t="s">
        <v>601</v>
      </c>
    </row>
    <row r="137" spans="1:14" x14ac:dyDescent="0.25">
      <c r="A137" t="s">
        <v>14</v>
      </c>
      <c r="B137" t="s">
        <v>127</v>
      </c>
      <c r="C137" t="s">
        <v>267</v>
      </c>
      <c r="D137" t="s">
        <v>424</v>
      </c>
      <c r="F137" t="s">
        <v>437</v>
      </c>
      <c r="G137" t="str">
        <f>HYPERLINK("https://ca.linkedin.com/jobs/view/data-analyst-at-vubiquity-3365112221?refId=OCwPD%2B%2B5Rqrx8y2dniGshg%3D%3D&amp;trackingId=hSvy4tjwtnGrDWJk8SyVfw%3D%3D&amp;position=11&amp;pageNum=0&amp;trk=public_jobs_jserp-result_search-card", "Job Link")</f>
        <v>Job Link</v>
      </c>
      <c r="H137" t="s">
        <v>476</v>
      </c>
      <c r="I137" t="s">
        <v>481</v>
      </c>
      <c r="J137" t="s">
        <v>486</v>
      </c>
      <c r="K137" t="s">
        <v>522</v>
      </c>
      <c r="L137" t="s">
        <v>582</v>
      </c>
      <c r="M137" t="s">
        <v>588</v>
      </c>
      <c r="N137" t="s">
        <v>601</v>
      </c>
    </row>
    <row r="138" spans="1:14" x14ac:dyDescent="0.25">
      <c r="A138" t="s">
        <v>14</v>
      </c>
      <c r="B138" t="s">
        <v>129</v>
      </c>
      <c r="C138" t="s">
        <v>270</v>
      </c>
      <c r="D138" t="s">
        <v>424</v>
      </c>
      <c r="F138" t="s">
        <v>440</v>
      </c>
      <c r="G138" t="str">
        <f>HYPERLINK("https://ca.linkedin.com/jobs/view/data-analyst-at-agricorp-3364433441?refId=OCwPD%2B%2B5Rqrx8y2dniGshg%3D%3D&amp;trackingId=WHiLtrn5HWuiLCJCrlpI%2Fw%3D%3D&amp;position=12&amp;pageNum=0&amp;trk=public_jobs_jserp-result_search-card", "Job Link")</f>
        <v>Job Link</v>
      </c>
      <c r="H138" t="s">
        <v>476</v>
      </c>
      <c r="I138" t="s">
        <v>481</v>
      </c>
      <c r="J138" t="s">
        <v>486</v>
      </c>
      <c r="K138" t="s">
        <v>523</v>
      </c>
      <c r="L138" t="s">
        <v>587</v>
      </c>
      <c r="M138" t="s">
        <v>588</v>
      </c>
      <c r="N138" t="s">
        <v>601</v>
      </c>
    </row>
    <row r="139" spans="1:14" x14ac:dyDescent="0.25">
      <c r="A139" t="s">
        <v>17</v>
      </c>
      <c r="B139" t="s">
        <v>123</v>
      </c>
      <c r="C139" t="s">
        <v>268</v>
      </c>
      <c r="D139" t="s">
        <v>424</v>
      </c>
      <c r="F139" t="s">
        <v>438</v>
      </c>
      <c r="G139" t="str">
        <f>HYPERLINK("https://ca.linkedin.com/jobs/view/data-analyst-developer-at-citi-3322089923?refId=OCwPD%2B%2B5Rqrx8y2dniGshg%3D%3D&amp;trackingId=ryVduC07gCAFgVV8KmskZg%3D%3D&amp;position=13&amp;pageNum=0&amp;trk=public_jobs_jserp-result_search-card", "Job Link")</f>
        <v>Job Link</v>
      </c>
      <c r="H139" t="s">
        <v>479</v>
      </c>
      <c r="I139" t="s">
        <v>481</v>
      </c>
      <c r="J139" t="s">
        <v>486</v>
      </c>
      <c r="K139" t="s">
        <v>519</v>
      </c>
      <c r="L139" t="s">
        <v>584</v>
      </c>
      <c r="M139" t="s">
        <v>588</v>
      </c>
      <c r="N139" t="s">
        <v>601</v>
      </c>
    </row>
    <row r="140" spans="1:14" x14ac:dyDescent="0.25">
      <c r="A140" t="s">
        <v>14</v>
      </c>
      <c r="B140" t="s">
        <v>128</v>
      </c>
      <c r="C140" t="s">
        <v>269</v>
      </c>
      <c r="D140" t="s">
        <v>424</v>
      </c>
      <c r="F140" t="s">
        <v>439</v>
      </c>
      <c r="G140" t="str">
        <f>HYPERLINK("https://ca.linkedin.com/jobs/view/data-analyst-at-diverse-lynx-3363377240?refId=OCwPD%2B%2B5Rqrx8y2dniGshg%3D%3D&amp;trackingId=57So9vBpybk3TZN%2BZlDEmw%3D%3D&amp;position=14&amp;pageNum=0&amp;trk=public_jobs_jserp-result_search-card", "Job Link")</f>
        <v>Job Link</v>
      </c>
      <c r="H140" t="s">
        <v>476</v>
      </c>
      <c r="I140" t="s">
        <v>481</v>
      </c>
      <c r="J140" t="s">
        <v>486</v>
      </c>
      <c r="K140" t="s">
        <v>516</v>
      </c>
      <c r="L140" t="s">
        <v>586</v>
      </c>
      <c r="M140" t="s">
        <v>617</v>
      </c>
      <c r="N140" t="s">
        <v>601</v>
      </c>
    </row>
    <row r="141" spans="1:14" x14ac:dyDescent="0.25">
      <c r="A141" t="s">
        <v>14</v>
      </c>
      <c r="B141" t="s">
        <v>128</v>
      </c>
      <c r="C141" t="s">
        <v>277</v>
      </c>
      <c r="D141" t="s">
        <v>424</v>
      </c>
      <c r="F141" t="s">
        <v>439</v>
      </c>
      <c r="G141" t="str">
        <f>HYPERLINK("https://ca.linkedin.com/jobs/view/data-analyst-at-diverse-lynx-3363374746?refId=OCwPD%2B%2B5Rqrx8y2dniGshg%3D%3D&amp;trackingId=xAQ1m6OrPVEpqJYJWaaXzA%3D%3D&amp;position=15&amp;pageNum=0&amp;trk=public_jobs_jserp-result_search-card", "Job Link")</f>
        <v>Job Link</v>
      </c>
      <c r="H141" t="s">
        <v>476</v>
      </c>
      <c r="I141" t="s">
        <v>481</v>
      </c>
      <c r="J141" t="s">
        <v>486</v>
      </c>
      <c r="K141" t="s">
        <v>516</v>
      </c>
      <c r="L141" t="s">
        <v>586</v>
      </c>
      <c r="M141" t="s">
        <v>617</v>
      </c>
      <c r="N141" t="s">
        <v>601</v>
      </c>
    </row>
    <row r="142" spans="1:14" x14ac:dyDescent="0.25">
      <c r="A142" t="s">
        <v>18</v>
      </c>
      <c r="B142" t="s">
        <v>130</v>
      </c>
      <c r="C142" t="s">
        <v>284</v>
      </c>
      <c r="D142" t="s">
        <v>424</v>
      </c>
      <c r="F142" t="s">
        <v>441</v>
      </c>
      <c r="G142" t="str">
        <f>HYPERLINK("https://ca.linkedin.com/jobs/view/junior-data-analyst-mississauga-on-at-arjo-3323264354?refId=OCwPD%2B%2B5Rqrx8y2dniGshg%3D%3D&amp;trackingId=DRLN%2FfbPQM5lHRu4sANkCA%3D%3D&amp;position=16&amp;pageNum=0&amp;trk=public_jobs_jserp-result_search-card", "Job Link")</f>
        <v>Job Link</v>
      </c>
      <c r="L142" t="s">
        <v>588</v>
      </c>
      <c r="M142" t="s">
        <v>601</v>
      </c>
    </row>
    <row r="143" spans="1:14" x14ac:dyDescent="0.25">
      <c r="A143" t="s">
        <v>14</v>
      </c>
      <c r="B143" t="s">
        <v>131</v>
      </c>
      <c r="C143" t="s">
        <v>272</v>
      </c>
      <c r="D143" t="s">
        <v>424</v>
      </c>
      <c r="F143" t="s">
        <v>442</v>
      </c>
      <c r="G143" t="str">
        <f>HYPERLINK("https://ca.linkedin.com/jobs/view/data-analyst-at-westland-insurance-group-ltd-3345807760?refId=OCwPD%2B%2B5Rqrx8y2dniGshg%3D%3D&amp;trackingId=niJ42J%2BhOJaluePl2wKBbQ%3D%3D&amp;position=17&amp;pageNum=0&amp;trk=public_jobs_jserp-result_search-card", "Job Link")</f>
        <v>Job Link</v>
      </c>
      <c r="H143" t="s">
        <v>476</v>
      </c>
      <c r="I143" t="s">
        <v>481</v>
      </c>
      <c r="J143" t="s">
        <v>486</v>
      </c>
      <c r="K143" t="s">
        <v>525</v>
      </c>
      <c r="L143" t="s">
        <v>589</v>
      </c>
      <c r="M143" t="s">
        <v>618</v>
      </c>
      <c r="N143" t="s">
        <v>601</v>
      </c>
    </row>
    <row r="144" spans="1:14" x14ac:dyDescent="0.25">
      <c r="A144" t="s">
        <v>14</v>
      </c>
      <c r="B144" t="s">
        <v>132</v>
      </c>
      <c r="C144" t="s">
        <v>273</v>
      </c>
      <c r="D144" t="s">
        <v>424</v>
      </c>
      <c r="F144" t="s">
        <v>443</v>
      </c>
      <c r="G144" t="str">
        <f>HYPERLINK("https://ca.linkedin.com/jobs/view/data-analyst-at-fasken-3365947704?refId=OCwPD%2B%2B5Rqrx8y2dniGshg%3D%3D&amp;trackingId=7y%2BBSa3Tq0NKG2R9Q2LoVA%3D%3D&amp;position=18&amp;pageNum=0&amp;trk=public_jobs_jserp-result_search-card", "Job Link")</f>
        <v>Job Link</v>
      </c>
      <c r="H144" t="s">
        <v>476</v>
      </c>
      <c r="I144" t="s">
        <v>481</v>
      </c>
      <c r="J144" t="s">
        <v>486</v>
      </c>
      <c r="K144" t="s">
        <v>526</v>
      </c>
      <c r="L144" t="s">
        <v>590</v>
      </c>
      <c r="M144" t="s">
        <v>618</v>
      </c>
      <c r="N144" t="s">
        <v>601</v>
      </c>
    </row>
    <row r="145" spans="1:14" x14ac:dyDescent="0.25">
      <c r="A145" t="s">
        <v>14</v>
      </c>
      <c r="B145" t="s">
        <v>133</v>
      </c>
      <c r="C145" t="s">
        <v>274</v>
      </c>
      <c r="D145" t="s">
        <v>424</v>
      </c>
      <c r="F145" t="s">
        <v>434</v>
      </c>
      <c r="G145" t="str">
        <f>HYPERLINK("https://ca.linkedin.com/jobs/view/data-analyst-at-momentum-financial-services-group-3355811523?refId=OCwPD%2B%2B5Rqrx8y2dniGshg%3D%3D&amp;trackingId=CvqEMBG7Y9XPmCtZFPaBBg%3D%3D&amp;position=19&amp;pageNum=0&amp;trk=public_jobs_jserp-result_search-card", "Job Link")</f>
        <v>Job Link</v>
      </c>
      <c r="H145" t="s">
        <v>476</v>
      </c>
      <c r="I145" t="s">
        <v>481</v>
      </c>
      <c r="J145" t="s">
        <v>486</v>
      </c>
      <c r="K145" t="s">
        <v>527</v>
      </c>
      <c r="L145" t="s">
        <v>582</v>
      </c>
      <c r="M145" t="s">
        <v>588</v>
      </c>
      <c r="N145" t="s">
        <v>601</v>
      </c>
    </row>
    <row r="146" spans="1:14" x14ac:dyDescent="0.25">
      <c r="A146" t="s">
        <v>14</v>
      </c>
      <c r="B146" t="s">
        <v>134</v>
      </c>
      <c r="C146" t="s">
        <v>275</v>
      </c>
      <c r="D146" t="s">
        <v>424</v>
      </c>
      <c r="F146" t="s">
        <v>444</v>
      </c>
      <c r="G146" t="str">
        <f>HYPERLINK("https://ca.linkedin.com/jobs/view/data-analyst-at-tes-the-employment-solution-3322589522?refId=OCwPD%2B%2B5Rqrx8y2dniGshg%3D%3D&amp;trackingId=knmUs%2Fh%2B9P6cbBPRXSwRIQ%3D%3D&amp;position=20&amp;pageNum=0&amp;trk=public_jobs_jserp-result_search-card", "Job Link")</f>
        <v>Job Link</v>
      </c>
      <c r="H146" t="s">
        <v>476</v>
      </c>
      <c r="I146" t="s">
        <v>483</v>
      </c>
      <c r="J146" t="s">
        <v>486</v>
      </c>
      <c r="K146" t="s">
        <v>525</v>
      </c>
      <c r="L146" t="s">
        <v>591</v>
      </c>
      <c r="M146" t="s">
        <v>588</v>
      </c>
      <c r="N146" t="s">
        <v>601</v>
      </c>
    </row>
    <row r="147" spans="1:14" x14ac:dyDescent="0.25">
      <c r="A147" t="s">
        <v>14</v>
      </c>
      <c r="B147" t="s">
        <v>135</v>
      </c>
      <c r="C147" t="s">
        <v>276</v>
      </c>
      <c r="D147" t="s">
        <v>424</v>
      </c>
      <c r="F147" t="s">
        <v>440</v>
      </c>
      <c r="G147" t="str">
        <f>HYPERLINK("https://ca.linkedin.com/jobs/view/data-analyst-at-magna-international-3370822450?refId=OCwPD%2B%2B5Rqrx8y2dniGshg%3D%3D&amp;trackingId=EV%2BpIfNepsXS7dZf%2BggGUw%3D%3D&amp;position=21&amp;pageNum=0&amp;trk=public_jobs_jserp-result_search-card", "Job Link")</f>
        <v>Job Link</v>
      </c>
      <c r="H147" t="s">
        <v>476</v>
      </c>
      <c r="I147" t="s">
        <v>481</v>
      </c>
      <c r="J147" t="s">
        <v>488</v>
      </c>
      <c r="K147" t="s">
        <v>528</v>
      </c>
      <c r="L147" t="s">
        <v>592</v>
      </c>
      <c r="M147" t="s">
        <v>588</v>
      </c>
      <c r="N147" t="s">
        <v>601</v>
      </c>
    </row>
    <row r="148" spans="1:14" x14ac:dyDescent="0.25">
      <c r="A148" t="s">
        <v>20</v>
      </c>
      <c r="B148" t="s">
        <v>137</v>
      </c>
      <c r="C148" t="s">
        <v>279</v>
      </c>
      <c r="D148" t="s">
        <v>424</v>
      </c>
      <c r="F148" t="s">
        <v>446</v>
      </c>
      <c r="G148" t="str">
        <f>HYPERLINK("https://ca.linkedin.com/jobs/view/senior-data-analyst-at-mueller-water-products-3122544636?refId=OCwPD%2B%2B5Rqrx8y2dniGshg%3D%3D&amp;trackingId=trwj7Ue9mahMrHoceTFJQQ%3D%3D&amp;position=22&amp;pageNum=0&amp;trk=public_jobs_jserp-result_search-card", "Job Link")</f>
        <v>Job Link</v>
      </c>
      <c r="H148" t="s">
        <v>478</v>
      </c>
      <c r="I148" t="s">
        <v>481</v>
      </c>
      <c r="J148" t="s">
        <v>486</v>
      </c>
      <c r="K148" t="s">
        <v>530</v>
      </c>
      <c r="L148" t="s">
        <v>582</v>
      </c>
      <c r="M148" t="s">
        <v>588</v>
      </c>
      <c r="N148" t="s">
        <v>601</v>
      </c>
    </row>
    <row r="149" spans="1:14" x14ac:dyDescent="0.25">
      <c r="A149" t="s">
        <v>21</v>
      </c>
      <c r="B149" t="s">
        <v>138</v>
      </c>
      <c r="C149" t="s">
        <v>280</v>
      </c>
      <c r="D149" t="s">
        <v>424</v>
      </c>
      <c r="F149" t="s">
        <v>447</v>
      </c>
      <c r="G149" t="str">
        <f>HYPERLINK("https://ca.linkedin.com/jobs/view/data-entry-jr-analyst-6-month-contract-at-csl-group-ltd-3323214993?refId=OCwPD%2B%2B5Rqrx8y2dniGshg%3D%3D&amp;trackingId=H95uO%2FhgNMR9mh1SFawWNA%3D%3D&amp;position=23&amp;pageNum=0&amp;trk=public_jobs_jserp-result_search-card", "Job Link")</f>
        <v>Job Link</v>
      </c>
      <c r="H149" t="s">
        <v>476</v>
      </c>
      <c r="I149" t="s">
        <v>484</v>
      </c>
      <c r="J149" t="s">
        <v>489</v>
      </c>
      <c r="K149" t="s">
        <v>531</v>
      </c>
      <c r="L149" t="s">
        <v>593</v>
      </c>
      <c r="M149" t="s">
        <v>588</v>
      </c>
      <c r="N149" t="s">
        <v>601</v>
      </c>
    </row>
    <row r="150" spans="1:14" x14ac:dyDescent="0.25">
      <c r="A150" t="s">
        <v>14</v>
      </c>
      <c r="B150" t="s">
        <v>140</v>
      </c>
      <c r="C150" t="s">
        <v>282</v>
      </c>
      <c r="D150" t="s">
        <v>424</v>
      </c>
      <c r="F150" t="s">
        <v>440</v>
      </c>
      <c r="G150" t="str">
        <f>HYPERLINK("https://ca.linkedin.com/jobs/view/data-analyst-at-scotiabank-3365406993?refId=OCwPD%2B%2B5Rqrx8y2dniGshg%3D%3D&amp;trackingId=DnsRAGGaoNJ%2FpguG1i68Mg%3D%3D&amp;position=24&amp;pageNum=0&amp;trk=public_jobs_jserp-result_search-card", "Job Link")</f>
        <v>Job Link</v>
      </c>
      <c r="H150" t="s">
        <v>479</v>
      </c>
      <c r="I150" t="s">
        <v>481</v>
      </c>
      <c r="J150" t="s">
        <v>486</v>
      </c>
      <c r="K150" t="s">
        <v>533</v>
      </c>
      <c r="L150" t="s">
        <v>582</v>
      </c>
      <c r="M150" t="s">
        <v>588</v>
      </c>
      <c r="N150" t="s">
        <v>601</v>
      </c>
    </row>
    <row r="151" spans="1:14" x14ac:dyDescent="0.25">
      <c r="A151" t="s">
        <v>22</v>
      </c>
      <c r="B151" t="s">
        <v>139</v>
      </c>
      <c r="C151" t="s">
        <v>281</v>
      </c>
      <c r="D151" t="s">
        <v>424</v>
      </c>
      <c r="F151" t="s">
        <v>435</v>
      </c>
      <c r="G151" t="str">
        <f>HYPERLINK("https://ca.linkedin.com/jobs/view/quality-data-analyst-at-lululemon-3341634874?refId=OCwPD%2B%2B5Rqrx8y2dniGshg%3D%3D&amp;trackingId=GjC5atFWoR29Cm4NcjmjXA%3D%3D&amp;position=25&amp;pageNum=0&amp;trk=public_jobs_jserp-result_search-card", "Job Link")</f>
        <v>Job Link</v>
      </c>
      <c r="H151" t="s">
        <v>476</v>
      </c>
      <c r="I151" t="s">
        <v>481</v>
      </c>
      <c r="J151" t="s">
        <v>486</v>
      </c>
      <c r="K151" t="s">
        <v>532</v>
      </c>
      <c r="L151" t="s">
        <v>590</v>
      </c>
      <c r="M151" t="s">
        <v>618</v>
      </c>
      <c r="N151" t="s">
        <v>601</v>
      </c>
    </row>
    <row r="152" spans="1:14" x14ac:dyDescent="0.25">
      <c r="A152" t="s">
        <v>14</v>
      </c>
      <c r="B152" t="s">
        <v>118</v>
      </c>
      <c r="C152" t="s">
        <v>258</v>
      </c>
      <c r="D152" t="s">
        <v>424</v>
      </c>
      <c r="F152" t="s">
        <v>430</v>
      </c>
      <c r="G152" t="str">
        <f>HYPERLINK("https://ca.linkedin.com/jobs/view/data-analyst-at-axonify-3324670516?refId=6qr%2FLPOAslKTL4Scf5cW2w%3D%3D&amp;trackingId=pnFGBMQKygIoU%2FJGutdLFA%3D%3D&amp;position=1&amp;pageNum=0&amp;trk=public_jobs_jserp-result_search-card", "Job Link")</f>
        <v>Job Link</v>
      </c>
      <c r="H152" t="s">
        <v>476</v>
      </c>
      <c r="I152" t="s">
        <v>481</v>
      </c>
      <c r="J152" t="s">
        <v>486</v>
      </c>
      <c r="K152" t="s">
        <v>516</v>
      </c>
      <c r="L152" t="s">
        <v>581</v>
      </c>
      <c r="M152" t="s">
        <v>588</v>
      </c>
      <c r="N152" t="s">
        <v>601</v>
      </c>
    </row>
    <row r="153" spans="1:14" x14ac:dyDescent="0.25">
      <c r="A153" t="s">
        <v>14</v>
      </c>
      <c r="B153" t="s">
        <v>119</v>
      </c>
      <c r="C153" t="s">
        <v>259</v>
      </c>
      <c r="D153" t="s">
        <v>424</v>
      </c>
      <c r="F153" t="s">
        <v>431</v>
      </c>
      <c r="G153" t="str">
        <f>HYPERLINK("https://ca.linkedin.com/jobs/view/data-analyst-at-b3-systems-3361794123?refId=6qr%2FLPOAslKTL4Scf5cW2w%3D%3D&amp;trackingId=h3ZceuoCEbPHUNueJBSskA%3D%3D&amp;position=2&amp;pageNum=0&amp;trk=public_jobs_jserp-result_search-card", "Job Link")</f>
        <v>Job Link</v>
      </c>
      <c r="I153" t="s">
        <v>481</v>
      </c>
      <c r="L153" t="s">
        <v>582</v>
      </c>
      <c r="M153" t="s">
        <v>588</v>
      </c>
      <c r="N153" t="s">
        <v>601</v>
      </c>
    </row>
    <row r="154" spans="1:14" x14ac:dyDescent="0.25">
      <c r="A154" t="s">
        <v>14</v>
      </c>
      <c r="B154" t="s">
        <v>120</v>
      </c>
      <c r="C154" t="s">
        <v>260</v>
      </c>
      <c r="D154" t="s">
        <v>424</v>
      </c>
      <c r="F154" t="s">
        <v>431</v>
      </c>
      <c r="G154" t="str">
        <f>HYPERLINK("https://ca.linkedin.com/jobs/view/data-analyst-at-wood-mackenzie-3271782079?refId=6qr%2FLPOAslKTL4Scf5cW2w%3D%3D&amp;trackingId=6TBR597JnHmTVWId%2F9GJpA%3D%3D&amp;position=3&amp;pageNum=0&amp;trk=public_jobs_jserp-result_search-card", "Job Link")</f>
        <v>Job Link</v>
      </c>
      <c r="H154" t="s">
        <v>477</v>
      </c>
      <c r="I154" t="s">
        <v>481</v>
      </c>
      <c r="J154" t="s">
        <v>487</v>
      </c>
      <c r="K154" t="s">
        <v>517</v>
      </c>
      <c r="L154" t="s">
        <v>583</v>
      </c>
      <c r="M154" t="s">
        <v>610</v>
      </c>
      <c r="N154" t="s">
        <v>601</v>
      </c>
    </row>
    <row r="155" spans="1:14" x14ac:dyDescent="0.25">
      <c r="A155" t="s">
        <v>14</v>
      </c>
      <c r="B155" t="s">
        <v>121</v>
      </c>
      <c r="C155" t="s">
        <v>261</v>
      </c>
      <c r="D155" t="s">
        <v>424</v>
      </c>
      <c r="F155" t="s">
        <v>432</v>
      </c>
      <c r="G155" t="str">
        <f>HYPERLINK("https://ca.linkedin.com/jobs/view/data-analyst-at-loft-community-services-3364383026?refId=6qr%2FLPOAslKTL4Scf5cW2w%3D%3D&amp;trackingId=4DzIY%2FafqbIJyCK28wnHtQ%3D%3D&amp;position=4&amp;pageNum=0&amp;trk=public_jobs_jserp-result_search-card", "Job Link")</f>
        <v>Job Link</v>
      </c>
      <c r="I155" t="s">
        <v>482</v>
      </c>
      <c r="L155" t="s">
        <v>582</v>
      </c>
      <c r="M155" t="s">
        <v>588</v>
      </c>
      <c r="N155" t="s">
        <v>601</v>
      </c>
    </row>
    <row r="156" spans="1:14" x14ac:dyDescent="0.25">
      <c r="A156" t="s">
        <v>14</v>
      </c>
      <c r="B156" t="s">
        <v>122</v>
      </c>
      <c r="C156" t="s">
        <v>262</v>
      </c>
      <c r="D156" t="s">
        <v>424</v>
      </c>
      <c r="F156" t="s">
        <v>433</v>
      </c>
      <c r="G156" t="str">
        <f>HYPERLINK("https://ca.linkedin.com/jobs/view/data-analyst-at-nam-info-inc-3351590976?refId=6qr%2FLPOAslKTL4Scf5cW2w%3D%3D&amp;trackingId=1QY3h%2BsjGfhQUNCiUO09Fg%3D%3D&amp;position=5&amp;pageNum=0&amp;trk=public_jobs_jserp-result_search-card", "Job Link")</f>
        <v>Job Link</v>
      </c>
      <c r="H156" t="s">
        <v>478</v>
      </c>
      <c r="I156" t="s">
        <v>483</v>
      </c>
      <c r="J156" t="s">
        <v>486</v>
      </c>
      <c r="K156" t="s">
        <v>518</v>
      </c>
      <c r="L156" t="s">
        <v>582</v>
      </c>
      <c r="M156" t="s">
        <v>588</v>
      </c>
      <c r="N156" t="s">
        <v>601</v>
      </c>
    </row>
    <row r="157" spans="1:14" x14ac:dyDescent="0.25">
      <c r="A157" t="s">
        <v>14</v>
      </c>
      <c r="B157" t="s">
        <v>123</v>
      </c>
      <c r="C157" t="s">
        <v>263</v>
      </c>
      <c r="D157" t="s">
        <v>424</v>
      </c>
      <c r="F157" t="s">
        <v>434</v>
      </c>
      <c r="G157" t="str">
        <f>HYPERLINK("https://ca.linkedin.com/jobs/view/data-analyst-at-citi-3263096865?refId=6qr%2FLPOAslKTL4Scf5cW2w%3D%3D&amp;trackingId=ns3mZm0jPcNwKVSfXZ67JA%3D%3D&amp;position=6&amp;pageNum=0&amp;trk=public_jobs_jserp-result_search-card", "Job Link")</f>
        <v>Job Link</v>
      </c>
      <c r="H157" t="s">
        <v>479</v>
      </c>
      <c r="I157" t="s">
        <v>481</v>
      </c>
      <c r="J157" t="s">
        <v>486</v>
      </c>
      <c r="K157" t="s">
        <v>519</v>
      </c>
      <c r="L157" t="s">
        <v>584</v>
      </c>
      <c r="M157" t="s">
        <v>588</v>
      </c>
      <c r="N157" t="s">
        <v>601</v>
      </c>
    </row>
    <row r="158" spans="1:14" x14ac:dyDescent="0.25">
      <c r="A158" t="s">
        <v>14</v>
      </c>
      <c r="B158" t="s">
        <v>124</v>
      </c>
      <c r="C158" t="s">
        <v>264</v>
      </c>
      <c r="D158" t="s">
        <v>424</v>
      </c>
      <c r="F158" t="s">
        <v>435</v>
      </c>
      <c r="G158" t="str">
        <f>HYPERLINK("https://ca.linkedin.com/jobs/view/data-analyst-at-king-s-college-london-3335332409?refId=6qr%2FLPOAslKTL4Scf5cW2w%3D%3D&amp;trackingId=9CQqgNq%2BD%2FsLEvZNVRamCw%3D%3D&amp;position=7&amp;pageNum=0&amp;trk=public_jobs_jserp-result_search-card", "Job Link")</f>
        <v>Job Link</v>
      </c>
      <c r="H158" t="s">
        <v>476</v>
      </c>
      <c r="I158" t="s">
        <v>481</v>
      </c>
      <c r="J158" t="s">
        <v>486</v>
      </c>
      <c r="K158" t="s">
        <v>520</v>
      </c>
      <c r="L158" t="s">
        <v>585</v>
      </c>
      <c r="M158" t="s">
        <v>588</v>
      </c>
      <c r="N158" t="s">
        <v>601</v>
      </c>
    </row>
    <row r="159" spans="1:14" x14ac:dyDescent="0.25">
      <c r="A159" t="s">
        <v>15</v>
      </c>
      <c r="B159" t="s">
        <v>125</v>
      </c>
      <c r="C159" t="s">
        <v>265</v>
      </c>
      <c r="D159" t="s">
        <v>424</v>
      </c>
      <c r="F159" t="s">
        <v>431</v>
      </c>
      <c r="G159" t="str">
        <f>HYPERLINK("https://ca.linkedin.com/jobs/view/data-analyst-remote-at-cognizant-microsoft-business-group-3333618510?refId=6qr%2FLPOAslKTL4Scf5cW2w%3D%3D&amp;trackingId=EkPM0RniuGccyYRLZwEy7A%3D%3D&amp;position=8&amp;pageNum=0&amp;trk=public_jobs_jserp-result_search-card", "Job Link")</f>
        <v>Job Link</v>
      </c>
      <c r="H159" t="s">
        <v>476</v>
      </c>
      <c r="I159" t="s">
        <v>481</v>
      </c>
      <c r="J159" t="s">
        <v>486</v>
      </c>
      <c r="K159" t="s">
        <v>521</v>
      </c>
      <c r="L159" t="s">
        <v>582</v>
      </c>
      <c r="M159" t="s">
        <v>588</v>
      </c>
      <c r="N159" t="s">
        <v>601</v>
      </c>
    </row>
    <row r="160" spans="1:14" x14ac:dyDescent="0.25">
      <c r="A160" t="s">
        <v>16</v>
      </c>
      <c r="B160" t="s">
        <v>126</v>
      </c>
      <c r="C160" t="s">
        <v>266</v>
      </c>
      <c r="D160" t="s">
        <v>424</v>
      </c>
      <c r="F160" t="s">
        <v>436</v>
      </c>
      <c r="G160" t="str">
        <f>HYPERLINK("https://ca.linkedin.com/jobs/view/data-analyst-loans-at-tata-consultancy-services-3344804680?refId=6qr%2FLPOAslKTL4Scf5cW2w%3D%3D&amp;trackingId=yrKXPQNlb3yhNnnxn%2BRq8Q%3D%3D&amp;position=9&amp;pageNum=0&amp;trk=public_jobs_jserp-result_search-card", "Job Link")</f>
        <v>Job Link</v>
      </c>
      <c r="H160" t="s">
        <v>477</v>
      </c>
      <c r="I160" t="s">
        <v>481</v>
      </c>
      <c r="J160" t="s">
        <v>486</v>
      </c>
      <c r="K160" t="s">
        <v>517</v>
      </c>
      <c r="L160" t="s">
        <v>584</v>
      </c>
      <c r="M160" t="s">
        <v>588</v>
      </c>
      <c r="N160" t="s">
        <v>601</v>
      </c>
    </row>
    <row r="161" spans="1:14" x14ac:dyDescent="0.25">
      <c r="A161" t="s">
        <v>14</v>
      </c>
      <c r="B161" t="s">
        <v>127</v>
      </c>
      <c r="C161" t="s">
        <v>267</v>
      </c>
      <c r="D161" t="s">
        <v>424</v>
      </c>
      <c r="F161" t="s">
        <v>437</v>
      </c>
      <c r="G161" t="str">
        <f>HYPERLINK("https://ca.linkedin.com/jobs/view/data-analyst-at-vubiquity-3365112221?refId=6qr%2FLPOAslKTL4Scf5cW2w%3D%3D&amp;trackingId=2gAMdhuUYF28LXMURF6tUw%3D%3D&amp;position=10&amp;pageNum=0&amp;trk=public_jobs_jserp-result_search-card", "Job Link")</f>
        <v>Job Link</v>
      </c>
      <c r="H161" t="s">
        <v>476</v>
      </c>
      <c r="I161" t="s">
        <v>481</v>
      </c>
      <c r="J161" t="s">
        <v>486</v>
      </c>
      <c r="K161" t="s">
        <v>522</v>
      </c>
      <c r="L161" t="s">
        <v>582</v>
      </c>
      <c r="M161" t="s">
        <v>588</v>
      </c>
      <c r="N161" t="s">
        <v>601</v>
      </c>
    </row>
    <row r="162" spans="1:14" x14ac:dyDescent="0.25">
      <c r="A162" t="s">
        <v>17</v>
      </c>
      <c r="B162" t="s">
        <v>123</v>
      </c>
      <c r="C162" t="s">
        <v>268</v>
      </c>
      <c r="D162" t="s">
        <v>424</v>
      </c>
      <c r="F162" t="s">
        <v>438</v>
      </c>
      <c r="G162" t="str">
        <f>HYPERLINK("https://ca.linkedin.com/jobs/view/data-analyst-developer-at-citi-3322089923?refId=6qr%2FLPOAslKTL4Scf5cW2w%3D%3D&amp;trackingId=iTobLBdph%2B%2BOR0BBuV2lcQ%3D%3D&amp;position=11&amp;pageNum=0&amp;trk=public_jobs_jserp-result_search-card", "Job Link")</f>
        <v>Job Link</v>
      </c>
      <c r="H162" t="s">
        <v>479</v>
      </c>
      <c r="I162" t="s">
        <v>481</v>
      </c>
      <c r="J162" t="s">
        <v>486</v>
      </c>
      <c r="K162" t="s">
        <v>519</v>
      </c>
      <c r="L162" t="s">
        <v>584</v>
      </c>
      <c r="M162" t="s">
        <v>588</v>
      </c>
      <c r="N162" t="s">
        <v>601</v>
      </c>
    </row>
    <row r="163" spans="1:14" x14ac:dyDescent="0.25">
      <c r="A163" t="s">
        <v>14</v>
      </c>
      <c r="B163" t="s">
        <v>128</v>
      </c>
      <c r="C163" t="s">
        <v>269</v>
      </c>
      <c r="D163" t="s">
        <v>424</v>
      </c>
      <c r="F163" t="s">
        <v>439</v>
      </c>
      <c r="G163" t="str">
        <f>HYPERLINK("https://ca.linkedin.com/jobs/view/data-analyst-at-diverse-lynx-3363377240?refId=6qr%2FLPOAslKTL4Scf5cW2w%3D%3D&amp;trackingId=P1RJrsNhfEVGOk2W49e9hw%3D%3D&amp;position=12&amp;pageNum=0&amp;trk=public_jobs_jserp-result_search-card", "Job Link")</f>
        <v>Job Link</v>
      </c>
      <c r="H163" t="s">
        <v>476</v>
      </c>
      <c r="I163" t="s">
        <v>481</v>
      </c>
      <c r="J163" t="s">
        <v>486</v>
      </c>
      <c r="K163" t="s">
        <v>516</v>
      </c>
      <c r="L163" t="s">
        <v>586</v>
      </c>
      <c r="M163" t="s">
        <v>617</v>
      </c>
      <c r="N163" t="s">
        <v>601</v>
      </c>
    </row>
    <row r="164" spans="1:14" x14ac:dyDescent="0.25">
      <c r="A164" t="s">
        <v>14</v>
      </c>
      <c r="B164" t="s">
        <v>129</v>
      </c>
      <c r="C164" t="s">
        <v>270</v>
      </c>
      <c r="D164" t="s">
        <v>424</v>
      </c>
      <c r="F164" t="s">
        <v>440</v>
      </c>
      <c r="G164" t="str">
        <f>HYPERLINK("https://ca.linkedin.com/jobs/view/data-analyst-at-agricorp-3364433441?refId=6qr%2FLPOAslKTL4Scf5cW2w%3D%3D&amp;trackingId=LGd4r4b8CfMaX68LspLUXA%3D%3D&amp;position=13&amp;pageNum=0&amp;trk=public_jobs_jserp-result_search-card", "Job Link")</f>
        <v>Job Link</v>
      </c>
      <c r="H164" t="s">
        <v>476</v>
      </c>
      <c r="I164" t="s">
        <v>481</v>
      </c>
      <c r="J164" t="s">
        <v>486</v>
      </c>
      <c r="K164" t="s">
        <v>523</v>
      </c>
      <c r="L164" t="s">
        <v>587</v>
      </c>
      <c r="M164" t="s">
        <v>588</v>
      </c>
      <c r="N164" t="s">
        <v>601</v>
      </c>
    </row>
    <row r="165" spans="1:14" x14ac:dyDescent="0.25">
      <c r="A165" t="s">
        <v>18</v>
      </c>
      <c r="B165" t="s">
        <v>130</v>
      </c>
      <c r="C165" t="s">
        <v>271</v>
      </c>
      <c r="D165" t="s">
        <v>424</v>
      </c>
      <c r="F165" t="s">
        <v>441</v>
      </c>
      <c r="G165" t="str">
        <f>HYPERLINK("https://ca.linkedin.com/jobs/view/junior-data-analyst-mississauga-on-at-arjo-3323264354?refId=6qr%2FLPOAslKTL4Scf5cW2w%3D%3D&amp;trackingId=smaBsRJF6ELHRIz738%2FuHQ%3D%3D&amp;position=14&amp;pageNum=0&amp;trk=public_jobs_jserp-result_search-card", "Job Link")</f>
        <v>Job Link</v>
      </c>
      <c r="H165" t="s">
        <v>479</v>
      </c>
      <c r="I165" t="s">
        <v>481</v>
      </c>
      <c r="J165" t="s">
        <v>486</v>
      </c>
      <c r="K165" t="s">
        <v>524</v>
      </c>
      <c r="L165" t="s">
        <v>588</v>
      </c>
      <c r="M165" t="s">
        <v>601</v>
      </c>
    </row>
    <row r="166" spans="1:14" x14ac:dyDescent="0.25">
      <c r="A166" t="s">
        <v>14</v>
      </c>
      <c r="B166" t="s">
        <v>131</v>
      </c>
      <c r="C166" t="s">
        <v>272</v>
      </c>
      <c r="D166" t="s">
        <v>424</v>
      </c>
      <c r="F166" t="s">
        <v>442</v>
      </c>
      <c r="G166" t="str">
        <f>HYPERLINK("https://ca.linkedin.com/jobs/view/data-analyst-at-westland-insurance-group-ltd-3345807760?refId=6qr%2FLPOAslKTL4Scf5cW2w%3D%3D&amp;trackingId=5797TePtuCtLMFERi2lH%2FA%3D%3D&amp;position=15&amp;pageNum=0&amp;trk=public_jobs_jserp-result_search-card", "Job Link")</f>
        <v>Job Link</v>
      </c>
      <c r="H166" t="s">
        <v>476</v>
      </c>
      <c r="I166" t="s">
        <v>481</v>
      </c>
      <c r="J166" t="s">
        <v>486</v>
      </c>
      <c r="K166" t="s">
        <v>525</v>
      </c>
      <c r="L166" t="s">
        <v>589</v>
      </c>
      <c r="M166" t="s">
        <v>618</v>
      </c>
      <c r="N166" t="s">
        <v>601</v>
      </c>
    </row>
    <row r="167" spans="1:14" x14ac:dyDescent="0.25">
      <c r="A167" t="s">
        <v>14</v>
      </c>
      <c r="B167" t="s">
        <v>132</v>
      </c>
      <c r="C167" t="s">
        <v>273</v>
      </c>
      <c r="D167" t="s">
        <v>424</v>
      </c>
      <c r="F167" t="s">
        <v>443</v>
      </c>
      <c r="G167" t="str">
        <f>HYPERLINK("https://ca.linkedin.com/jobs/view/data-analyst-at-fasken-3365947704?refId=6qr%2FLPOAslKTL4Scf5cW2w%3D%3D&amp;trackingId=BxAJQ7SndwYsVcBwICOTQA%3D%3D&amp;position=16&amp;pageNum=0&amp;trk=public_jobs_jserp-result_search-card", "Job Link")</f>
        <v>Job Link</v>
      </c>
      <c r="H167" t="s">
        <v>476</v>
      </c>
      <c r="I167" t="s">
        <v>481</v>
      </c>
      <c r="J167" t="s">
        <v>486</v>
      </c>
      <c r="K167" t="s">
        <v>526</v>
      </c>
      <c r="L167" t="s">
        <v>590</v>
      </c>
      <c r="M167" t="s">
        <v>618</v>
      </c>
      <c r="N167" t="s">
        <v>601</v>
      </c>
    </row>
    <row r="168" spans="1:14" x14ac:dyDescent="0.25">
      <c r="A168" t="s">
        <v>14</v>
      </c>
      <c r="B168" t="s">
        <v>133</v>
      </c>
      <c r="C168" t="s">
        <v>274</v>
      </c>
      <c r="D168" t="s">
        <v>424</v>
      </c>
      <c r="F168" t="s">
        <v>434</v>
      </c>
      <c r="G168" t="str">
        <f>HYPERLINK("https://ca.linkedin.com/jobs/view/data-analyst-at-momentum-financial-services-group-3355811523?refId=6qr%2FLPOAslKTL4Scf5cW2w%3D%3D&amp;trackingId=SnEY97g0uooT7QkWkSOWiA%3D%3D&amp;position=17&amp;pageNum=0&amp;trk=public_jobs_jserp-result_search-card", "Job Link")</f>
        <v>Job Link</v>
      </c>
      <c r="H168" t="s">
        <v>476</v>
      </c>
      <c r="I168" t="s">
        <v>481</v>
      </c>
      <c r="J168" t="s">
        <v>486</v>
      </c>
      <c r="K168" t="s">
        <v>527</v>
      </c>
      <c r="L168" t="s">
        <v>582</v>
      </c>
      <c r="M168" t="s">
        <v>588</v>
      </c>
      <c r="N168" t="s">
        <v>601</v>
      </c>
    </row>
    <row r="169" spans="1:14" x14ac:dyDescent="0.25">
      <c r="A169" t="s">
        <v>14</v>
      </c>
      <c r="B169" t="s">
        <v>134</v>
      </c>
      <c r="C169" t="s">
        <v>275</v>
      </c>
      <c r="D169" t="s">
        <v>424</v>
      </c>
      <c r="F169" t="s">
        <v>444</v>
      </c>
      <c r="G169" t="str">
        <f>HYPERLINK("https://ca.linkedin.com/jobs/view/data-analyst-at-tes-the-employment-solution-3322589522?refId=6qr%2FLPOAslKTL4Scf5cW2w%3D%3D&amp;trackingId=KyiwTJAJBud%2FaKS2NwNWaQ%3D%3D&amp;position=18&amp;pageNum=0&amp;trk=public_jobs_jserp-result_search-card", "Job Link")</f>
        <v>Job Link</v>
      </c>
      <c r="H169" t="s">
        <v>476</v>
      </c>
      <c r="I169" t="s">
        <v>483</v>
      </c>
      <c r="J169" t="s">
        <v>486</v>
      </c>
      <c r="K169" t="s">
        <v>525</v>
      </c>
      <c r="L169" t="s">
        <v>591</v>
      </c>
      <c r="M169" t="s">
        <v>588</v>
      </c>
      <c r="N169" t="s">
        <v>601</v>
      </c>
    </row>
    <row r="170" spans="1:14" x14ac:dyDescent="0.25">
      <c r="A170" t="s">
        <v>14</v>
      </c>
      <c r="B170" t="s">
        <v>135</v>
      </c>
      <c r="C170" t="s">
        <v>276</v>
      </c>
      <c r="D170" t="s">
        <v>424</v>
      </c>
      <c r="F170" t="s">
        <v>440</v>
      </c>
      <c r="G170" t="str">
        <f>HYPERLINK("https://ca.linkedin.com/jobs/view/data-analyst-at-magna-international-3370822450?refId=6qr%2FLPOAslKTL4Scf5cW2w%3D%3D&amp;trackingId=xFhopVPXWEA8HnNyDEkw4A%3D%3D&amp;position=19&amp;pageNum=0&amp;trk=public_jobs_jserp-result_search-card", "Job Link")</f>
        <v>Job Link</v>
      </c>
      <c r="H170" t="s">
        <v>476</v>
      </c>
      <c r="I170" t="s">
        <v>481</v>
      </c>
      <c r="J170" t="s">
        <v>488</v>
      </c>
      <c r="K170" t="s">
        <v>528</v>
      </c>
      <c r="L170" t="s">
        <v>592</v>
      </c>
      <c r="M170" t="s">
        <v>588</v>
      </c>
      <c r="N170" t="s">
        <v>601</v>
      </c>
    </row>
    <row r="171" spans="1:14" x14ac:dyDescent="0.25">
      <c r="A171" t="s">
        <v>14</v>
      </c>
      <c r="B171" t="s">
        <v>128</v>
      </c>
      <c r="C171" t="s">
        <v>277</v>
      </c>
      <c r="D171" t="s">
        <v>424</v>
      </c>
      <c r="F171" t="s">
        <v>439</v>
      </c>
      <c r="G171" t="str">
        <f>HYPERLINK("https://ca.linkedin.com/jobs/view/data-analyst-at-diverse-lynx-3363374746?refId=6qr%2FLPOAslKTL4Scf5cW2w%3D%3D&amp;trackingId=t4tTQffJCvrlAKPEZIcRUw%3D%3D&amp;position=20&amp;pageNum=0&amp;trk=public_jobs_jserp-result_search-card", "Job Link")</f>
        <v>Job Link</v>
      </c>
      <c r="H171" t="s">
        <v>476</v>
      </c>
      <c r="I171" t="s">
        <v>481</v>
      </c>
      <c r="J171" t="s">
        <v>486</v>
      </c>
      <c r="K171" t="s">
        <v>516</v>
      </c>
      <c r="L171" t="s">
        <v>586</v>
      </c>
      <c r="M171" t="s">
        <v>617</v>
      </c>
      <c r="N171" t="s">
        <v>601</v>
      </c>
    </row>
    <row r="172" spans="1:14" x14ac:dyDescent="0.25">
      <c r="A172" t="s">
        <v>19</v>
      </c>
      <c r="B172" t="s">
        <v>136</v>
      </c>
      <c r="C172" t="s">
        <v>278</v>
      </c>
      <c r="D172" t="s">
        <v>424</v>
      </c>
      <c r="F172" t="s">
        <v>445</v>
      </c>
      <c r="G172" t="str">
        <f>HYPERLINK("https://ca.linkedin.com/jobs/view/data-analyst-operations-at-sonder-inc-3229442908?refId=6qr%2FLPOAslKTL4Scf5cW2w%3D%3D&amp;trackingId=cHGo1%2Bps44Fioo7VdGYIrQ%3D%3D&amp;position=21&amp;pageNum=0&amp;trk=public_jobs_jserp-result_search-card", "Job Link")</f>
        <v>Job Link</v>
      </c>
      <c r="H172" t="s">
        <v>476</v>
      </c>
      <c r="I172" t="s">
        <v>481</v>
      </c>
      <c r="J172" t="s">
        <v>486</v>
      </c>
      <c r="K172" t="s">
        <v>529</v>
      </c>
      <c r="L172" t="s">
        <v>582</v>
      </c>
      <c r="M172" t="s">
        <v>588</v>
      </c>
      <c r="N172" t="s">
        <v>601</v>
      </c>
    </row>
    <row r="173" spans="1:14" x14ac:dyDescent="0.25">
      <c r="A173" t="s">
        <v>20</v>
      </c>
      <c r="B173" t="s">
        <v>137</v>
      </c>
      <c r="C173" t="s">
        <v>279</v>
      </c>
      <c r="D173" t="s">
        <v>424</v>
      </c>
      <c r="F173" t="s">
        <v>446</v>
      </c>
      <c r="G173" t="str">
        <f>HYPERLINK("https://ca.linkedin.com/jobs/view/senior-data-analyst-at-mueller-water-products-3122544636?refId=6qr%2FLPOAslKTL4Scf5cW2w%3D%3D&amp;trackingId=gSlxYghlnCN7mDWmerIL0w%3D%3D&amp;position=22&amp;pageNum=0&amp;trk=public_jobs_jserp-result_search-card", "Job Link")</f>
        <v>Job Link</v>
      </c>
      <c r="H173" t="s">
        <v>478</v>
      </c>
      <c r="I173" t="s">
        <v>481</v>
      </c>
      <c r="J173" t="s">
        <v>486</v>
      </c>
      <c r="K173" t="s">
        <v>530</v>
      </c>
      <c r="L173" t="s">
        <v>582</v>
      </c>
      <c r="M173" t="s">
        <v>588</v>
      </c>
      <c r="N173" t="s">
        <v>601</v>
      </c>
    </row>
    <row r="174" spans="1:14" x14ac:dyDescent="0.25">
      <c r="A174" t="s">
        <v>21</v>
      </c>
      <c r="B174" t="s">
        <v>138</v>
      </c>
      <c r="C174" t="s">
        <v>280</v>
      </c>
      <c r="D174" t="s">
        <v>424</v>
      </c>
      <c r="F174" t="s">
        <v>447</v>
      </c>
      <c r="G174" t="str">
        <f>HYPERLINK("https://ca.linkedin.com/jobs/view/data-entry-jr-analyst-6-month-contract-at-csl-group-ltd-3323214993?refId=6qr%2FLPOAslKTL4Scf5cW2w%3D%3D&amp;trackingId=mboRFPUIrZUwj5DbwNksVg%3D%3D&amp;position=23&amp;pageNum=0&amp;trk=public_jobs_jserp-result_search-card", "Job Link")</f>
        <v>Job Link</v>
      </c>
      <c r="H174" t="s">
        <v>476</v>
      </c>
      <c r="I174" t="s">
        <v>484</v>
      </c>
      <c r="J174" t="s">
        <v>489</v>
      </c>
      <c r="K174" t="s">
        <v>531</v>
      </c>
      <c r="L174" t="s">
        <v>593</v>
      </c>
      <c r="M174" t="s">
        <v>588</v>
      </c>
      <c r="N174" t="s">
        <v>601</v>
      </c>
    </row>
    <row r="175" spans="1:14" x14ac:dyDescent="0.25">
      <c r="A175" t="s">
        <v>22</v>
      </c>
      <c r="B175" t="s">
        <v>139</v>
      </c>
      <c r="C175" t="s">
        <v>281</v>
      </c>
      <c r="D175" t="s">
        <v>424</v>
      </c>
      <c r="F175" t="s">
        <v>435</v>
      </c>
      <c r="G175" t="str">
        <f>HYPERLINK("https://ca.linkedin.com/jobs/view/quality-data-analyst-at-lululemon-3341634874?refId=6qr%2FLPOAslKTL4Scf5cW2w%3D%3D&amp;trackingId=3rHw3qsdQ5QV1h3FqL9R1w%3D%3D&amp;position=24&amp;pageNum=0&amp;trk=public_jobs_jserp-result_search-card", "Job Link")</f>
        <v>Job Link</v>
      </c>
      <c r="H175" t="s">
        <v>476</v>
      </c>
      <c r="I175" t="s">
        <v>481</v>
      </c>
      <c r="J175" t="s">
        <v>486</v>
      </c>
      <c r="K175" t="s">
        <v>532</v>
      </c>
      <c r="L175" t="s">
        <v>590</v>
      </c>
      <c r="M175" t="s">
        <v>618</v>
      </c>
      <c r="N175" t="s">
        <v>601</v>
      </c>
    </row>
    <row r="176" spans="1:14" x14ac:dyDescent="0.25">
      <c r="A176" t="s">
        <v>14</v>
      </c>
      <c r="B176" t="s">
        <v>140</v>
      </c>
      <c r="C176" t="s">
        <v>282</v>
      </c>
      <c r="D176" t="s">
        <v>424</v>
      </c>
      <c r="F176" t="s">
        <v>440</v>
      </c>
      <c r="G176" t="str">
        <f>HYPERLINK("https://ca.linkedin.com/jobs/view/data-analyst-at-scotiabank-3365406993?refId=6qr%2FLPOAslKTL4Scf5cW2w%3D%3D&amp;trackingId=5KDsKZUpZc1C%2FI4%2B%2FWlQ0A%3D%3D&amp;position=25&amp;pageNum=0&amp;trk=public_jobs_jserp-result_search-card", "Job Link")</f>
        <v>Job Link</v>
      </c>
      <c r="H176" t="s">
        <v>479</v>
      </c>
      <c r="I176" t="s">
        <v>481</v>
      </c>
      <c r="J176" t="s">
        <v>486</v>
      </c>
      <c r="K176" t="s">
        <v>533</v>
      </c>
      <c r="L176" t="s">
        <v>582</v>
      </c>
      <c r="M176" t="s">
        <v>588</v>
      </c>
      <c r="N176" t="s">
        <v>601</v>
      </c>
    </row>
    <row r="177" spans="1:14" x14ac:dyDescent="0.25">
      <c r="A177" t="s">
        <v>14</v>
      </c>
      <c r="B177" t="s">
        <v>118</v>
      </c>
      <c r="C177" t="s">
        <v>258</v>
      </c>
      <c r="D177" t="s">
        <v>424</v>
      </c>
      <c r="F177" t="s">
        <v>430</v>
      </c>
      <c r="G177" t="str">
        <f>HYPERLINK("https://ca.linkedin.com/jobs/view/data-analyst-at-axonify-3324670516?refId=r3TTqRJiwEnfLiVtHwQhzw%3D%3D&amp;trackingId=PgByp%2Brx6W2W82tfjzXcyw%3D%3D&amp;position=1&amp;pageNum=0&amp;trk=public_jobs_jserp-result_search-card", "Job Link")</f>
        <v>Job Link</v>
      </c>
      <c r="H177" t="s">
        <v>476</v>
      </c>
      <c r="I177" t="s">
        <v>481</v>
      </c>
      <c r="J177" t="s">
        <v>486</v>
      </c>
      <c r="K177" t="s">
        <v>516</v>
      </c>
      <c r="L177" t="s">
        <v>581</v>
      </c>
      <c r="M177" t="s">
        <v>588</v>
      </c>
      <c r="N177" t="s">
        <v>601</v>
      </c>
    </row>
    <row r="178" spans="1:14" x14ac:dyDescent="0.25">
      <c r="A178" t="s">
        <v>14</v>
      </c>
      <c r="B178" t="s">
        <v>119</v>
      </c>
      <c r="C178" t="s">
        <v>259</v>
      </c>
      <c r="D178" t="s">
        <v>424</v>
      </c>
      <c r="F178" t="s">
        <v>431</v>
      </c>
      <c r="G178" t="str">
        <f>HYPERLINK("https://ca.linkedin.com/jobs/view/data-analyst-at-b3-systems-3361794123?refId=r3TTqRJiwEnfLiVtHwQhzw%3D%3D&amp;trackingId=1nHuW7%2BC%2B1tOBm8cPOziCw%3D%3D&amp;position=2&amp;pageNum=0&amp;trk=public_jobs_jserp-result_search-card", "Job Link")</f>
        <v>Job Link</v>
      </c>
      <c r="I178" t="s">
        <v>481</v>
      </c>
      <c r="L178" t="s">
        <v>582</v>
      </c>
      <c r="M178" t="s">
        <v>588</v>
      </c>
      <c r="N178" t="s">
        <v>601</v>
      </c>
    </row>
    <row r="179" spans="1:14" x14ac:dyDescent="0.25">
      <c r="A179" t="s">
        <v>14</v>
      </c>
      <c r="B179" t="s">
        <v>120</v>
      </c>
      <c r="C179" t="s">
        <v>260</v>
      </c>
      <c r="D179" t="s">
        <v>424</v>
      </c>
      <c r="F179" t="s">
        <v>431</v>
      </c>
      <c r="G179" t="str">
        <f>HYPERLINK("https://ca.linkedin.com/jobs/view/data-analyst-at-wood-mackenzie-3271782079?refId=r3TTqRJiwEnfLiVtHwQhzw%3D%3D&amp;trackingId=5FXCS4eFEmkPAfMFmvSwZw%3D%3D&amp;position=3&amp;pageNum=0&amp;trk=public_jobs_jserp-result_search-card", "Job Link")</f>
        <v>Job Link</v>
      </c>
      <c r="H179" t="s">
        <v>477</v>
      </c>
      <c r="I179" t="s">
        <v>481</v>
      </c>
      <c r="J179" t="s">
        <v>487</v>
      </c>
      <c r="K179" t="s">
        <v>517</v>
      </c>
      <c r="L179" t="s">
        <v>583</v>
      </c>
      <c r="M179" t="s">
        <v>610</v>
      </c>
      <c r="N179" t="s">
        <v>601</v>
      </c>
    </row>
    <row r="180" spans="1:14" x14ac:dyDescent="0.25">
      <c r="A180" t="s">
        <v>14</v>
      </c>
      <c r="B180" t="s">
        <v>121</v>
      </c>
      <c r="C180" t="s">
        <v>261</v>
      </c>
      <c r="D180" t="s">
        <v>424</v>
      </c>
      <c r="F180" t="s">
        <v>432</v>
      </c>
      <c r="G180" t="str">
        <f>HYPERLINK("https://ca.linkedin.com/jobs/view/data-analyst-at-loft-community-services-3364383026?refId=r3TTqRJiwEnfLiVtHwQhzw%3D%3D&amp;trackingId=vM21NBAUlBxIYPFTYHvuRw%3D%3D&amp;position=4&amp;pageNum=0&amp;trk=public_jobs_jserp-result_search-card", "Job Link")</f>
        <v>Job Link</v>
      </c>
      <c r="I180" t="s">
        <v>482</v>
      </c>
      <c r="L180" t="s">
        <v>582</v>
      </c>
      <c r="M180" t="s">
        <v>588</v>
      </c>
      <c r="N180" t="s">
        <v>601</v>
      </c>
    </row>
    <row r="181" spans="1:14" x14ac:dyDescent="0.25">
      <c r="A181" t="s">
        <v>14</v>
      </c>
      <c r="B181" t="s">
        <v>122</v>
      </c>
      <c r="C181" t="s">
        <v>262</v>
      </c>
      <c r="D181" t="s">
        <v>424</v>
      </c>
      <c r="F181" t="s">
        <v>433</v>
      </c>
      <c r="G181" t="str">
        <f>HYPERLINK("https://ca.linkedin.com/jobs/view/data-analyst-at-nam-info-inc-3351590976?refId=r3TTqRJiwEnfLiVtHwQhzw%3D%3D&amp;trackingId=j21yV1fQ2vwIYI0mpsgLeA%3D%3D&amp;position=5&amp;pageNum=0&amp;trk=public_jobs_jserp-result_search-card", "Job Link")</f>
        <v>Job Link</v>
      </c>
      <c r="H181" t="s">
        <v>478</v>
      </c>
      <c r="I181" t="s">
        <v>483</v>
      </c>
      <c r="J181" t="s">
        <v>486</v>
      </c>
      <c r="K181" t="s">
        <v>518</v>
      </c>
      <c r="L181" t="s">
        <v>582</v>
      </c>
      <c r="M181" t="s">
        <v>588</v>
      </c>
      <c r="N181" t="s">
        <v>601</v>
      </c>
    </row>
    <row r="182" spans="1:14" x14ac:dyDescent="0.25">
      <c r="A182" t="s">
        <v>14</v>
      </c>
      <c r="B182" t="s">
        <v>123</v>
      </c>
      <c r="C182" t="s">
        <v>263</v>
      </c>
      <c r="D182" t="s">
        <v>424</v>
      </c>
      <c r="F182" t="s">
        <v>434</v>
      </c>
      <c r="G182" t="str">
        <f>HYPERLINK("https://ca.linkedin.com/jobs/view/data-analyst-at-citi-3263096865?refId=r3TTqRJiwEnfLiVtHwQhzw%3D%3D&amp;trackingId=zVtsNRGoeJVKsHxrweBjJQ%3D%3D&amp;position=6&amp;pageNum=0&amp;trk=public_jobs_jserp-result_search-card", "Job Link")</f>
        <v>Job Link</v>
      </c>
      <c r="H182" t="s">
        <v>479</v>
      </c>
      <c r="I182" t="s">
        <v>481</v>
      </c>
      <c r="J182" t="s">
        <v>486</v>
      </c>
      <c r="K182" t="s">
        <v>519</v>
      </c>
      <c r="L182" t="s">
        <v>584</v>
      </c>
      <c r="M182" t="s">
        <v>588</v>
      </c>
      <c r="N182" t="s">
        <v>601</v>
      </c>
    </row>
    <row r="183" spans="1:14" x14ac:dyDescent="0.25">
      <c r="A183" t="s">
        <v>19</v>
      </c>
      <c r="B183" t="s">
        <v>136</v>
      </c>
      <c r="C183" t="s">
        <v>278</v>
      </c>
      <c r="D183" t="s">
        <v>424</v>
      </c>
      <c r="F183" t="s">
        <v>445</v>
      </c>
      <c r="G183" t="str">
        <f>HYPERLINK("https://ca.linkedin.com/jobs/view/data-analyst-operations-at-sonder-inc-3229442908?refId=r3TTqRJiwEnfLiVtHwQhzw%3D%3D&amp;trackingId=75vwfMLLteZjpOq17nEAdA%3D%3D&amp;position=7&amp;pageNum=0&amp;trk=public_jobs_jserp-result_search-card", "Job Link")</f>
        <v>Job Link</v>
      </c>
      <c r="H183" t="s">
        <v>476</v>
      </c>
      <c r="I183" t="s">
        <v>481</v>
      </c>
      <c r="J183" t="s">
        <v>486</v>
      </c>
      <c r="K183" t="s">
        <v>529</v>
      </c>
      <c r="L183" t="s">
        <v>582</v>
      </c>
      <c r="M183" t="s">
        <v>588</v>
      </c>
      <c r="N183" t="s">
        <v>601</v>
      </c>
    </row>
    <row r="184" spans="1:14" x14ac:dyDescent="0.25">
      <c r="A184" t="s">
        <v>14</v>
      </c>
      <c r="B184" t="s">
        <v>124</v>
      </c>
      <c r="C184" t="s">
        <v>284</v>
      </c>
      <c r="D184" t="s">
        <v>424</v>
      </c>
      <c r="F184" t="s">
        <v>435</v>
      </c>
      <c r="G184" t="str">
        <f>HYPERLINK("https://ca.linkedin.com/jobs/view/data-analyst-at-king-s-college-london-3335332409?refId=r3TTqRJiwEnfLiVtHwQhzw%3D%3D&amp;trackingId=WUMr8dMAPaN6jam4m9epPQ%3D%3D&amp;position=8&amp;pageNum=0&amp;trk=public_jobs_jserp-result_search-card", "Job Link")</f>
        <v>Job Link</v>
      </c>
      <c r="L184" t="s">
        <v>585</v>
      </c>
      <c r="M184" t="s">
        <v>588</v>
      </c>
      <c r="N184" t="s">
        <v>601</v>
      </c>
    </row>
    <row r="185" spans="1:14" x14ac:dyDescent="0.25">
      <c r="A185" t="s">
        <v>15</v>
      </c>
      <c r="B185" t="s">
        <v>125</v>
      </c>
      <c r="C185" t="s">
        <v>265</v>
      </c>
      <c r="D185" t="s">
        <v>424</v>
      </c>
      <c r="F185" t="s">
        <v>431</v>
      </c>
      <c r="G185" t="str">
        <f>HYPERLINK("https://ca.linkedin.com/jobs/view/data-analyst-remote-at-cognizant-microsoft-business-group-3333618510?refId=r3TTqRJiwEnfLiVtHwQhzw%3D%3D&amp;trackingId=SDZjXAhRTxiVohDlJkE3yQ%3D%3D&amp;position=9&amp;pageNum=0&amp;trk=public_jobs_jserp-result_search-card", "Job Link")</f>
        <v>Job Link</v>
      </c>
      <c r="H185" t="s">
        <v>476</v>
      </c>
      <c r="I185" t="s">
        <v>481</v>
      </c>
      <c r="J185" t="s">
        <v>486</v>
      </c>
      <c r="K185" t="s">
        <v>521</v>
      </c>
      <c r="L185" t="s">
        <v>582</v>
      </c>
      <c r="M185" t="s">
        <v>588</v>
      </c>
      <c r="N185" t="s">
        <v>601</v>
      </c>
    </row>
    <row r="186" spans="1:14" x14ac:dyDescent="0.25">
      <c r="A186" t="s">
        <v>16</v>
      </c>
      <c r="B186" t="s">
        <v>126</v>
      </c>
      <c r="C186" t="s">
        <v>266</v>
      </c>
      <c r="D186" t="s">
        <v>424</v>
      </c>
      <c r="F186" t="s">
        <v>436</v>
      </c>
      <c r="G186" t="str">
        <f>HYPERLINK("https://ca.linkedin.com/jobs/view/data-analyst-loans-at-tata-consultancy-services-3344804680?refId=r3TTqRJiwEnfLiVtHwQhzw%3D%3D&amp;trackingId=7s9vr%2FoCyan0HpEJW6Uq7w%3D%3D&amp;position=10&amp;pageNum=0&amp;trk=public_jobs_jserp-result_search-card", "Job Link")</f>
        <v>Job Link</v>
      </c>
      <c r="H186" t="s">
        <v>477</v>
      </c>
      <c r="I186" t="s">
        <v>481</v>
      </c>
      <c r="J186" t="s">
        <v>486</v>
      </c>
      <c r="K186" t="s">
        <v>517</v>
      </c>
      <c r="L186" t="s">
        <v>584</v>
      </c>
      <c r="M186" t="s">
        <v>588</v>
      </c>
      <c r="N186" t="s">
        <v>601</v>
      </c>
    </row>
    <row r="187" spans="1:14" x14ac:dyDescent="0.25">
      <c r="A187" t="s">
        <v>14</v>
      </c>
      <c r="B187" t="s">
        <v>127</v>
      </c>
      <c r="C187" t="s">
        <v>267</v>
      </c>
      <c r="D187" t="s">
        <v>424</v>
      </c>
      <c r="F187" t="s">
        <v>437</v>
      </c>
      <c r="G187" t="str">
        <f>HYPERLINK("https://ca.linkedin.com/jobs/view/data-analyst-at-vubiquity-3365112221?refId=r3TTqRJiwEnfLiVtHwQhzw%3D%3D&amp;trackingId=%2FRLnMXx5nloOzF1pqSQ6ZQ%3D%3D&amp;position=11&amp;pageNum=0&amp;trk=public_jobs_jserp-result_search-card", "Job Link")</f>
        <v>Job Link</v>
      </c>
      <c r="H187" t="s">
        <v>476</v>
      </c>
      <c r="I187" t="s">
        <v>481</v>
      </c>
      <c r="J187" t="s">
        <v>486</v>
      </c>
      <c r="K187" t="s">
        <v>522</v>
      </c>
      <c r="L187" t="s">
        <v>582</v>
      </c>
      <c r="M187" t="s">
        <v>588</v>
      </c>
      <c r="N187" t="s">
        <v>601</v>
      </c>
    </row>
    <row r="188" spans="1:14" x14ac:dyDescent="0.25">
      <c r="A188" t="s">
        <v>14</v>
      </c>
      <c r="B188" t="s">
        <v>129</v>
      </c>
      <c r="C188" t="s">
        <v>270</v>
      </c>
      <c r="D188" t="s">
        <v>424</v>
      </c>
      <c r="F188" t="s">
        <v>440</v>
      </c>
      <c r="G188" t="str">
        <f>HYPERLINK("https://ca.linkedin.com/jobs/view/data-analyst-at-agricorp-3364433441?refId=r3TTqRJiwEnfLiVtHwQhzw%3D%3D&amp;trackingId=EiB4n1gB5OJnOVDstX%2Fp8g%3D%3D&amp;position=12&amp;pageNum=0&amp;trk=public_jobs_jserp-result_search-card", "Job Link")</f>
        <v>Job Link</v>
      </c>
      <c r="H188" t="s">
        <v>476</v>
      </c>
      <c r="I188" t="s">
        <v>481</v>
      </c>
      <c r="J188" t="s">
        <v>486</v>
      </c>
      <c r="K188" t="s">
        <v>523</v>
      </c>
      <c r="L188" t="s">
        <v>587</v>
      </c>
      <c r="M188" t="s">
        <v>588</v>
      </c>
      <c r="N188" t="s">
        <v>601</v>
      </c>
    </row>
    <row r="189" spans="1:14" x14ac:dyDescent="0.25">
      <c r="A189" t="s">
        <v>17</v>
      </c>
      <c r="B189" t="s">
        <v>123</v>
      </c>
      <c r="C189" t="s">
        <v>268</v>
      </c>
      <c r="D189" t="s">
        <v>424</v>
      </c>
      <c r="F189" t="s">
        <v>438</v>
      </c>
      <c r="G189" t="str">
        <f>HYPERLINK("https://ca.linkedin.com/jobs/view/data-analyst-developer-at-citi-3322089923?refId=r3TTqRJiwEnfLiVtHwQhzw%3D%3D&amp;trackingId=wt0zABuv1vffv1UH2H%2Brpw%3D%3D&amp;position=13&amp;pageNum=0&amp;trk=public_jobs_jserp-result_search-card", "Job Link")</f>
        <v>Job Link</v>
      </c>
      <c r="H189" t="s">
        <v>479</v>
      </c>
      <c r="I189" t="s">
        <v>481</v>
      </c>
      <c r="J189" t="s">
        <v>486</v>
      </c>
      <c r="K189" t="s">
        <v>519</v>
      </c>
      <c r="L189" t="s">
        <v>584</v>
      </c>
      <c r="M189" t="s">
        <v>588</v>
      </c>
      <c r="N189" t="s">
        <v>601</v>
      </c>
    </row>
    <row r="190" spans="1:14" x14ac:dyDescent="0.25">
      <c r="A190" t="s">
        <v>14</v>
      </c>
      <c r="B190" t="s">
        <v>128</v>
      </c>
      <c r="C190" t="s">
        <v>269</v>
      </c>
      <c r="D190" t="s">
        <v>424</v>
      </c>
      <c r="F190" t="s">
        <v>439</v>
      </c>
      <c r="G190" t="str">
        <f>HYPERLINK("https://ca.linkedin.com/jobs/view/data-analyst-at-diverse-lynx-3363377240?refId=r3TTqRJiwEnfLiVtHwQhzw%3D%3D&amp;trackingId=Kw1YfWKFZv2dXib3JycbEw%3D%3D&amp;position=14&amp;pageNum=0&amp;trk=public_jobs_jserp-result_search-card", "Job Link")</f>
        <v>Job Link</v>
      </c>
      <c r="H190" t="s">
        <v>476</v>
      </c>
      <c r="I190" t="s">
        <v>481</v>
      </c>
      <c r="J190" t="s">
        <v>486</v>
      </c>
      <c r="K190" t="s">
        <v>516</v>
      </c>
      <c r="L190" t="s">
        <v>586</v>
      </c>
      <c r="M190" t="s">
        <v>617</v>
      </c>
      <c r="N190" t="s">
        <v>601</v>
      </c>
    </row>
    <row r="191" spans="1:14" x14ac:dyDescent="0.25">
      <c r="A191" t="s">
        <v>14</v>
      </c>
      <c r="B191" t="s">
        <v>128</v>
      </c>
      <c r="C191" t="s">
        <v>277</v>
      </c>
      <c r="D191" t="s">
        <v>424</v>
      </c>
      <c r="F191" t="s">
        <v>439</v>
      </c>
      <c r="G191" t="str">
        <f>HYPERLINK("https://ca.linkedin.com/jobs/view/data-analyst-at-diverse-lynx-3363374746?refId=r3TTqRJiwEnfLiVtHwQhzw%3D%3D&amp;trackingId=6ZeMWrG3k6NfCjE6Ui6exw%3D%3D&amp;position=15&amp;pageNum=0&amp;trk=public_jobs_jserp-result_search-card", "Job Link")</f>
        <v>Job Link</v>
      </c>
      <c r="H191" t="s">
        <v>476</v>
      </c>
      <c r="I191" t="s">
        <v>481</v>
      </c>
      <c r="J191" t="s">
        <v>486</v>
      </c>
      <c r="K191" t="s">
        <v>516</v>
      </c>
      <c r="L191" t="s">
        <v>586</v>
      </c>
      <c r="M191" t="s">
        <v>617</v>
      </c>
      <c r="N191" t="s">
        <v>601</v>
      </c>
    </row>
    <row r="192" spans="1:14" x14ac:dyDescent="0.25">
      <c r="A192" t="s">
        <v>18</v>
      </c>
      <c r="B192" t="s">
        <v>130</v>
      </c>
      <c r="C192" t="s">
        <v>271</v>
      </c>
      <c r="D192" t="s">
        <v>424</v>
      </c>
      <c r="F192" t="s">
        <v>441</v>
      </c>
      <c r="G192" t="str">
        <f>HYPERLINK("https://ca.linkedin.com/jobs/view/junior-data-analyst-mississauga-on-at-arjo-3323264354?refId=r3TTqRJiwEnfLiVtHwQhzw%3D%3D&amp;trackingId=rln8JC21jHOpsuLtc0bqxA%3D%3D&amp;position=16&amp;pageNum=0&amp;trk=public_jobs_jserp-result_search-card", "Job Link")</f>
        <v>Job Link</v>
      </c>
      <c r="H192" t="s">
        <v>479</v>
      </c>
      <c r="I192" t="s">
        <v>481</v>
      </c>
      <c r="J192" t="s">
        <v>486</v>
      </c>
      <c r="K192" t="s">
        <v>524</v>
      </c>
      <c r="L192" t="s">
        <v>588</v>
      </c>
      <c r="M192" t="s">
        <v>601</v>
      </c>
    </row>
    <row r="193" spans="1:14" x14ac:dyDescent="0.25">
      <c r="A193" t="s">
        <v>14</v>
      </c>
      <c r="B193" t="s">
        <v>131</v>
      </c>
      <c r="C193" t="s">
        <v>272</v>
      </c>
      <c r="D193" t="s">
        <v>424</v>
      </c>
      <c r="F193" t="s">
        <v>442</v>
      </c>
      <c r="G193" t="str">
        <f>HYPERLINK("https://ca.linkedin.com/jobs/view/data-analyst-at-westland-insurance-group-ltd-3345807760?refId=r3TTqRJiwEnfLiVtHwQhzw%3D%3D&amp;trackingId=1kA1ZF6topG2A1gj3awN7w%3D%3D&amp;position=17&amp;pageNum=0&amp;trk=public_jobs_jserp-result_search-card", "Job Link")</f>
        <v>Job Link</v>
      </c>
      <c r="H193" t="s">
        <v>476</v>
      </c>
      <c r="I193" t="s">
        <v>481</v>
      </c>
      <c r="J193" t="s">
        <v>486</v>
      </c>
      <c r="K193" t="s">
        <v>525</v>
      </c>
      <c r="L193" t="s">
        <v>589</v>
      </c>
      <c r="M193" t="s">
        <v>618</v>
      </c>
      <c r="N193" t="s">
        <v>601</v>
      </c>
    </row>
    <row r="194" spans="1:14" x14ac:dyDescent="0.25">
      <c r="A194" t="s">
        <v>14</v>
      </c>
      <c r="B194" t="s">
        <v>132</v>
      </c>
      <c r="C194" t="s">
        <v>273</v>
      </c>
      <c r="D194" t="s">
        <v>424</v>
      </c>
      <c r="F194" t="s">
        <v>443</v>
      </c>
      <c r="G194" t="str">
        <f>HYPERLINK("https://ca.linkedin.com/jobs/view/data-analyst-at-fasken-3365947704?refId=r3TTqRJiwEnfLiVtHwQhzw%3D%3D&amp;trackingId=oeWBgevQ1IYKPA8YktOXCg%3D%3D&amp;position=18&amp;pageNum=0&amp;trk=public_jobs_jserp-result_search-card", "Job Link")</f>
        <v>Job Link</v>
      </c>
      <c r="H194" t="s">
        <v>476</v>
      </c>
      <c r="I194" t="s">
        <v>481</v>
      </c>
      <c r="J194" t="s">
        <v>486</v>
      </c>
      <c r="K194" t="s">
        <v>526</v>
      </c>
      <c r="L194" t="s">
        <v>590</v>
      </c>
      <c r="M194" t="s">
        <v>618</v>
      </c>
      <c r="N194" t="s">
        <v>601</v>
      </c>
    </row>
    <row r="195" spans="1:14" x14ac:dyDescent="0.25">
      <c r="A195" t="s">
        <v>14</v>
      </c>
      <c r="B195" t="s">
        <v>133</v>
      </c>
      <c r="C195" t="s">
        <v>274</v>
      </c>
      <c r="D195" t="s">
        <v>424</v>
      </c>
      <c r="F195" t="s">
        <v>434</v>
      </c>
      <c r="G195" t="str">
        <f>HYPERLINK("https://ca.linkedin.com/jobs/view/data-analyst-at-momentum-financial-services-group-3355811523?refId=r3TTqRJiwEnfLiVtHwQhzw%3D%3D&amp;trackingId=%2FAs0SGLEzFgaZ%2BN3K9y8Vg%3D%3D&amp;position=19&amp;pageNum=0&amp;trk=public_jobs_jserp-result_search-card", "Job Link")</f>
        <v>Job Link</v>
      </c>
      <c r="H195" t="s">
        <v>476</v>
      </c>
      <c r="I195" t="s">
        <v>481</v>
      </c>
      <c r="J195" t="s">
        <v>486</v>
      </c>
      <c r="K195" t="s">
        <v>527</v>
      </c>
      <c r="L195" t="s">
        <v>582</v>
      </c>
      <c r="M195" t="s">
        <v>588</v>
      </c>
      <c r="N195" t="s">
        <v>601</v>
      </c>
    </row>
    <row r="196" spans="1:14" x14ac:dyDescent="0.25">
      <c r="A196" t="s">
        <v>14</v>
      </c>
      <c r="B196" t="s">
        <v>134</v>
      </c>
      <c r="C196" t="s">
        <v>275</v>
      </c>
      <c r="D196" t="s">
        <v>424</v>
      </c>
      <c r="F196" t="s">
        <v>444</v>
      </c>
      <c r="G196" t="str">
        <f>HYPERLINK("https://ca.linkedin.com/jobs/view/data-analyst-at-tes-the-employment-solution-3322589522?refId=r3TTqRJiwEnfLiVtHwQhzw%3D%3D&amp;trackingId=wuKd9BweDXz2PZbrdWz7tw%3D%3D&amp;position=20&amp;pageNum=0&amp;trk=public_jobs_jserp-result_search-card", "Job Link")</f>
        <v>Job Link</v>
      </c>
      <c r="H196" t="s">
        <v>476</v>
      </c>
      <c r="I196" t="s">
        <v>483</v>
      </c>
      <c r="J196" t="s">
        <v>486</v>
      </c>
      <c r="K196" t="s">
        <v>525</v>
      </c>
      <c r="L196" t="s">
        <v>591</v>
      </c>
      <c r="M196" t="s">
        <v>588</v>
      </c>
      <c r="N196" t="s">
        <v>601</v>
      </c>
    </row>
    <row r="197" spans="1:14" x14ac:dyDescent="0.25">
      <c r="A197" t="s">
        <v>14</v>
      </c>
      <c r="B197" t="s">
        <v>135</v>
      </c>
      <c r="C197" t="s">
        <v>276</v>
      </c>
      <c r="D197" t="s">
        <v>424</v>
      </c>
      <c r="F197" t="s">
        <v>440</v>
      </c>
      <c r="G197" t="str">
        <f>HYPERLINK("https://ca.linkedin.com/jobs/view/data-analyst-at-magna-international-3370822450?refId=r3TTqRJiwEnfLiVtHwQhzw%3D%3D&amp;trackingId=Rbzryr4WVBcxislfMSTLvg%3D%3D&amp;position=21&amp;pageNum=0&amp;trk=public_jobs_jserp-result_search-card", "Job Link")</f>
        <v>Job Link</v>
      </c>
      <c r="H197" t="s">
        <v>476</v>
      </c>
      <c r="I197" t="s">
        <v>481</v>
      </c>
      <c r="J197" t="s">
        <v>488</v>
      </c>
      <c r="K197" t="s">
        <v>528</v>
      </c>
      <c r="L197" t="s">
        <v>592</v>
      </c>
      <c r="M197" t="s">
        <v>588</v>
      </c>
      <c r="N197" t="s">
        <v>601</v>
      </c>
    </row>
    <row r="198" spans="1:14" x14ac:dyDescent="0.25">
      <c r="A198" t="s">
        <v>20</v>
      </c>
      <c r="B198" t="s">
        <v>137</v>
      </c>
      <c r="C198" t="s">
        <v>279</v>
      </c>
      <c r="D198" t="s">
        <v>424</v>
      </c>
      <c r="F198" t="s">
        <v>446</v>
      </c>
      <c r="G198" t="str">
        <f>HYPERLINK("https://ca.linkedin.com/jobs/view/senior-data-analyst-at-mueller-water-products-3122544636?refId=r3TTqRJiwEnfLiVtHwQhzw%3D%3D&amp;trackingId=newMfW9id0xjqBAGbFlJRg%3D%3D&amp;position=22&amp;pageNum=0&amp;trk=public_jobs_jserp-result_search-card", "Job Link")</f>
        <v>Job Link</v>
      </c>
      <c r="H198" t="s">
        <v>478</v>
      </c>
      <c r="I198" t="s">
        <v>481</v>
      </c>
      <c r="J198" t="s">
        <v>486</v>
      </c>
      <c r="K198" t="s">
        <v>530</v>
      </c>
      <c r="L198" t="s">
        <v>582</v>
      </c>
      <c r="M198" t="s">
        <v>588</v>
      </c>
      <c r="N198" t="s">
        <v>601</v>
      </c>
    </row>
    <row r="199" spans="1:14" x14ac:dyDescent="0.25">
      <c r="A199" t="s">
        <v>21</v>
      </c>
      <c r="B199" t="s">
        <v>138</v>
      </c>
      <c r="C199" t="s">
        <v>280</v>
      </c>
      <c r="D199" t="s">
        <v>424</v>
      </c>
      <c r="F199" t="s">
        <v>447</v>
      </c>
      <c r="G199" t="str">
        <f>HYPERLINK("https://ca.linkedin.com/jobs/view/data-entry-jr-analyst-6-month-contract-at-csl-group-ltd-3323214993?refId=r3TTqRJiwEnfLiVtHwQhzw%3D%3D&amp;trackingId=1%2BpTnsT7d0zAUAdv6PVxDA%3D%3D&amp;position=23&amp;pageNum=0&amp;trk=public_jobs_jserp-result_search-card", "Job Link")</f>
        <v>Job Link</v>
      </c>
      <c r="H199" t="s">
        <v>476</v>
      </c>
      <c r="I199" t="s">
        <v>484</v>
      </c>
      <c r="J199" t="s">
        <v>489</v>
      </c>
      <c r="K199" t="s">
        <v>531</v>
      </c>
      <c r="L199" t="s">
        <v>593</v>
      </c>
      <c r="M199" t="s">
        <v>588</v>
      </c>
      <c r="N199" t="s">
        <v>601</v>
      </c>
    </row>
    <row r="200" spans="1:14" x14ac:dyDescent="0.25">
      <c r="A200" t="s">
        <v>14</v>
      </c>
      <c r="B200" t="s">
        <v>140</v>
      </c>
      <c r="C200" t="s">
        <v>282</v>
      </c>
      <c r="D200" t="s">
        <v>424</v>
      </c>
      <c r="F200" t="s">
        <v>440</v>
      </c>
      <c r="G200" t="str">
        <f>HYPERLINK("https://ca.linkedin.com/jobs/view/data-analyst-at-scotiabank-3365406993?refId=r3TTqRJiwEnfLiVtHwQhzw%3D%3D&amp;trackingId=zZ8FpMGGNif0q%2FCbSyjbfg%3D%3D&amp;position=24&amp;pageNum=0&amp;trk=public_jobs_jserp-result_search-card", "Job Link")</f>
        <v>Job Link</v>
      </c>
      <c r="H200" t="s">
        <v>479</v>
      </c>
      <c r="I200" t="s">
        <v>481</v>
      </c>
      <c r="J200" t="s">
        <v>486</v>
      </c>
      <c r="K200" t="s">
        <v>533</v>
      </c>
      <c r="L200" t="s">
        <v>582</v>
      </c>
      <c r="M200" t="s">
        <v>588</v>
      </c>
      <c r="N200" t="s">
        <v>601</v>
      </c>
    </row>
    <row r="201" spans="1:14" x14ac:dyDescent="0.25">
      <c r="A201" t="s">
        <v>22</v>
      </c>
      <c r="B201" t="s">
        <v>139</v>
      </c>
      <c r="C201" t="s">
        <v>281</v>
      </c>
      <c r="D201" t="s">
        <v>424</v>
      </c>
      <c r="F201" t="s">
        <v>435</v>
      </c>
      <c r="G201" t="str">
        <f>HYPERLINK("https://ca.linkedin.com/jobs/view/quality-data-analyst-at-lululemon-3341634874?refId=r3TTqRJiwEnfLiVtHwQhzw%3D%3D&amp;trackingId=gDg9GSeFiFTyJ24YneOY8Q%3D%3D&amp;position=25&amp;pageNum=0&amp;trk=public_jobs_jserp-result_search-card", "Job Link")</f>
        <v>Job Link</v>
      </c>
      <c r="H201" t="s">
        <v>476</v>
      </c>
      <c r="I201" t="s">
        <v>481</v>
      </c>
      <c r="J201" t="s">
        <v>486</v>
      </c>
      <c r="K201" t="s">
        <v>532</v>
      </c>
      <c r="L201" t="s">
        <v>590</v>
      </c>
      <c r="M201" t="s">
        <v>618</v>
      </c>
      <c r="N201" t="s">
        <v>601</v>
      </c>
    </row>
    <row r="202" spans="1:14" x14ac:dyDescent="0.25">
      <c r="A202" t="s">
        <v>14</v>
      </c>
      <c r="B202" t="s">
        <v>118</v>
      </c>
      <c r="C202" t="s">
        <v>258</v>
      </c>
      <c r="D202" t="s">
        <v>424</v>
      </c>
      <c r="F202" t="s">
        <v>430</v>
      </c>
      <c r="G202" t="str">
        <f>HYPERLINK("https://ca.linkedin.com/jobs/view/data-analyst-at-axonify-3324670516?refId=dS20nye4yw9xqNH6F3xRTQ%3D%3D&amp;trackingId=%2FQndGYr1XEBhKbIiUo4zjQ%3D%3D&amp;position=1&amp;pageNum=0&amp;trk=public_jobs_jserp-result_search-card", "Job Link")</f>
        <v>Job Link</v>
      </c>
      <c r="H202" t="s">
        <v>476</v>
      </c>
      <c r="I202" t="s">
        <v>481</v>
      </c>
      <c r="J202" t="s">
        <v>486</v>
      </c>
      <c r="K202" t="s">
        <v>516</v>
      </c>
      <c r="L202" t="s">
        <v>581</v>
      </c>
      <c r="M202" t="s">
        <v>588</v>
      </c>
      <c r="N202" t="s">
        <v>601</v>
      </c>
    </row>
    <row r="203" spans="1:14" x14ac:dyDescent="0.25">
      <c r="A203" t="s">
        <v>14</v>
      </c>
      <c r="B203" t="s">
        <v>119</v>
      </c>
      <c r="C203" t="s">
        <v>259</v>
      </c>
      <c r="D203" t="s">
        <v>424</v>
      </c>
      <c r="F203" t="s">
        <v>431</v>
      </c>
      <c r="G203" t="str">
        <f>HYPERLINK("https://ca.linkedin.com/jobs/view/data-analyst-at-b3-systems-3361794123?refId=dS20nye4yw9xqNH6F3xRTQ%3D%3D&amp;trackingId=xRbGAPxvP0KyEm12GvH%2BuA%3D%3D&amp;position=2&amp;pageNum=0&amp;trk=public_jobs_jserp-result_search-card", "Job Link")</f>
        <v>Job Link</v>
      </c>
      <c r="I203" t="s">
        <v>481</v>
      </c>
      <c r="L203" t="s">
        <v>582</v>
      </c>
      <c r="M203" t="s">
        <v>588</v>
      </c>
      <c r="N203" t="s">
        <v>601</v>
      </c>
    </row>
    <row r="204" spans="1:14" x14ac:dyDescent="0.25">
      <c r="A204" t="s">
        <v>14</v>
      </c>
      <c r="B204" t="s">
        <v>120</v>
      </c>
      <c r="C204" t="s">
        <v>260</v>
      </c>
      <c r="D204" t="s">
        <v>424</v>
      </c>
      <c r="F204" t="s">
        <v>431</v>
      </c>
      <c r="G204" t="str">
        <f>HYPERLINK("https://ca.linkedin.com/jobs/view/data-analyst-at-wood-mackenzie-3271782079?refId=dS20nye4yw9xqNH6F3xRTQ%3D%3D&amp;trackingId=Ldq%2Fl8XYxLeP%2Fq%2FGkosGMw%3D%3D&amp;position=3&amp;pageNum=0&amp;trk=public_jobs_jserp-result_search-card", "Job Link")</f>
        <v>Job Link</v>
      </c>
      <c r="H204" t="s">
        <v>477</v>
      </c>
      <c r="I204" t="s">
        <v>481</v>
      </c>
      <c r="J204" t="s">
        <v>487</v>
      </c>
      <c r="K204" t="s">
        <v>517</v>
      </c>
      <c r="L204" t="s">
        <v>583</v>
      </c>
      <c r="M204" t="s">
        <v>610</v>
      </c>
      <c r="N204" t="s">
        <v>601</v>
      </c>
    </row>
    <row r="205" spans="1:14" x14ac:dyDescent="0.25">
      <c r="A205" t="s">
        <v>14</v>
      </c>
      <c r="B205" t="s">
        <v>121</v>
      </c>
      <c r="C205" t="s">
        <v>261</v>
      </c>
      <c r="D205" t="s">
        <v>424</v>
      </c>
      <c r="F205" t="s">
        <v>432</v>
      </c>
      <c r="G205" t="str">
        <f>HYPERLINK("https://ca.linkedin.com/jobs/view/data-analyst-at-loft-community-services-3364383026?refId=dS20nye4yw9xqNH6F3xRTQ%3D%3D&amp;trackingId=wvZG8jj7vJGXKUvY07DWWw%3D%3D&amp;position=4&amp;pageNum=0&amp;trk=public_jobs_jserp-result_search-card", "Job Link")</f>
        <v>Job Link</v>
      </c>
      <c r="I205" t="s">
        <v>482</v>
      </c>
      <c r="L205" t="s">
        <v>582</v>
      </c>
      <c r="M205" t="s">
        <v>588</v>
      </c>
      <c r="N205" t="s">
        <v>601</v>
      </c>
    </row>
    <row r="206" spans="1:14" x14ac:dyDescent="0.25">
      <c r="A206" t="s">
        <v>14</v>
      </c>
      <c r="B206" t="s">
        <v>122</v>
      </c>
      <c r="C206" t="s">
        <v>262</v>
      </c>
      <c r="D206" t="s">
        <v>424</v>
      </c>
      <c r="F206" t="s">
        <v>433</v>
      </c>
      <c r="G206" t="str">
        <f>HYPERLINK("https://ca.linkedin.com/jobs/view/data-analyst-at-nam-info-inc-3351590976?refId=dS20nye4yw9xqNH6F3xRTQ%3D%3D&amp;trackingId=63w7xs3l6gkOBwi6DwSFWQ%3D%3D&amp;position=5&amp;pageNum=0&amp;trk=public_jobs_jserp-result_search-card", "Job Link")</f>
        <v>Job Link</v>
      </c>
      <c r="H206" t="s">
        <v>478</v>
      </c>
      <c r="I206" t="s">
        <v>483</v>
      </c>
      <c r="J206" t="s">
        <v>486</v>
      </c>
      <c r="K206" t="s">
        <v>518</v>
      </c>
      <c r="L206" t="s">
        <v>582</v>
      </c>
      <c r="M206" t="s">
        <v>588</v>
      </c>
      <c r="N206" t="s">
        <v>601</v>
      </c>
    </row>
    <row r="207" spans="1:14" x14ac:dyDescent="0.25">
      <c r="A207" t="s">
        <v>14</v>
      </c>
      <c r="B207" t="s">
        <v>123</v>
      </c>
      <c r="C207" t="s">
        <v>263</v>
      </c>
      <c r="D207" t="s">
        <v>424</v>
      </c>
      <c r="F207" t="s">
        <v>434</v>
      </c>
      <c r="G207" t="str">
        <f>HYPERLINK("https://ca.linkedin.com/jobs/view/data-analyst-at-citi-3263096865?refId=dS20nye4yw9xqNH6F3xRTQ%3D%3D&amp;trackingId=L%2FVlNzBTwprOzvapLf1oyw%3D%3D&amp;position=6&amp;pageNum=0&amp;trk=public_jobs_jserp-result_search-card", "Job Link")</f>
        <v>Job Link</v>
      </c>
      <c r="H207" t="s">
        <v>479</v>
      </c>
      <c r="I207" t="s">
        <v>481</v>
      </c>
      <c r="J207" t="s">
        <v>486</v>
      </c>
      <c r="K207" t="s">
        <v>519</v>
      </c>
      <c r="L207" t="s">
        <v>584</v>
      </c>
      <c r="M207" t="s">
        <v>588</v>
      </c>
      <c r="N207" t="s">
        <v>601</v>
      </c>
    </row>
    <row r="208" spans="1:14" x14ac:dyDescent="0.25">
      <c r="A208" t="s">
        <v>14</v>
      </c>
      <c r="B208" t="s">
        <v>124</v>
      </c>
      <c r="C208" t="s">
        <v>264</v>
      </c>
      <c r="D208" t="s">
        <v>424</v>
      </c>
      <c r="F208" t="s">
        <v>435</v>
      </c>
      <c r="G208" t="str">
        <f>HYPERLINK("https://ca.linkedin.com/jobs/view/data-analyst-at-king-s-college-london-3335332409?refId=dS20nye4yw9xqNH6F3xRTQ%3D%3D&amp;trackingId=Z%2FpgSBQmrstLCtymo8uhPA%3D%3D&amp;position=7&amp;pageNum=0&amp;trk=public_jobs_jserp-result_search-card", "Job Link")</f>
        <v>Job Link</v>
      </c>
      <c r="H208" t="s">
        <v>476</v>
      </c>
      <c r="I208" t="s">
        <v>481</v>
      </c>
      <c r="J208" t="s">
        <v>486</v>
      </c>
      <c r="K208" t="s">
        <v>520</v>
      </c>
      <c r="L208" t="s">
        <v>585</v>
      </c>
      <c r="M208" t="s">
        <v>588</v>
      </c>
      <c r="N208" t="s">
        <v>601</v>
      </c>
    </row>
    <row r="209" spans="1:14" x14ac:dyDescent="0.25">
      <c r="A209" t="s">
        <v>15</v>
      </c>
      <c r="B209" t="s">
        <v>125</v>
      </c>
      <c r="C209" t="s">
        <v>265</v>
      </c>
      <c r="D209" t="s">
        <v>424</v>
      </c>
      <c r="F209" t="s">
        <v>431</v>
      </c>
      <c r="G209" t="str">
        <f>HYPERLINK("https://ca.linkedin.com/jobs/view/data-analyst-remote-at-cognizant-microsoft-business-group-3333618510?refId=dS20nye4yw9xqNH6F3xRTQ%3D%3D&amp;trackingId=2eAPF0wGK2pTM2fxnZcC5Q%3D%3D&amp;position=8&amp;pageNum=0&amp;trk=public_jobs_jserp-result_search-card", "Job Link")</f>
        <v>Job Link</v>
      </c>
      <c r="H209" t="s">
        <v>476</v>
      </c>
      <c r="I209" t="s">
        <v>481</v>
      </c>
      <c r="J209" t="s">
        <v>486</v>
      </c>
      <c r="K209" t="s">
        <v>521</v>
      </c>
      <c r="L209" t="s">
        <v>582</v>
      </c>
      <c r="M209" t="s">
        <v>588</v>
      </c>
      <c r="N209" t="s">
        <v>601</v>
      </c>
    </row>
    <row r="210" spans="1:14" x14ac:dyDescent="0.25">
      <c r="A210" t="s">
        <v>16</v>
      </c>
      <c r="B210" t="s">
        <v>126</v>
      </c>
      <c r="C210" t="s">
        <v>266</v>
      </c>
      <c r="D210" t="s">
        <v>424</v>
      </c>
      <c r="F210" t="s">
        <v>436</v>
      </c>
      <c r="G210" t="str">
        <f>HYPERLINK("https://ca.linkedin.com/jobs/view/data-analyst-loans-at-tata-consultancy-services-3344804680?refId=dS20nye4yw9xqNH6F3xRTQ%3D%3D&amp;trackingId=Nu2VJQe4dyFsBx6wusTxcQ%3D%3D&amp;position=9&amp;pageNum=0&amp;trk=public_jobs_jserp-result_search-card", "Job Link")</f>
        <v>Job Link</v>
      </c>
      <c r="H210" t="s">
        <v>477</v>
      </c>
      <c r="I210" t="s">
        <v>481</v>
      </c>
      <c r="J210" t="s">
        <v>486</v>
      </c>
      <c r="K210" t="s">
        <v>517</v>
      </c>
      <c r="L210" t="s">
        <v>584</v>
      </c>
      <c r="M210" t="s">
        <v>588</v>
      </c>
      <c r="N210" t="s">
        <v>601</v>
      </c>
    </row>
    <row r="211" spans="1:14" x14ac:dyDescent="0.25">
      <c r="A211" t="s">
        <v>14</v>
      </c>
      <c r="B211" t="s">
        <v>127</v>
      </c>
      <c r="C211" t="s">
        <v>267</v>
      </c>
      <c r="D211" t="s">
        <v>424</v>
      </c>
      <c r="F211" t="s">
        <v>437</v>
      </c>
      <c r="G211" t="str">
        <f>HYPERLINK("https://ca.linkedin.com/jobs/view/data-analyst-at-vubiquity-3365112221?refId=dS20nye4yw9xqNH6F3xRTQ%3D%3D&amp;trackingId=x3MTUjSq9lOal1Yf%2F85cRw%3D%3D&amp;position=10&amp;pageNum=0&amp;trk=public_jobs_jserp-result_search-card", "Job Link")</f>
        <v>Job Link</v>
      </c>
      <c r="H211" t="s">
        <v>476</v>
      </c>
      <c r="I211" t="s">
        <v>481</v>
      </c>
      <c r="J211" t="s">
        <v>486</v>
      </c>
      <c r="K211" t="s">
        <v>522</v>
      </c>
      <c r="L211" t="s">
        <v>582</v>
      </c>
      <c r="M211" t="s">
        <v>588</v>
      </c>
      <c r="N211" t="s">
        <v>601</v>
      </c>
    </row>
    <row r="212" spans="1:14" x14ac:dyDescent="0.25">
      <c r="A212" t="s">
        <v>17</v>
      </c>
      <c r="B212" t="s">
        <v>123</v>
      </c>
      <c r="C212" t="s">
        <v>268</v>
      </c>
      <c r="D212" t="s">
        <v>424</v>
      </c>
      <c r="F212" t="s">
        <v>438</v>
      </c>
      <c r="G212" t="str">
        <f>HYPERLINK("https://ca.linkedin.com/jobs/view/data-analyst-developer-at-citi-3322089923?refId=dS20nye4yw9xqNH6F3xRTQ%3D%3D&amp;trackingId=74T%2F75AfzKPcTSMbUSywoQ%3D%3D&amp;position=11&amp;pageNum=0&amp;trk=public_jobs_jserp-result_search-card", "Job Link")</f>
        <v>Job Link</v>
      </c>
      <c r="H212" t="s">
        <v>479</v>
      </c>
      <c r="I212" t="s">
        <v>481</v>
      </c>
      <c r="J212" t="s">
        <v>486</v>
      </c>
      <c r="K212" t="s">
        <v>519</v>
      </c>
      <c r="L212" t="s">
        <v>584</v>
      </c>
      <c r="M212" t="s">
        <v>588</v>
      </c>
      <c r="N212" t="s">
        <v>601</v>
      </c>
    </row>
    <row r="213" spans="1:14" x14ac:dyDescent="0.25">
      <c r="A213" t="s">
        <v>14</v>
      </c>
      <c r="B213" t="s">
        <v>128</v>
      </c>
      <c r="C213" t="s">
        <v>269</v>
      </c>
      <c r="D213" t="s">
        <v>424</v>
      </c>
      <c r="F213" t="s">
        <v>439</v>
      </c>
      <c r="G213" t="str">
        <f>HYPERLINK("https://ca.linkedin.com/jobs/view/data-analyst-at-diverse-lynx-3363377240?refId=dS20nye4yw9xqNH6F3xRTQ%3D%3D&amp;trackingId=kClQCbt1zh43fO6CIXhibw%3D%3D&amp;position=12&amp;pageNum=0&amp;trk=public_jobs_jserp-result_search-card", "Job Link")</f>
        <v>Job Link</v>
      </c>
      <c r="H213" t="s">
        <v>476</v>
      </c>
      <c r="I213" t="s">
        <v>481</v>
      </c>
      <c r="J213" t="s">
        <v>486</v>
      </c>
      <c r="K213" t="s">
        <v>516</v>
      </c>
      <c r="L213" t="s">
        <v>586</v>
      </c>
      <c r="M213" t="s">
        <v>617</v>
      </c>
      <c r="N213" t="s">
        <v>601</v>
      </c>
    </row>
    <row r="214" spans="1:14" x14ac:dyDescent="0.25">
      <c r="A214" t="s">
        <v>14</v>
      </c>
      <c r="B214" t="s">
        <v>129</v>
      </c>
      <c r="C214" t="s">
        <v>270</v>
      </c>
      <c r="D214" t="s">
        <v>424</v>
      </c>
      <c r="F214" t="s">
        <v>440</v>
      </c>
      <c r="G214" t="str">
        <f>HYPERLINK("https://ca.linkedin.com/jobs/view/data-analyst-at-agricorp-3364433441?refId=dS20nye4yw9xqNH6F3xRTQ%3D%3D&amp;trackingId=tCawnrrSqLvDIS25Usd9TA%3D%3D&amp;position=13&amp;pageNum=0&amp;trk=public_jobs_jserp-result_search-card", "Job Link")</f>
        <v>Job Link</v>
      </c>
      <c r="H214" t="s">
        <v>476</v>
      </c>
      <c r="I214" t="s">
        <v>481</v>
      </c>
      <c r="J214" t="s">
        <v>486</v>
      </c>
      <c r="K214" t="s">
        <v>523</v>
      </c>
      <c r="L214" t="s">
        <v>587</v>
      </c>
      <c r="M214" t="s">
        <v>588</v>
      </c>
      <c r="N214" t="s">
        <v>601</v>
      </c>
    </row>
    <row r="215" spans="1:14" x14ac:dyDescent="0.25">
      <c r="A215" t="s">
        <v>18</v>
      </c>
      <c r="B215" t="s">
        <v>130</v>
      </c>
      <c r="C215" t="s">
        <v>271</v>
      </c>
      <c r="D215" t="s">
        <v>424</v>
      </c>
      <c r="F215" t="s">
        <v>441</v>
      </c>
      <c r="G215" t="str">
        <f>HYPERLINK("https://ca.linkedin.com/jobs/view/junior-data-analyst-mississauga-on-at-arjo-3323264354?refId=dS20nye4yw9xqNH6F3xRTQ%3D%3D&amp;trackingId=5LBhw21%2FPAlTguN26HiZTg%3D%3D&amp;position=14&amp;pageNum=0&amp;trk=public_jobs_jserp-result_search-card", "Job Link")</f>
        <v>Job Link</v>
      </c>
      <c r="H215" t="s">
        <v>479</v>
      </c>
      <c r="I215" t="s">
        <v>481</v>
      </c>
      <c r="J215" t="s">
        <v>486</v>
      </c>
      <c r="K215" t="s">
        <v>524</v>
      </c>
      <c r="L215" t="s">
        <v>588</v>
      </c>
      <c r="M215" t="s">
        <v>601</v>
      </c>
    </row>
    <row r="216" spans="1:14" x14ac:dyDescent="0.25">
      <c r="A216" t="s">
        <v>14</v>
      </c>
      <c r="B216" t="s">
        <v>131</v>
      </c>
      <c r="C216" t="s">
        <v>272</v>
      </c>
      <c r="D216" t="s">
        <v>424</v>
      </c>
      <c r="F216" t="s">
        <v>442</v>
      </c>
      <c r="G216" t="str">
        <f>HYPERLINK("https://ca.linkedin.com/jobs/view/data-analyst-at-westland-insurance-group-ltd-3345807760?refId=dS20nye4yw9xqNH6F3xRTQ%3D%3D&amp;trackingId=tiQoTsrm4jtchHTooh2t%2Bw%3D%3D&amp;position=15&amp;pageNum=0&amp;trk=public_jobs_jserp-result_search-card", "Job Link")</f>
        <v>Job Link</v>
      </c>
      <c r="H216" t="s">
        <v>476</v>
      </c>
      <c r="I216" t="s">
        <v>481</v>
      </c>
      <c r="J216" t="s">
        <v>486</v>
      </c>
      <c r="K216" t="s">
        <v>525</v>
      </c>
      <c r="L216" t="s">
        <v>589</v>
      </c>
      <c r="M216" t="s">
        <v>618</v>
      </c>
      <c r="N216" t="s">
        <v>601</v>
      </c>
    </row>
    <row r="217" spans="1:14" x14ac:dyDescent="0.25">
      <c r="A217" t="s">
        <v>14</v>
      </c>
      <c r="B217" t="s">
        <v>132</v>
      </c>
      <c r="C217" t="s">
        <v>273</v>
      </c>
      <c r="D217" t="s">
        <v>424</v>
      </c>
      <c r="F217" t="s">
        <v>443</v>
      </c>
      <c r="G217" t="str">
        <f>HYPERLINK("https://ca.linkedin.com/jobs/view/data-analyst-at-fasken-3365947704?refId=dS20nye4yw9xqNH6F3xRTQ%3D%3D&amp;trackingId=xYTYFVpuWho8GqwDbwkmyQ%3D%3D&amp;position=16&amp;pageNum=0&amp;trk=public_jobs_jserp-result_search-card", "Job Link")</f>
        <v>Job Link</v>
      </c>
      <c r="H217" t="s">
        <v>476</v>
      </c>
      <c r="I217" t="s">
        <v>481</v>
      </c>
      <c r="J217" t="s">
        <v>486</v>
      </c>
      <c r="K217" t="s">
        <v>526</v>
      </c>
      <c r="L217" t="s">
        <v>590</v>
      </c>
      <c r="M217" t="s">
        <v>618</v>
      </c>
      <c r="N217" t="s">
        <v>601</v>
      </c>
    </row>
    <row r="218" spans="1:14" x14ac:dyDescent="0.25">
      <c r="A218" t="s">
        <v>14</v>
      </c>
      <c r="B218" t="s">
        <v>133</v>
      </c>
      <c r="C218" t="s">
        <v>274</v>
      </c>
      <c r="D218" t="s">
        <v>424</v>
      </c>
      <c r="F218" t="s">
        <v>434</v>
      </c>
      <c r="G218" t="str">
        <f>HYPERLINK("https://ca.linkedin.com/jobs/view/data-analyst-at-momentum-financial-services-group-3355811523?refId=dS20nye4yw9xqNH6F3xRTQ%3D%3D&amp;trackingId=XQTleHnytjraqBHonAOrYw%3D%3D&amp;position=17&amp;pageNum=0&amp;trk=public_jobs_jserp-result_search-card", "Job Link")</f>
        <v>Job Link</v>
      </c>
      <c r="H218" t="s">
        <v>476</v>
      </c>
      <c r="I218" t="s">
        <v>481</v>
      </c>
      <c r="J218" t="s">
        <v>486</v>
      </c>
      <c r="K218" t="s">
        <v>527</v>
      </c>
      <c r="L218" t="s">
        <v>582</v>
      </c>
      <c r="M218" t="s">
        <v>588</v>
      </c>
      <c r="N218" t="s">
        <v>601</v>
      </c>
    </row>
    <row r="219" spans="1:14" x14ac:dyDescent="0.25">
      <c r="A219" t="s">
        <v>14</v>
      </c>
      <c r="B219" t="s">
        <v>134</v>
      </c>
      <c r="C219" t="s">
        <v>275</v>
      </c>
      <c r="D219" t="s">
        <v>424</v>
      </c>
      <c r="F219" t="s">
        <v>444</v>
      </c>
      <c r="G219" t="str">
        <f>HYPERLINK("https://ca.linkedin.com/jobs/view/data-analyst-at-tes-the-employment-solution-3322589522?refId=dS20nye4yw9xqNH6F3xRTQ%3D%3D&amp;trackingId=loMtr95jNgTD160aMtwc5Q%3D%3D&amp;position=18&amp;pageNum=0&amp;trk=public_jobs_jserp-result_search-card", "Job Link")</f>
        <v>Job Link</v>
      </c>
      <c r="H219" t="s">
        <v>476</v>
      </c>
      <c r="I219" t="s">
        <v>483</v>
      </c>
      <c r="J219" t="s">
        <v>486</v>
      </c>
      <c r="K219" t="s">
        <v>525</v>
      </c>
      <c r="L219" t="s">
        <v>591</v>
      </c>
      <c r="M219" t="s">
        <v>588</v>
      </c>
      <c r="N219" t="s">
        <v>601</v>
      </c>
    </row>
    <row r="220" spans="1:14" x14ac:dyDescent="0.25">
      <c r="A220" t="s">
        <v>14</v>
      </c>
      <c r="B220" t="s">
        <v>135</v>
      </c>
      <c r="C220" t="s">
        <v>276</v>
      </c>
      <c r="D220" t="s">
        <v>424</v>
      </c>
      <c r="F220" t="s">
        <v>440</v>
      </c>
      <c r="G220" t="str">
        <f>HYPERLINK("https://ca.linkedin.com/jobs/view/data-analyst-at-magna-international-3370822450?refId=dS20nye4yw9xqNH6F3xRTQ%3D%3D&amp;trackingId=Vu5BdaMQPppLz%2BkQRaw0ZA%3D%3D&amp;position=19&amp;pageNum=0&amp;trk=public_jobs_jserp-result_search-card", "Job Link")</f>
        <v>Job Link</v>
      </c>
      <c r="H220" t="s">
        <v>476</v>
      </c>
      <c r="I220" t="s">
        <v>481</v>
      </c>
      <c r="J220" t="s">
        <v>488</v>
      </c>
      <c r="K220" t="s">
        <v>528</v>
      </c>
      <c r="L220" t="s">
        <v>592</v>
      </c>
      <c r="M220" t="s">
        <v>588</v>
      </c>
      <c r="N220" t="s">
        <v>601</v>
      </c>
    </row>
    <row r="221" spans="1:14" x14ac:dyDescent="0.25">
      <c r="A221" t="s">
        <v>14</v>
      </c>
      <c r="B221" t="s">
        <v>128</v>
      </c>
      <c r="C221" t="s">
        <v>277</v>
      </c>
      <c r="D221" t="s">
        <v>424</v>
      </c>
      <c r="F221" t="s">
        <v>439</v>
      </c>
      <c r="G221" t="str">
        <f>HYPERLINK("https://ca.linkedin.com/jobs/view/data-analyst-at-diverse-lynx-3363374746?refId=dS20nye4yw9xqNH6F3xRTQ%3D%3D&amp;trackingId=Q%2B0fF37kGqRDczqzomUrFA%3D%3D&amp;position=20&amp;pageNum=0&amp;trk=public_jobs_jserp-result_search-card", "Job Link")</f>
        <v>Job Link</v>
      </c>
      <c r="H221" t="s">
        <v>476</v>
      </c>
      <c r="I221" t="s">
        <v>481</v>
      </c>
      <c r="J221" t="s">
        <v>486</v>
      </c>
      <c r="K221" t="s">
        <v>516</v>
      </c>
      <c r="L221" t="s">
        <v>586</v>
      </c>
      <c r="M221" t="s">
        <v>617</v>
      </c>
      <c r="N221" t="s">
        <v>601</v>
      </c>
    </row>
    <row r="222" spans="1:14" x14ac:dyDescent="0.25">
      <c r="A222" t="s">
        <v>19</v>
      </c>
      <c r="B222" t="s">
        <v>136</v>
      </c>
      <c r="C222" t="s">
        <v>278</v>
      </c>
      <c r="D222" t="s">
        <v>424</v>
      </c>
      <c r="F222" t="s">
        <v>445</v>
      </c>
      <c r="G222" t="str">
        <f>HYPERLINK("https://ca.linkedin.com/jobs/view/data-analyst-operations-at-sonder-inc-3229442908?refId=dS20nye4yw9xqNH6F3xRTQ%3D%3D&amp;trackingId=8vLqsFqVsoOh2T5a3JqVDA%3D%3D&amp;position=21&amp;pageNum=0&amp;trk=public_jobs_jserp-result_search-card", "Job Link")</f>
        <v>Job Link</v>
      </c>
      <c r="H222" t="s">
        <v>476</v>
      </c>
      <c r="I222" t="s">
        <v>481</v>
      </c>
      <c r="J222" t="s">
        <v>486</v>
      </c>
      <c r="K222" t="s">
        <v>529</v>
      </c>
      <c r="L222" t="s">
        <v>582</v>
      </c>
      <c r="M222" t="s">
        <v>588</v>
      </c>
      <c r="N222" t="s">
        <v>601</v>
      </c>
    </row>
    <row r="223" spans="1:14" x14ac:dyDescent="0.25">
      <c r="A223" t="s">
        <v>20</v>
      </c>
      <c r="B223" t="s">
        <v>137</v>
      </c>
      <c r="C223" t="s">
        <v>279</v>
      </c>
      <c r="D223" t="s">
        <v>424</v>
      </c>
      <c r="F223" t="s">
        <v>446</v>
      </c>
      <c r="G223" t="str">
        <f>HYPERLINK("https://ca.linkedin.com/jobs/view/senior-data-analyst-at-mueller-water-products-3122544636?refId=dS20nye4yw9xqNH6F3xRTQ%3D%3D&amp;trackingId=zkvCIXIFV6b6fas0bbBPfg%3D%3D&amp;position=22&amp;pageNum=0&amp;trk=public_jobs_jserp-result_search-card", "Job Link")</f>
        <v>Job Link</v>
      </c>
      <c r="H223" t="s">
        <v>478</v>
      </c>
      <c r="I223" t="s">
        <v>481</v>
      </c>
      <c r="J223" t="s">
        <v>486</v>
      </c>
      <c r="K223" t="s">
        <v>530</v>
      </c>
      <c r="L223" t="s">
        <v>582</v>
      </c>
      <c r="M223" t="s">
        <v>588</v>
      </c>
      <c r="N223" t="s">
        <v>601</v>
      </c>
    </row>
    <row r="224" spans="1:14" x14ac:dyDescent="0.25">
      <c r="A224" t="s">
        <v>21</v>
      </c>
      <c r="B224" t="s">
        <v>138</v>
      </c>
      <c r="C224" t="s">
        <v>280</v>
      </c>
      <c r="D224" t="s">
        <v>424</v>
      </c>
      <c r="F224" t="s">
        <v>447</v>
      </c>
      <c r="G224" t="str">
        <f>HYPERLINK("https://ca.linkedin.com/jobs/view/data-entry-jr-analyst-6-month-contract-at-csl-group-ltd-3323214993?refId=dS20nye4yw9xqNH6F3xRTQ%3D%3D&amp;trackingId=qi%2BoShj%2B3Ef4fsylkoEYag%3D%3D&amp;position=23&amp;pageNum=0&amp;trk=public_jobs_jserp-result_search-card", "Job Link")</f>
        <v>Job Link</v>
      </c>
      <c r="H224" t="s">
        <v>476</v>
      </c>
      <c r="I224" t="s">
        <v>484</v>
      </c>
      <c r="J224" t="s">
        <v>489</v>
      </c>
      <c r="K224" t="s">
        <v>531</v>
      </c>
      <c r="L224" t="s">
        <v>593</v>
      </c>
      <c r="M224" t="s">
        <v>588</v>
      </c>
      <c r="N224" t="s">
        <v>601</v>
      </c>
    </row>
    <row r="225" spans="1:14" x14ac:dyDescent="0.25">
      <c r="A225" t="s">
        <v>22</v>
      </c>
      <c r="B225" t="s">
        <v>139</v>
      </c>
      <c r="C225" t="s">
        <v>281</v>
      </c>
      <c r="D225" t="s">
        <v>424</v>
      </c>
      <c r="F225" t="s">
        <v>435</v>
      </c>
      <c r="G225" t="str">
        <f>HYPERLINK("https://ca.linkedin.com/jobs/view/quality-data-analyst-at-lululemon-3341634874?refId=dS20nye4yw9xqNH6F3xRTQ%3D%3D&amp;trackingId=xD0wgRNnIkvG5pYhlwNwTA%3D%3D&amp;position=24&amp;pageNum=0&amp;trk=public_jobs_jserp-result_search-card", "Job Link")</f>
        <v>Job Link</v>
      </c>
      <c r="H225" t="s">
        <v>476</v>
      </c>
      <c r="I225" t="s">
        <v>481</v>
      </c>
      <c r="J225" t="s">
        <v>486</v>
      </c>
      <c r="K225" t="s">
        <v>532</v>
      </c>
      <c r="L225" t="s">
        <v>590</v>
      </c>
      <c r="M225" t="s">
        <v>618</v>
      </c>
      <c r="N225" t="s">
        <v>601</v>
      </c>
    </row>
    <row r="226" spans="1:14" x14ac:dyDescent="0.25">
      <c r="A226" t="s">
        <v>14</v>
      </c>
      <c r="B226" t="s">
        <v>140</v>
      </c>
      <c r="C226" t="s">
        <v>282</v>
      </c>
      <c r="D226" t="s">
        <v>424</v>
      </c>
      <c r="F226" t="s">
        <v>440</v>
      </c>
      <c r="G226" t="str">
        <f>HYPERLINK("https://ca.linkedin.com/jobs/view/data-analyst-at-scotiabank-3365406993?refId=dS20nye4yw9xqNH6F3xRTQ%3D%3D&amp;trackingId=Nhq2LQ3WxKGrsm4WtnVaHg%3D%3D&amp;position=25&amp;pageNum=0&amp;trk=public_jobs_jserp-result_search-card", "Job Link")</f>
        <v>Job Link</v>
      </c>
      <c r="H226" t="s">
        <v>479</v>
      </c>
      <c r="I226" t="s">
        <v>481</v>
      </c>
      <c r="J226" t="s">
        <v>486</v>
      </c>
      <c r="K226" t="s">
        <v>533</v>
      </c>
      <c r="L226" t="s">
        <v>582</v>
      </c>
      <c r="M226" t="s">
        <v>588</v>
      </c>
      <c r="N226" t="s">
        <v>601</v>
      </c>
    </row>
    <row r="227" spans="1:14" x14ac:dyDescent="0.25">
      <c r="A227" t="s">
        <v>14</v>
      </c>
      <c r="B227" t="s">
        <v>118</v>
      </c>
      <c r="C227" t="s">
        <v>258</v>
      </c>
      <c r="D227" t="s">
        <v>424</v>
      </c>
      <c r="F227" t="s">
        <v>430</v>
      </c>
      <c r="G227" t="str">
        <f>HYPERLINK("https://ca.linkedin.com/jobs/view/data-analyst-at-axonify-3324670516?refId=piCAs1IjDXDXzAkQfMf%2F4g%3D%3D&amp;trackingId=I6lFLQ%2BCafFcGNaqMONctA%3D%3D&amp;position=1&amp;pageNum=0&amp;trk=public_jobs_jserp-result_search-card", "Job Link")</f>
        <v>Job Link</v>
      </c>
      <c r="H227" t="s">
        <v>476</v>
      </c>
      <c r="I227" t="s">
        <v>481</v>
      </c>
      <c r="J227" t="s">
        <v>486</v>
      </c>
      <c r="K227" t="s">
        <v>516</v>
      </c>
      <c r="L227" t="s">
        <v>581</v>
      </c>
      <c r="M227" t="s">
        <v>588</v>
      </c>
      <c r="N227" t="s">
        <v>601</v>
      </c>
    </row>
    <row r="228" spans="1:14" x14ac:dyDescent="0.25">
      <c r="A228" t="s">
        <v>14</v>
      </c>
      <c r="B228" t="s">
        <v>119</v>
      </c>
      <c r="C228" t="s">
        <v>259</v>
      </c>
      <c r="D228" t="s">
        <v>424</v>
      </c>
      <c r="F228" t="s">
        <v>431</v>
      </c>
      <c r="G228" t="str">
        <f>HYPERLINK("https://ca.linkedin.com/jobs/view/data-analyst-at-b3-systems-3361794123?refId=piCAs1IjDXDXzAkQfMf%2F4g%3D%3D&amp;trackingId=mY1caVFz%2FWH8y859lfR7Qg%3D%3D&amp;position=2&amp;pageNum=0&amp;trk=public_jobs_jserp-result_search-card", "Job Link")</f>
        <v>Job Link</v>
      </c>
      <c r="I228" t="s">
        <v>481</v>
      </c>
      <c r="L228" t="s">
        <v>582</v>
      </c>
      <c r="M228" t="s">
        <v>588</v>
      </c>
      <c r="N228" t="s">
        <v>601</v>
      </c>
    </row>
    <row r="229" spans="1:14" x14ac:dyDescent="0.25">
      <c r="A229" t="s">
        <v>14</v>
      </c>
      <c r="B229" t="s">
        <v>120</v>
      </c>
      <c r="C229" t="s">
        <v>260</v>
      </c>
      <c r="D229" t="s">
        <v>424</v>
      </c>
      <c r="F229" t="s">
        <v>431</v>
      </c>
      <c r="G229" t="str">
        <f>HYPERLINK("https://ca.linkedin.com/jobs/view/data-analyst-at-wood-mackenzie-3271782079?refId=piCAs1IjDXDXzAkQfMf%2F4g%3D%3D&amp;trackingId=AI2JH3onfo%2FvoiFMcGQ4vQ%3D%3D&amp;position=3&amp;pageNum=0&amp;trk=public_jobs_jserp-result_search-card", "Job Link")</f>
        <v>Job Link</v>
      </c>
      <c r="H229" t="s">
        <v>477</v>
      </c>
      <c r="I229" t="s">
        <v>481</v>
      </c>
      <c r="J229" t="s">
        <v>487</v>
      </c>
      <c r="K229" t="s">
        <v>517</v>
      </c>
      <c r="L229" t="s">
        <v>583</v>
      </c>
      <c r="M229" t="s">
        <v>610</v>
      </c>
      <c r="N229" t="s">
        <v>601</v>
      </c>
    </row>
    <row r="230" spans="1:14" x14ac:dyDescent="0.25">
      <c r="A230" t="s">
        <v>14</v>
      </c>
      <c r="B230" t="s">
        <v>121</v>
      </c>
      <c r="C230" t="s">
        <v>261</v>
      </c>
      <c r="D230" t="s">
        <v>424</v>
      </c>
      <c r="F230" t="s">
        <v>432</v>
      </c>
      <c r="G230" t="str">
        <f>HYPERLINK("https://ca.linkedin.com/jobs/view/data-analyst-at-loft-community-services-3364383026?refId=piCAs1IjDXDXzAkQfMf%2F4g%3D%3D&amp;trackingId=9PfqdJAyeEwhcyD2QyHizg%3D%3D&amp;position=4&amp;pageNum=0&amp;trk=public_jobs_jserp-result_search-card", "Job Link")</f>
        <v>Job Link</v>
      </c>
      <c r="I230" t="s">
        <v>482</v>
      </c>
      <c r="L230" t="s">
        <v>582</v>
      </c>
      <c r="M230" t="s">
        <v>588</v>
      </c>
      <c r="N230" t="s">
        <v>601</v>
      </c>
    </row>
    <row r="231" spans="1:14" x14ac:dyDescent="0.25">
      <c r="A231" t="s">
        <v>14</v>
      </c>
      <c r="B231" t="s">
        <v>122</v>
      </c>
      <c r="C231" t="s">
        <v>262</v>
      </c>
      <c r="D231" t="s">
        <v>424</v>
      </c>
      <c r="F231" t="s">
        <v>433</v>
      </c>
      <c r="G231" t="str">
        <f>HYPERLINK("https://ca.linkedin.com/jobs/view/data-analyst-at-nam-info-inc-3351590976?refId=piCAs1IjDXDXzAkQfMf%2F4g%3D%3D&amp;trackingId=knjjsVBcDrR2BYlgzcmjRQ%3D%3D&amp;position=5&amp;pageNum=0&amp;trk=public_jobs_jserp-result_search-card", "Job Link")</f>
        <v>Job Link</v>
      </c>
      <c r="H231" t="s">
        <v>478</v>
      </c>
      <c r="I231" t="s">
        <v>483</v>
      </c>
      <c r="J231" t="s">
        <v>486</v>
      </c>
      <c r="K231" t="s">
        <v>518</v>
      </c>
      <c r="L231" t="s">
        <v>582</v>
      </c>
      <c r="M231" t="s">
        <v>588</v>
      </c>
      <c r="N231" t="s">
        <v>601</v>
      </c>
    </row>
    <row r="232" spans="1:14" x14ac:dyDescent="0.25">
      <c r="A232" t="s">
        <v>14</v>
      </c>
      <c r="B232" t="s">
        <v>123</v>
      </c>
      <c r="C232" t="s">
        <v>263</v>
      </c>
      <c r="D232" t="s">
        <v>424</v>
      </c>
      <c r="F232" t="s">
        <v>434</v>
      </c>
      <c r="G232" t="str">
        <f>HYPERLINK("https://ca.linkedin.com/jobs/view/data-analyst-at-citi-3263096865?refId=piCAs1IjDXDXzAkQfMf%2F4g%3D%3D&amp;trackingId=cZ0HyF3%2B7R7Hkk0QDJ9uqQ%3D%3D&amp;position=6&amp;pageNum=0&amp;trk=public_jobs_jserp-result_search-card", "Job Link")</f>
        <v>Job Link</v>
      </c>
      <c r="H232" t="s">
        <v>479</v>
      </c>
      <c r="I232" t="s">
        <v>481</v>
      </c>
      <c r="J232" t="s">
        <v>486</v>
      </c>
      <c r="K232" t="s">
        <v>519</v>
      </c>
      <c r="L232" t="s">
        <v>584</v>
      </c>
      <c r="M232" t="s">
        <v>588</v>
      </c>
      <c r="N232" t="s">
        <v>601</v>
      </c>
    </row>
    <row r="233" spans="1:14" x14ac:dyDescent="0.25">
      <c r="A233" t="s">
        <v>19</v>
      </c>
      <c r="B233" t="s">
        <v>136</v>
      </c>
      <c r="C233" t="s">
        <v>278</v>
      </c>
      <c r="D233" t="s">
        <v>424</v>
      </c>
      <c r="F233" t="s">
        <v>445</v>
      </c>
      <c r="G233" t="str">
        <f>HYPERLINK("https://ca.linkedin.com/jobs/view/data-analyst-operations-at-sonder-inc-3229442908?refId=piCAs1IjDXDXzAkQfMf%2F4g%3D%3D&amp;trackingId=JUiY9zgz5YNJ8OMwDfcgrg%3D%3D&amp;position=7&amp;pageNum=0&amp;trk=public_jobs_jserp-result_search-card", "Job Link")</f>
        <v>Job Link</v>
      </c>
      <c r="H233" t="s">
        <v>476</v>
      </c>
      <c r="I233" t="s">
        <v>481</v>
      </c>
      <c r="J233" t="s">
        <v>486</v>
      </c>
      <c r="K233" t="s">
        <v>529</v>
      </c>
      <c r="L233" t="s">
        <v>582</v>
      </c>
      <c r="M233" t="s">
        <v>588</v>
      </c>
      <c r="N233" t="s">
        <v>601</v>
      </c>
    </row>
    <row r="234" spans="1:14" x14ac:dyDescent="0.25">
      <c r="A234" t="s">
        <v>14</v>
      </c>
      <c r="B234" t="s">
        <v>124</v>
      </c>
      <c r="C234" t="s">
        <v>264</v>
      </c>
      <c r="D234" t="s">
        <v>424</v>
      </c>
      <c r="F234" t="s">
        <v>435</v>
      </c>
      <c r="G234" t="str">
        <f>HYPERLINK("https://ca.linkedin.com/jobs/view/data-analyst-at-king-s-college-london-3335332409?refId=piCAs1IjDXDXzAkQfMf%2F4g%3D%3D&amp;trackingId=FzIcOcfb0%2BU%2BjoaiNM2KpQ%3D%3D&amp;position=8&amp;pageNum=0&amp;trk=public_jobs_jserp-result_search-card", "Job Link")</f>
        <v>Job Link</v>
      </c>
      <c r="H234" t="s">
        <v>476</v>
      </c>
      <c r="I234" t="s">
        <v>481</v>
      </c>
      <c r="J234" t="s">
        <v>486</v>
      </c>
      <c r="K234" t="s">
        <v>520</v>
      </c>
      <c r="L234" t="s">
        <v>585</v>
      </c>
      <c r="M234" t="s">
        <v>588</v>
      </c>
      <c r="N234" t="s">
        <v>601</v>
      </c>
    </row>
    <row r="235" spans="1:14" x14ac:dyDescent="0.25">
      <c r="A235" t="s">
        <v>15</v>
      </c>
      <c r="B235" t="s">
        <v>125</v>
      </c>
      <c r="C235" t="s">
        <v>265</v>
      </c>
      <c r="D235" t="s">
        <v>424</v>
      </c>
      <c r="F235" t="s">
        <v>431</v>
      </c>
      <c r="G235" t="str">
        <f>HYPERLINK("https://ca.linkedin.com/jobs/view/data-analyst-remote-at-cognizant-microsoft-business-group-3333618510?refId=piCAs1IjDXDXzAkQfMf%2F4g%3D%3D&amp;trackingId=DwoTX41mQVwZR0fLnCA1ow%3D%3D&amp;position=9&amp;pageNum=0&amp;trk=public_jobs_jserp-result_search-card", "Job Link")</f>
        <v>Job Link</v>
      </c>
      <c r="H235" t="s">
        <v>476</v>
      </c>
      <c r="I235" t="s">
        <v>481</v>
      </c>
      <c r="J235" t="s">
        <v>486</v>
      </c>
      <c r="K235" t="s">
        <v>521</v>
      </c>
      <c r="L235" t="s">
        <v>582</v>
      </c>
      <c r="M235" t="s">
        <v>588</v>
      </c>
      <c r="N235" t="s">
        <v>601</v>
      </c>
    </row>
    <row r="236" spans="1:14" x14ac:dyDescent="0.25">
      <c r="A236" t="s">
        <v>16</v>
      </c>
      <c r="B236" t="s">
        <v>126</v>
      </c>
      <c r="C236" t="s">
        <v>266</v>
      </c>
      <c r="D236" t="s">
        <v>424</v>
      </c>
      <c r="F236" t="s">
        <v>436</v>
      </c>
      <c r="G236" t="str">
        <f>HYPERLINK("https://ca.linkedin.com/jobs/view/data-analyst-loans-at-tata-consultancy-services-3344804680?refId=piCAs1IjDXDXzAkQfMf%2F4g%3D%3D&amp;trackingId=meeP8G9s5QvkVJSq5Z%2FkNQ%3D%3D&amp;position=10&amp;pageNum=0&amp;trk=public_jobs_jserp-result_search-card", "Job Link")</f>
        <v>Job Link</v>
      </c>
      <c r="H236" t="s">
        <v>477</v>
      </c>
      <c r="I236" t="s">
        <v>481</v>
      </c>
      <c r="J236" t="s">
        <v>486</v>
      </c>
      <c r="K236" t="s">
        <v>517</v>
      </c>
      <c r="L236" t="s">
        <v>584</v>
      </c>
      <c r="M236" t="s">
        <v>588</v>
      </c>
      <c r="N236" t="s">
        <v>601</v>
      </c>
    </row>
    <row r="237" spans="1:14" x14ac:dyDescent="0.25">
      <c r="A237" t="s">
        <v>14</v>
      </c>
      <c r="B237" t="s">
        <v>127</v>
      </c>
      <c r="C237" t="s">
        <v>267</v>
      </c>
      <c r="D237" t="s">
        <v>424</v>
      </c>
      <c r="F237" t="s">
        <v>437</v>
      </c>
      <c r="G237" t="str">
        <f>HYPERLINK("https://ca.linkedin.com/jobs/view/data-analyst-at-vubiquity-3365112221?refId=piCAs1IjDXDXzAkQfMf%2F4g%3D%3D&amp;trackingId=HbnulEaJm02GZqK0f7DMOA%3D%3D&amp;position=11&amp;pageNum=0&amp;trk=public_jobs_jserp-result_search-card", "Job Link")</f>
        <v>Job Link</v>
      </c>
      <c r="H237" t="s">
        <v>476</v>
      </c>
      <c r="I237" t="s">
        <v>481</v>
      </c>
      <c r="J237" t="s">
        <v>486</v>
      </c>
      <c r="K237" t="s">
        <v>522</v>
      </c>
      <c r="L237" t="s">
        <v>582</v>
      </c>
      <c r="M237" t="s">
        <v>588</v>
      </c>
      <c r="N237" t="s">
        <v>601</v>
      </c>
    </row>
    <row r="238" spans="1:14" x14ac:dyDescent="0.25">
      <c r="A238" t="s">
        <v>14</v>
      </c>
      <c r="B238" t="s">
        <v>129</v>
      </c>
      <c r="C238" t="s">
        <v>270</v>
      </c>
      <c r="D238" t="s">
        <v>424</v>
      </c>
      <c r="F238" t="s">
        <v>440</v>
      </c>
      <c r="G238" t="str">
        <f>HYPERLINK("https://ca.linkedin.com/jobs/view/data-analyst-at-agricorp-3364433441?refId=piCAs1IjDXDXzAkQfMf%2F4g%3D%3D&amp;trackingId=frJ6z707tWhJydzg%2FoII4w%3D%3D&amp;position=12&amp;pageNum=0&amp;trk=public_jobs_jserp-result_search-card", "Job Link")</f>
        <v>Job Link</v>
      </c>
      <c r="H238" t="s">
        <v>476</v>
      </c>
      <c r="I238" t="s">
        <v>481</v>
      </c>
      <c r="J238" t="s">
        <v>486</v>
      </c>
      <c r="K238" t="s">
        <v>523</v>
      </c>
      <c r="L238" t="s">
        <v>587</v>
      </c>
      <c r="M238" t="s">
        <v>588</v>
      </c>
      <c r="N238" t="s">
        <v>601</v>
      </c>
    </row>
    <row r="239" spans="1:14" x14ac:dyDescent="0.25">
      <c r="A239" t="s">
        <v>17</v>
      </c>
      <c r="B239" t="s">
        <v>123</v>
      </c>
      <c r="C239" t="s">
        <v>268</v>
      </c>
      <c r="D239" t="s">
        <v>424</v>
      </c>
      <c r="F239" t="s">
        <v>438</v>
      </c>
      <c r="G239" t="str">
        <f>HYPERLINK("https://ca.linkedin.com/jobs/view/data-analyst-developer-at-citi-3322089923?refId=piCAs1IjDXDXzAkQfMf%2F4g%3D%3D&amp;trackingId=cdJFJsLQ38Hlnn8qxPnfpw%3D%3D&amp;position=13&amp;pageNum=0&amp;trk=public_jobs_jserp-result_search-card", "Job Link")</f>
        <v>Job Link</v>
      </c>
      <c r="H239" t="s">
        <v>479</v>
      </c>
      <c r="I239" t="s">
        <v>481</v>
      </c>
      <c r="J239" t="s">
        <v>486</v>
      </c>
      <c r="K239" t="s">
        <v>519</v>
      </c>
      <c r="L239" t="s">
        <v>584</v>
      </c>
      <c r="M239" t="s">
        <v>588</v>
      </c>
      <c r="N239" t="s">
        <v>601</v>
      </c>
    </row>
    <row r="240" spans="1:14" x14ac:dyDescent="0.25">
      <c r="A240" t="s">
        <v>14</v>
      </c>
      <c r="B240" t="s">
        <v>128</v>
      </c>
      <c r="C240" t="s">
        <v>269</v>
      </c>
      <c r="D240" t="s">
        <v>424</v>
      </c>
      <c r="F240" t="s">
        <v>439</v>
      </c>
      <c r="G240" t="str">
        <f>HYPERLINK("https://ca.linkedin.com/jobs/view/data-analyst-at-diverse-lynx-3363377240?refId=piCAs1IjDXDXzAkQfMf%2F4g%3D%3D&amp;trackingId=Px8z8gwteA1lr%2BAxC4sNfg%3D%3D&amp;position=14&amp;pageNum=0&amp;trk=public_jobs_jserp-result_search-card", "Job Link")</f>
        <v>Job Link</v>
      </c>
      <c r="H240" t="s">
        <v>476</v>
      </c>
      <c r="I240" t="s">
        <v>481</v>
      </c>
      <c r="J240" t="s">
        <v>486</v>
      </c>
      <c r="K240" t="s">
        <v>516</v>
      </c>
      <c r="L240" t="s">
        <v>586</v>
      </c>
      <c r="M240" t="s">
        <v>617</v>
      </c>
      <c r="N240" t="s">
        <v>601</v>
      </c>
    </row>
    <row r="241" spans="1:14" x14ac:dyDescent="0.25">
      <c r="A241" t="s">
        <v>14</v>
      </c>
      <c r="B241" t="s">
        <v>128</v>
      </c>
      <c r="C241" t="s">
        <v>277</v>
      </c>
      <c r="D241" t="s">
        <v>424</v>
      </c>
      <c r="F241" t="s">
        <v>439</v>
      </c>
      <c r="G241" t="str">
        <f>HYPERLINK("https://ca.linkedin.com/jobs/view/data-analyst-at-diverse-lynx-3363374746?refId=piCAs1IjDXDXzAkQfMf%2F4g%3D%3D&amp;trackingId=HgBcNOnThG%2Bu05YZatD%2Fgw%3D%3D&amp;position=15&amp;pageNum=0&amp;trk=public_jobs_jserp-result_search-card", "Job Link")</f>
        <v>Job Link</v>
      </c>
      <c r="H241" t="s">
        <v>476</v>
      </c>
      <c r="I241" t="s">
        <v>481</v>
      </c>
      <c r="J241" t="s">
        <v>486</v>
      </c>
      <c r="K241" t="s">
        <v>516</v>
      </c>
      <c r="L241" t="s">
        <v>586</v>
      </c>
      <c r="M241" t="s">
        <v>617</v>
      </c>
      <c r="N241" t="s">
        <v>601</v>
      </c>
    </row>
    <row r="242" spans="1:14" x14ac:dyDescent="0.25">
      <c r="A242" t="s">
        <v>18</v>
      </c>
      <c r="B242" t="s">
        <v>130</v>
      </c>
      <c r="C242" t="s">
        <v>271</v>
      </c>
      <c r="D242" t="s">
        <v>424</v>
      </c>
      <c r="F242" t="s">
        <v>441</v>
      </c>
      <c r="G242" t="str">
        <f>HYPERLINK("https://ca.linkedin.com/jobs/view/junior-data-analyst-mississauga-on-at-arjo-3323264354?refId=piCAs1IjDXDXzAkQfMf%2F4g%3D%3D&amp;trackingId=NERMKmNAAHR2NBGq0uS4qQ%3D%3D&amp;position=16&amp;pageNum=0&amp;trk=public_jobs_jserp-result_search-card", "Job Link")</f>
        <v>Job Link</v>
      </c>
      <c r="H242" t="s">
        <v>479</v>
      </c>
      <c r="I242" t="s">
        <v>481</v>
      </c>
      <c r="J242" t="s">
        <v>486</v>
      </c>
      <c r="K242" t="s">
        <v>524</v>
      </c>
      <c r="L242" t="s">
        <v>588</v>
      </c>
      <c r="M242" t="s">
        <v>601</v>
      </c>
    </row>
    <row r="243" spans="1:14" x14ac:dyDescent="0.25">
      <c r="A243" t="s">
        <v>14</v>
      </c>
      <c r="B243" t="s">
        <v>131</v>
      </c>
      <c r="C243" t="s">
        <v>272</v>
      </c>
      <c r="D243" t="s">
        <v>424</v>
      </c>
      <c r="F243" t="s">
        <v>442</v>
      </c>
      <c r="G243" t="str">
        <f>HYPERLINK("https://ca.linkedin.com/jobs/view/data-analyst-at-westland-insurance-group-ltd-3345807760?refId=piCAs1IjDXDXzAkQfMf%2F4g%3D%3D&amp;trackingId=b59%2FStr7uwwz5ML1ys4%2FGQ%3D%3D&amp;position=17&amp;pageNum=0&amp;trk=public_jobs_jserp-result_search-card", "Job Link")</f>
        <v>Job Link</v>
      </c>
      <c r="H243" t="s">
        <v>476</v>
      </c>
      <c r="I243" t="s">
        <v>481</v>
      </c>
      <c r="J243" t="s">
        <v>486</v>
      </c>
      <c r="K243" t="s">
        <v>525</v>
      </c>
      <c r="L243" t="s">
        <v>589</v>
      </c>
      <c r="M243" t="s">
        <v>618</v>
      </c>
      <c r="N243" t="s">
        <v>601</v>
      </c>
    </row>
    <row r="244" spans="1:14" x14ac:dyDescent="0.25">
      <c r="A244" t="s">
        <v>14</v>
      </c>
      <c r="B244" t="s">
        <v>132</v>
      </c>
      <c r="C244" t="s">
        <v>273</v>
      </c>
      <c r="D244" t="s">
        <v>424</v>
      </c>
      <c r="F244" t="s">
        <v>443</v>
      </c>
      <c r="G244" t="str">
        <f>HYPERLINK("https://ca.linkedin.com/jobs/view/data-analyst-at-fasken-3365947704?refId=piCAs1IjDXDXzAkQfMf%2F4g%3D%3D&amp;trackingId=FNbnn5Cjr9C%2FsBJGnmBXdw%3D%3D&amp;position=18&amp;pageNum=0&amp;trk=public_jobs_jserp-result_search-card", "Job Link")</f>
        <v>Job Link</v>
      </c>
      <c r="H244" t="s">
        <v>476</v>
      </c>
      <c r="I244" t="s">
        <v>481</v>
      </c>
      <c r="J244" t="s">
        <v>486</v>
      </c>
      <c r="K244" t="s">
        <v>526</v>
      </c>
      <c r="L244" t="s">
        <v>590</v>
      </c>
      <c r="M244" t="s">
        <v>618</v>
      </c>
      <c r="N244" t="s">
        <v>601</v>
      </c>
    </row>
    <row r="245" spans="1:14" x14ac:dyDescent="0.25">
      <c r="A245" t="s">
        <v>14</v>
      </c>
      <c r="B245" t="s">
        <v>133</v>
      </c>
      <c r="C245" t="s">
        <v>274</v>
      </c>
      <c r="D245" t="s">
        <v>424</v>
      </c>
      <c r="F245" t="s">
        <v>434</v>
      </c>
      <c r="G245" t="str">
        <f>HYPERLINK("https://ca.linkedin.com/jobs/view/data-analyst-at-momentum-financial-services-group-3355811523?refId=piCAs1IjDXDXzAkQfMf%2F4g%3D%3D&amp;trackingId=K51%2Fg1Pl0Y62RZcRGH0zbQ%3D%3D&amp;position=19&amp;pageNum=0&amp;trk=public_jobs_jserp-result_search-card", "Job Link")</f>
        <v>Job Link</v>
      </c>
      <c r="H245" t="s">
        <v>476</v>
      </c>
      <c r="I245" t="s">
        <v>481</v>
      </c>
      <c r="J245" t="s">
        <v>486</v>
      </c>
      <c r="K245" t="s">
        <v>527</v>
      </c>
      <c r="L245" t="s">
        <v>582</v>
      </c>
      <c r="M245" t="s">
        <v>588</v>
      </c>
      <c r="N245" t="s">
        <v>601</v>
      </c>
    </row>
    <row r="246" spans="1:14" x14ac:dyDescent="0.25">
      <c r="A246" t="s">
        <v>14</v>
      </c>
      <c r="B246" t="s">
        <v>134</v>
      </c>
      <c r="C246" t="s">
        <v>275</v>
      </c>
      <c r="D246" t="s">
        <v>424</v>
      </c>
      <c r="F246" t="s">
        <v>444</v>
      </c>
      <c r="G246" t="str">
        <f>HYPERLINK("https://ca.linkedin.com/jobs/view/data-analyst-at-tes-the-employment-solution-3322589522?refId=piCAs1IjDXDXzAkQfMf%2F4g%3D%3D&amp;trackingId=7DBeKNXJC31fswEa89PlUA%3D%3D&amp;position=20&amp;pageNum=0&amp;trk=public_jobs_jserp-result_search-card", "Job Link")</f>
        <v>Job Link</v>
      </c>
      <c r="H246" t="s">
        <v>476</v>
      </c>
      <c r="I246" t="s">
        <v>483</v>
      </c>
      <c r="J246" t="s">
        <v>486</v>
      </c>
      <c r="K246" t="s">
        <v>525</v>
      </c>
      <c r="L246" t="s">
        <v>591</v>
      </c>
      <c r="M246" t="s">
        <v>588</v>
      </c>
      <c r="N246" t="s">
        <v>601</v>
      </c>
    </row>
    <row r="247" spans="1:14" x14ac:dyDescent="0.25">
      <c r="A247" t="s">
        <v>14</v>
      </c>
      <c r="B247" t="s">
        <v>135</v>
      </c>
      <c r="C247" t="s">
        <v>276</v>
      </c>
      <c r="D247" t="s">
        <v>424</v>
      </c>
      <c r="F247" t="s">
        <v>440</v>
      </c>
      <c r="G247" t="str">
        <f>HYPERLINK("https://ca.linkedin.com/jobs/view/data-analyst-at-magna-international-3370822450?refId=piCAs1IjDXDXzAkQfMf%2F4g%3D%3D&amp;trackingId=tjmlXBOyIIPsAWVnncMRtA%3D%3D&amp;position=21&amp;pageNum=0&amp;trk=public_jobs_jserp-result_search-card", "Job Link")</f>
        <v>Job Link</v>
      </c>
      <c r="H247" t="s">
        <v>476</v>
      </c>
      <c r="I247" t="s">
        <v>481</v>
      </c>
      <c r="J247" t="s">
        <v>488</v>
      </c>
      <c r="K247" t="s">
        <v>528</v>
      </c>
      <c r="L247" t="s">
        <v>592</v>
      </c>
      <c r="M247" t="s">
        <v>588</v>
      </c>
      <c r="N247" t="s">
        <v>601</v>
      </c>
    </row>
    <row r="248" spans="1:14" x14ac:dyDescent="0.25">
      <c r="A248" t="s">
        <v>20</v>
      </c>
      <c r="B248" t="s">
        <v>137</v>
      </c>
      <c r="C248" t="s">
        <v>279</v>
      </c>
      <c r="D248" t="s">
        <v>424</v>
      </c>
      <c r="F248" t="s">
        <v>446</v>
      </c>
      <c r="G248" t="str">
        <f>HYPERLINK("https://ca.linkedin.com/jobs/view/senior-data-analyst-at-mueller-water-products-3122544636?refId=piCAs1IjDXDXzAkQfMf%2F4g%3D%3D&amp;trackingId=YTHC7MBkaiUzWQ9D2MH07A%3D%3D&amp;position=22&amp;pageNum=0&amp;trk=public_jobs_jserp-result_search-card", "Job Link")</f>
        <v>Job Link</v>
      </c>
      <c r="H248" t="s">
        <v>478</v>
      </c>
      <c r="I248" t="s">
        <v>481</v>
      </c>
      <c r="J248" t="s">
        <v>486</v>
      </c>
      <c r="K248" t="s">
        <v>530</v>
      </c>
      <c r="L248" t="s">
        <v>582</v>
      </c>
      <c r="M248" t="s">
        <v>588</v>
      </c>
      <c r="N248" t="s">
        <v>601</v>
      </c>
    </row>
    <row r="249" spans="1:14" x14ac:dyDescent="0.25">
      <c r="A249" t="s">
        <v>21</v>
      </c>
      <c r="B249" t="s">
        <v>138</v>
      </c>
      <c r="C249" t="s">
        <v>280</v>
      </c>
      <c r="D249" t="s">
        <v>424</v>
      </c>
      <c r="F249" t="s">
        <v>447</v>
      </c>
      <c r="G249" t="str">
        <f>HYPERLINK("https://ca.linkedin.com/jobs/view/data-entry-jr-analyst-6-month-contract-at-csl-group-ltd-3323214993?refId=piCAs1IjDXDXzAkQfMf%2F4g%3D%3D&amp;trackingId=P%2Bj%2Fl6jXsU5aAzDZFe9gvA%3D%3D&amp;position=23&amp;pageNum=0&amp;trk=public_jobs_jserp-result_search-card", "Job Link")</f>
        <v>Job Link</v>
      </c>
      <c r="H249" t="s">
        <v>476</v>
      </c>
      <c r="I249" t="s">
        <v>484</v>
      </c>
      <c r="J249" t="s">
        <v>489</v>
      </c>
      <c r="K249" t="s">
        <v>531</v>
      </c>
      <c r="L249" t="s">
        <v>593</v>
      </c>
      <c r="M249" t="s">
        <v>588</v>
      </c>
      <c r="N249" t="s">
        <v>601</v>
      </c>
    </row>
    <row r="250" spans="1:14" x14ac:dyDescent="0.25">
      <c r="A250" t="s">
        <v>14</v>
      </c>
      <c r="B250" t="s">
        <v>140</v>
      </c>
      <c r="C250" t="s">
        <v>282</v>
      </c>
      <c r="D250" t="s">
        <v>424</v>
      </c>
      <c r="F250" t="s">
        <v>440</v>
      </c>
      <c r="G250" t="str">
        <f>HYPERLINK("https://ca.linkedin.com/jobs/view/data-analyst-at-scotiabank-3365406993?refId=piCAs1IjDXDXzAkQfMf%2F4g%3D%3D&amp;trackingId=vtGK0jpasSfYY16iuZanIw%3D%3D&amp;position=24&amp;pageNum=0&amp;trk=public_jobs_jserp-result_search-card", "Job Link")</f>
        <v>Job Link</v>
      </c>
      <c r="H250" t="s">
        <v>479</v>
      </c>
      <c r="I250" t="s">
        <v>481</v>
      </c>
      <c r="J250" t="s">
        <v>486</v>
      </c>
      <c r="K250" t="s">
        <v>533</v>
      </c>
      <c r="L250" t="s">
        <v>582</v>
      </c>
      <c r="M250" t="s">
        <v>588</v>
      </c>
      <c r="N250" t="s">
        <v>601</v>
      </c>
    </row>
    <row r="251" spans="1:14" x14ac:dyDescent="0.25">
      <c r="A251" t="s">
        <v>22</v>
      </c>
      <c r="B251" t="s">
        <v>139</v>
      </c>
      <c r="C251" t="s">
        <v>281</v>
      </c>
      <c r="D251" t="s">
        <v>424</v>
      </c>
      <c r="F251" t="s">
        <v>435</v>
      </c>
      <c r="G251" t="str">
        <f>HYPERLINK("https://ca.linkedin.com/jobs/view/quality-data-analyst-at-lululemon-3341634874?refId=piCAs1IjDXDXzAkQfMf%2F4g%3D%3D&amp;trackingId=nCJMkzvavsrsaBz1qdOjrA%3D%3D&amp;position=25&amp;pageNum=0&amp;trk=public_jobs_jserp-result_search-card", "Job Link")</f>
        <v>Job Link</v>
      </c>
      <c r="H251" t="s">
        <v>476</v>
      </c>
      <c r="I251" t="s">
        <v>481</v>
      </c>
      <c r="J251" t="s">
        <v>486</v>
      </c>
      <c r="K251" t="s">
        <v>532</v>
      </c>
      <c r="L251" t="s">
        <v>590</v>
      </c>
      <c r="M251" t="s">
        <v>618</v>
      </c>
      <c r="N251" t="s">
        <v>601</v>
      </c>
    </row>
    <row r="252" spans="1:14" x14ac:dyDescent="0.25">
      <c r="A252" t="s">
        <v>14</v>
      </c>
      <c r="B252" t="s">
        <v>118</v>
      </c>
      <c r="C252" t="s">
        <v>258</v>
      </c>
      <c r="D252" t="s">
        <v>424</v>
      </c>
      <c r="F252" t="s">
        <v>430</v>
      </c>
      <c r="G252" t="str">
        <f>HYPERLINK("https://ca.linkedin.com/jobs/view/data-analyst-at-axonify-3324670516?refId=ea0FgsIWGmqQ2WAatak%2BQQ%3D%3D&amp;trackingId=zqC3ljKy9uWJe%2BO4mnTXPQ%3D%3D&amp;position=1&amp;pageNum=0&amp;trk=public_jobs_jserp-result_search-card", "Job Link")</f>
        <v>Job Link</v>
      </c>
      <c r="H252" t="s">
        <v>476</v>
      </c>
      <c r="I252" t="s">
        <v>481</v>
      </c>
      <c r="J252" t="s">
        <v>486</v>
      </c>
      <c r="K252" t="s">
        <v>516</v>
      </c>
      <c r="L252" t="s">
        <v>581</v>
      </c>
      <c r="M252" t="s">
        <v>588</v>
      </c>
      <c r="N252" t="s">
        <v>601</v>
      </c>
    </row>
    <row r="253" spans="1:14" x14ac:dyDescent="0.25">
      <c r="A253" t="s">
        <v>14</v>
      </c>
      <c r="B253" t="s">
        <v>119</v>
      </c>
      <c r="C253" t="s">
        <v>259</v>
      </c>
      <c r="D253" t="s">
        <v>424</v>
      </c>
      <c r="F253" t="s">
        <v>431</v>
      </c>
      <c r="G253" t="str">
        <f>HYPERLINK("https://ca.linkedin.com/jobs/view/data-analyst-at-b3-systems-3361794123?refId=ea0FgsIWGmqQ2WAatak%2BQQ%3D%3D&amp;trackingId=2eGp8KrFfz81KmLH9ELhFw%3D%3D&amp;position=2&amp;pageNum=0&amp;trk=public_jobs_jserp-result_search-card", "Job Link")</f>
        <v>Job Link</v>
      </c>
      <c r="I253" t="s">
        <v>481</v>
      </c>
      <c r="L253" t="s">
        <v>582</v>
      </c>
      <c r="M253" t="s">
        <v>588</v>
      </c>
      <c r="N253" t="s">
        <v>601</v>
      </c>
    </row>
    <row r="254" spans="1:14" x14ac:dyDescent="0.25">
      <c r="A254" t="s">
        <v>14</v>
      </c>
      <c r="B254" t="s">
        <v>120</v>
      </c>
      <c r="C254" t="s">
        <v>260</v>
      </c>
      <c r="D254" t="s">
        <v>424</v>
      </c>
      <c r="F254" t="s">
        <v>431</v>
      </c>
      <c r="G254" t="str">
        <f>HYPERLINK("https://ca.linkedin.com/jobs/view/data-analyst-at-wood-mackenzie-3271782079?refId=ea0FgsIWGmqQ2WAatak%2BQQ%3D%3D&amp;trackingId=TGenGcbBsnxyM%2B7VWQQp5w%3D%3D&amp;position=3&amp;pageNum=0&amp;trk=public_jobs_jserp-result_search-card", "Job Link")</f>
        <v>Job Link</v>
      </c>
      <c r="H254" t="s">
        <v>477</v>
      </c>
      <c r="I254" t="s">
        <v>481</v>
      </c>
      <c r="J254" t="s">
        <v>487</v>
      </c>
      <c r="K254" t="s">
        <v>517</v>
      </c>
      <c r="L254" t="s">
        <v>583</v>
      </c>
      <c r="M254" t="s">
        <v>610</v>
      </c>
      <c r="N254" t="s">
        <v>601</v>
      </c>
    </row>
    <row r="255" spans="1:14" x14ac:dyDescent="0.25">
      <c r="A255" t="s">
        <v>14</v>
      </c>
      <c r="B255" t="s">
        <v>121</v>
      </c>
      <c r="C255" t="s">
        <v>261</v>
      </c>
      <c r="D255" t="s">
        <v>424</v>
      </c>
      <c r="F255" t="s">
        <v>432</v>
      </c>
      <c r="G255" t="str">
        <f>HYPERLINK("https://ca.linkedin.com/jobs/view/data-analyst-at-loft-community-services-3364383026?refId=ea0FgsIWGmqQ2WAatak%2BQQ%3D%3D&amp;trackingId=WMiaRVAju45EStbRSvJz%2Fg%3D%3D&amp;position=4&amp;pageNum=0&amp;trk=public_jobs_jserp-result_search-card", "Job Link")</f>
        <v>Job Link</v>
      </c>
      <c r="I255" t="s">
        <v>482</v>
      </c>
      <c r="L255" t="s">
        <v>582</v>
      </c>
      <c r="M255" t="s">
        <v>588</v>
      </c>
      <c r="N255" t="s">
        <v>601</v>
      </c>
    </row>
    <row r="256" spans="1:14" x14ac:dyDescent="0.25">
      <c r="A256" t="s">
        <v>14</v>
      </c>
      <c r="B256" t="s">
        <v>122</v>
      </c>
      <c r="C256" t="s">
        <v>262</v>
      </c>
      <c r="D256" t="s">
        <v>424</v>
      </c>
      <c r="F256" t="s">
        <v>433</v>
      </c>
      <c r="G256" t="str">
        <f>HYPERLINK("https://ca.linkedin.com/jobs/view/data-analyst-at-nam-info-inc-3351590976?refId=ea0FgsIWGmqQ2WAatak%2BQQ%3D%3D&amp;trackingId=bRxRK1ez8NGHistw9VV%2BFQ%3D%3D&amp;position=5&amp;pageNum=0&amp;trk=public_jobs_jserp-result_search-card", "Job Link")</f>
        <v>Job Link</v>
      </c>
      <c r="H256" t="s">
        <v>478</v>
      </c>
      <c r="I256" t="s">
        <v>483</v>
      </c>
      <c r="J256" t="s">
        <v>486</v>
      </c>
      <c r="K256" t="s">
        <v>518</v>
      </c>
      <c r="L256" t="s">
        <v>582</v>
      </c>
      <c r="M256" t="s">
        <v>588</v>
      </c>
      <c r="N256" t="s">
        <v>601</v>
      </c>
    </row>
    <row r="257" spans="1:14" x14ac:dyDescent="0.25">
      <c r="A257" t="s">
        <v>14</v>
      </c>
      <c r="B257" t="s">
        <v>123</v>
      </c>
      <c r="C257" t="s">
        <v>263</v>
      </c>
      <c r="D257" t="s">
        <v>424</v>
      </c>
      <c r="F257" t="s">
        <v>434</v>
      </c>
      <c r="G257" t="str">
        <f>HYPERLINK("https://ca.linkedin.com/jobs/view/data-analyst-at-citi-3263096865?refId=ea0FgsIWGmqQ2WAatak%2BQQ%3D%3D&amp;trackingId=m%2BMYv9uvYFL6MdfJO%2FuHZA%3D%3D&amp;position=6&amp;pageNum=0&amp;trk=public_jobs_jserp-result_search-card", "Job Link")</f>
        <v>Job Link</v>
      </c>
      <c r="H257" t="s">
        <v>479</v>
      </c>
      <c r="I257" t="s">
        <v>481</v>
      </c>
      <c r="J257" t="s">
        <v>486</v>
      </c>
      <c r="K257" t="s">
        <v>519</v>
      </c>
      <c r="L257" t="s">
        <v>584</v>
      </c>
      <c r="M257" t="s">
        <v>588</v>
      </c>
      <c r="N257" t="s">
        <v>601</v>
      </c>
    </row>
    <row r="258" spans="1:14" x14ac:dyDescent="0.25">
      <c r="A258" t="s">
        <v>14</v>
      </c>
      <c r="B258" t="s">
        <v>124</v>
      </c>
      <c r="C258" t="s">
        <v>264</v>
      </c>
      <c r="D258" t="s">
        <v>424</v>
      </c>
      <c r="F258" t="s">
        <v>435</v>
      </c>
      <c r="G258" t="str">
        <f>HYPERLINK("https://ca.linkedin.com/jobs/view/data-analyst-at-king-s-college-london-3335332409?refId=ea0FgsIWGmqQ2WAatak%2BQQ%3D%3D&amp;trackingId=SaBZKqodxi%2BpBrmNiWiCvA%3D%3D&amp;position=7&amp;pageNum=0&amp;trk=public_jobs_jserp-result_search-card", "Job Link")</f>
        <v>Job Link</v>
      </c>
      <c r="H258" t="s">
        <v>476</v>
      </c>
      <c r="I258" t="s">
        <v>481</v>
      </c>
      <c r="J258" t="s">
        <v>486</v>
      </c>
      <c r="K258" t="s">
        <v>520</v>
      </c>
      <c r="L258" t="s">
        <v>585</v>
      </c>
      <c r="M258" t="s">
        <v>588</v>
      </c>
      <c r="N258" t="s">
        <v>601</v>
      </c>
    </row>
    <row r="259" spans="1:14" x14ac:dyDescent="0.25">
      <c r="A259" t="s">
        <v>15</v>
      </c>
      <c r="B259" t="s">
        <v>125</v>
      </c>
      <c r="C259" t="s">
        <v>265</v>
      </c>
      <c r="D259" t="s">
        <v>424</v>
      </c>
      <c r="F259" t="s">
        <v>431</v>
      </c>
      <c r="G259" t="str">
        <f>HYPERLINK("https://ca.linkedin.com/jobs/view/data-analyst-remote-at-cognizant-microsoft-business-group-3333618510?refId=ea0FgsIWGmqQ2WAatak%2BQQ%3D%3D&amp;trackingId=8W%2FXNtDGrp8su83X4DvrNA%3D%3D&amp;position=8&amp;pageNum=0&amp;trk=public_jobs_jserp-result_search-card", "Job Link")</f>
        <v>Job Link</v>
      </c>
      <c r="H259" t="s">
        <v>476</v>
      </c>
      <c r="I259" t="s">
        <v>481</v>
      </c>
      <c r="J259" t="s">
        <v>486</v>
      </c>
      <c r="K259" t="s">
        <v>521</v>
      </c>
      <c r="L259" t="s">
        <v>582</v>
      </c>
      <c r="M259" t="s">
        <v>588</v>
      </c>
      <c r="N259" t="s">
        <v>601</v>
      </c>
    </row>
    <row r="260" spans="1:14" x14ac:dyDescent="0.25">
      <c r="A260" t="s">
        <v>16</v>
      </c>
      <c r="B260" t="s">
        <v>126</v>
      </c>
      <c r="C260" t="s">
        <v>266</v>
      </c>
      <c r="D260" t="s">
        <v>424</v>
      </c>
      <c r="F260" t="s">
        <v>436</v>
      </c>
      <c r="G260" t="str">
        <f>HYPERLINK("https://ca.linkedin.com/jobs/view/data-analyst-loans-at-tata-consultancy-services-3344804680?refId=ea0FgsIWGmqQ2WAatak%2BQQ%3D%3D&amp;trackingId=SMDjNIuGAT08trmHP8hocQ%3D%3D&amp;position=9&amp;pageNum=0&amp;trk=public_jobs_jserp-result_search-card", "Job Link")</f>
        <v>Job Link</v>
      </c>
      <c r="H260" t="s">
        <v>477</v>
      </c>
      <c r="I260" t="s">
        <v>481</v>
      </c>
      <c r="J260" t="s">
        <v>486</v>
      </c>
      <c r="K260" t="s">
        <v>517</v>
      </c>
      <c r="L260" t="s">
        <v>584</v>
      </c>
      <c r="M260" t="s">
        <v>588</v>
      </c>
      <c r="N260" t="s">
        <v>601</v>
      </c>
    </row>
    <row r="261" spans="1:14" x14ac:dyDescent="0.25">
      <c r="A261" t="s">
        <v>14</v>
      </c>
      <c r="B261" t="s">
        <v>127</v>
      </c>
      <c r="C261" t="s">
        <v>267</v>
      </c>
      <c r="D261" t="s">
        <v>424</v>
      </c>
      <c r="F261" t="s">
        <v>437</v>
      </c>
      <c r="G261" t="str">
        <f>HYPERLINK("https://ca.linkedin.com/jobs/view/data-analyst-at-vubiquity-3365112221?refId=ea0FgsIWGmqQ2WAatak%2BQQ%3D%3D&amp;trackingId=3H03MLCFsbdyAEtyCdfkmQ%3D%3D&amp;position=10&amp;pageNum=0&amp;trk=public_jobs_jserp-result_search-card", "Job Link")</f>
        <v>Job Link</v>
      </c>
      <c r="H261" t="s">
        <v>476</v>
      </c>
      <c r="I261" t="s">
        <v>481</v>
      </c>
      <c r="J261" t="s">
        <v>486</v>
      </c>
      <c r="K261" t="s">
        <v>522</v>
      </c>
      <c r="L261" t="s">
        <v>582</v>
      </c>
      <c r="M261" t="s">
        <v>588</v>
      </c>
      <c r="N261" t="s">
        <v>601</v>
      </c>
    </row>
    <row r="262" spans="1:14" x14ac:dyDescent="0.25">
      <c r="A262" t="s">
        <v>17</v>
      </c>
      <c r="B262" t="s">
        <v>123</v>
      </c>
      <c r="C262" t="s">
        <v>268</v>
      </c>
      <c r="D262" t="s">
        <v>424</v>
      </c>
      <c r="F262" t="s">
        <v>438</v>
      </c>
      <c r="G262" t="str">
        <f>HYPERLINK("https://ca.linkedin.com/jobs/view/data-analyst-developer-at-citi-3322089923?refId=ea0FgsIWGmqQ2WAatak%2BQQ%3D%3D&amp;trackingId=OBTpXnfO6i3wNtniVZ%2FQWg%3D%3D&amp;position=11&amp;pageNum=0&amp;trk=public_jobs_jserp-result_search-card", "Job Link")</f>
        <v>Job Link</v>
      </c>
      <c r="H262" t="s">
        <v>479</v>
      </c>
      <c r="I262" t="s">
        <v>481</v>
      </c>
      <c r="J262" t="s">
        <v>486</v>
      </c>
      <c r="K262" t="s">
        <v>519</v>
      </c>
      <c r="L262" t="s">
        <v>584</v>
      </c>
      <c r="M262" t="s">
        <v>588</v>
      </c>
      <c r="N262" t="s">
        <v>601</v>
      </c>
    </row>
    <row r="263" spans="1:14" x14ac:dyDescent="0.25">
      <c r="A263" t="s">
        <v>14</v>
      </c>
      <c r="B263" t="s">
        <v>128</v>
      </c>
      <c r="C263" t="s">
        <v>269</v>
      </c>
      <c r="D263" t="s">
        <v>424</v>
      </c>
      <c r="F263" t="s">
        <v>439</v>
      </c>
      <c r="G263" t="str">
        <f>HYPERLINK("https://ca.linkedin.com/jobs/view/data-analyst-at-diverse-lynx-3363377240?refId=ea0FgsIWGmqQ2WAatak%2BQQ%3D%3D&amp;trackingId=eYSESVeS04SftjvtXMNkDw%3D%3D&amp;position=12&amp;pageNum=0&amp;trk=public_jobs_jserp-result_search-card", "Job Link")</f>
        <v>Job Link</v>
      </c>
      <c r="H263" t="s">
        <v>476</v>
      </c>
      <c r="I263" t="s">
        <v>481</v>
      </c>
      <c r="J263" t="s">
        <v>486</v>
      </c>
      <c r="K263" t="s">
        <v>516</v>
      </c>
      <c r="L263" t="s">
        <v>586</v>
      </c>
      <c r="M263" t="s">
        <v>617</v>
      </c>
      <c r="N263" t="s">
        <v>601</v>
      </c>
    </row>
    <row r="264" spans="1:14" x14ac:dyDescent="0.25">
      <c r="A264" t="s">
        <v>14</v>
      </c>
      <c r="B264" t="s">
        <v>129</v>
      </c>
      <c r="C264" t="s">
        <v>270</v>
      </c>
      <c r="D264" t="s">
        <v>424</v>
      </c>
      <c r="F264" t="s">
        <v>440</v>
      </c>
      <c r="G264" t="str">
        <f>HYPERLINK("https://ca.linkedin.com/jobs/view/data-analyst-at-agricorp-3364433441?refId=ea0FgsIWGmqQ2WAatak%2BQQ%3D%3D&amp;trackingId=bMWmsU5pdIJ5dlVeASq54A%3D%3D&amp;position=13&amp;pageNum=0&amp;trk=public_jobs_jserp-result_search-card", "Job Link")</f>
        <v>Job Link</v>
      </c>
      <c r="H264" t="s">
        <v>476</v>
      </c>
      <c r="I264" t="s">
        <v>481</v>
      </c>
      <c r="J264" t="s">
        <v>486</v>
      </c>
      <c r="K264" t="s">
        <v>523</v>
      </c>
      <c r="L264" t="s">
        <v>587</v>
      </c>
      <c r="M264" t="s">
        <v>588</v>
      </c>
      <c r="N264" t="s">
        <v>601</v>
      </c>
    </row>
    <row r="265" spans="1:14" x14ac:dyDescent="0.25">
      <c r="A265" t="s">
        <v>18</v>
      </c>
      <c r="B265" t="s">
        <v>130</v>
      </c>
      <c r="C265" t="s">
        <v>271</v>
      </c>
      <c r="D265" t="s">
        <v>424</v>
      </c>
      <c r="F265" t="s">
        <v>441</v>
      </c>
      <c r="G265" t="str">
        <f>HYPERLINK("https://ca.linkedin.com/jobs/view/junior-data-analyst-mississauga-on-at-arjo-3323264354?refId=ea0FgsIWGmqQ2WAatak%2BQQ%3D%3D&amp;trackingId=c2xYPe0A8y9PqgwyeORPvA%3D%3D&amp;position=14&amp;pageNum=0&amp;trk=public_jobs_jserp-result_search-card", "Job Link")</f>
        <v>Job Link</v>
      </c>
      <c r="H265" t="s">
        <v>479</v>
      </c>
      <c r="I265" t="s">
        <v>481</v>
      </c>
      <c r="J265" t="s">
        <v>486</v>
      </c>
      <c r="K265" t="s">
        <v>524</v>
      </c>
      <c r="L265" t="s">
        <v>588</v>
      </c>
      <c r="M265" t="s">
        <v>601</v>
      </c>
    </row>
    <row r="266" spans="1:14" x14ac:dyDescent="0.25">
      <c r="A266" t="s">
        <v>14</v>
      </c>
      <c r="B266" t="s">
        <v>131</v>
      </c>
      <c r="C266" t="s">
        <v>272</v>
      </c>
      <c r="D266" t="s">
        <v>424</v>
      </c>
      <c r="F266" t="s">
        <v>442</v>
      </c>
      <c r="G266" t="str">
        <f>HYPERLINK("https://ca.linkedin.com/jobs/view/data-analyst-at-westland-insurance-group-ltd-3345807760?refId=ea0FgsIWGmqQ2WAatak%2BQQ%3D%3D&amp;trackingId=KxxIlEEvi%2BAm36StA1jqAw%3D%3D&amp;position=15&amp;pageNum=0&amp;trk=public_jobs_jserp-result_search-card", "Job Link")</f>
        <v>Job Link</v>
      </c>
      <c r="H266" t="s">
        <v>476</v>
      </c>
      <c r="I266" t="s">
        <v>481</v>
      </c>
      <c r="J266" t="s">
        <v>486</v>
      </c>
      <c r="K266" t="s">
        <v>525</v>
      </c>
      <c r="L266" t="s">
        <v>589</v>
      </c>
      <c r="M266" t="s">
        <v>618</v>
      </c>
      <c r="N266" t="s">
        <v>601</v>
      </c>
    </row>
    <row r="267" spans="1:14" x14ac:dyDescent="0.25">
      <c r="A267" t="s">
        <v>14</v>
      </c>
      <c r="B267" t="s">
        <v>132</v>
      </c>
      <c r="C267" t="s">
        <v>273</v>
      </c>
      <c r="D267" t="s">
        <v>424</v>
      </c>
      <c r="F267" t="s">
        <v>443</v>
      </c>
      <c r="G267" t="str">
        <f>HYPERLINK("https://ca.linkedin.com/jobs/view/data-analyst-at-fasken-3365947704?refId=ea0FgsIWGmqQ2WAatak%2BQQ%3D%3D&amp;trackingId=0mrGz6mW%2B6nS5QhrW9SpoA%3D%3D&amp;position=16&amp;pageNum=0&amp;trk=public_jobs_jserp-result_search-card", "Job Link")</f>
        <v>Job Link</v>
      </c>
      <c r="H267" t="s">
        <v>476</v>
      </c>
      <c r="I267" t="s">
        <v>481</v>
      </c>
      <c r="J267" t="s">
        <v>486</v>
      </c>
      <c r="K267" t="s">
        <v>526</v>
      </c>
      <c r="L267" t="s">
        <v>590</v>
      </c>
      <c r="M267" t="s">
        <v>618</v>
      </c>
      <c r="N267" t="s">
        <v>601</v>
      </c>
    </row>
    <row r="268" spans="1:14" x14ac:dyDescent="0.25">
      <c r="A268" t="s">
        <v>14</v>
      </c>
      <c r="B268" t="s">
        <v>133</v>
      </c>
      <c r="C268" t="s">
        <v>274</v>
      </c>
      <c r="D268" t="s">
        <v>424</v>
      </c>
      <c r="F268" t="s">
        <v>434</v>
      </c>
      <c r="G268" t="str">
        <f>HYPERLINK("https://ca.linkedin.com/jobs/view/data-analyst-at-momentum-financial-services-group-3355811523?refId=ea0FgsIWGmqQ2WAatak%2BQQ%3D%3D&amp;trackingId=YRx%2F%2FC1yen2vb%2FDVt6yOJQ%3D%3D&amp;position=17&amp;pageNum=0&amp;trk=public_jobs_jserp-result_search-card", "Job Link")</f>
        <v>Job Link</v>
      </c>
      <c r="H268" t="s">
        <v>476</v>
      </c>
      <c r="I268" t="s">
        <v>481</v>
      </c>
      <c r="J268" t="s">
        <v>486</v>
      </c>
      <c r="K268" t="s">
        <v>527</v>
      </c>
      <c r="L268" t="s">
        <v>582</v>
      </c>
      <c r="M268" t="s">
        <v>588</v>
      </c>
      <c r="N268" t="s">
        <v>601</v>
      </c>
    </row>
    <row r="269" spans="1:14" x14ac:dyDescent="0.25">
      <c r="A269" t="s">
        <v>14</v>
      </c>
      <c r="B269" t="s">
        <v>134</v>
      </c>
      <c r="C269" t="s">
        <v>275</v>
      </c>
      <c r="D269" t="s">
        <v>424</v>
      </c>
      <c r="F269" t="s">
        <v>444</v>
      </c>
      <c r="G269" t="str">
        <f>HYPERLINK("https://ca.linkedin.com/jobs/view/data-analyst-at-tes-the-employment-solution-3322589522?refId=ea0FgsIWGmqQ2WAatak%2BQQ%3D%3D&amp;trackingId=td9tXIjfEUvfFCvgxBfUGg%3D%3D&amp;position=18&amp;pageNum=0&amp;trk=public_jobs_jserp-result_search-card", "Job Link")</f>
        <v>Job Link</v>
      </c>
      <c r="H269" t="s">
        <v>476</v>
      </c>
      <c r="I269" t="s">
        <v>483</v>
      </c>
      <c r="J269" t="s">
        <v>486</v>
      </c>
      <c r="K269" t="s">
        <v>525</v>
      </c>
      <c r="L269" t="s">
        <v>591</v>
      </c>
      <c r="M269" t="s">
        <v>588</v>
      </c>
      <c r="N269" t="s">
        <v>601</v>
      </c>
    </row>
    <row r="270" spans="1:14" x14ac:dyDescent="0.25">
      <c r="A270" t="s">
        <v>14</v>
      </c>
      <c r="B270" t="s">
        <v>135</v>
      </c>
      <c r="C270" t="s">
        <v>276</v>
      </c>
      <c r="D270" t="s">
        <v>424</v>
      </c>
      <c r="F270" t="s">
        <v>440</v>
      </c>
      <c r="G270" t="str">
        <f>HYPERLINK("https://ca.linkedin.com/jobs/view/data-analyst-at-magna-international-3370822450?refId=ea0FgsIWGmqQ2WAatak%2BQQ%3D%3D&amp;trackingId=nqSEbI1Uo%2FNSXFCH8JcG8A%3D%3D&amp;position=19&amp;pageNum=0&amp;trk=public_jobs_jserp-result_search-card", "Job Link")</f>
        <v>Job Link</v>
      </c>
      <c r="H270" t="s">
        <v>476</v>
      </c>
      <c r="I270" t="s">
        <v>481</v>
      </c>
      <c r="J270" t="s">
        <v>488</v>
      </c>
      <c r="K270" t="s">
        <v>528</v>
      </c>
      <c r="L270" t="s">
        <v>592</v>
      </c>
      <c r="M270" t="s">
        <v>588</v>
      </c>
      <c r="N270" t="s">
        <v>601</v>
      </c>
    </row>
    <row r="271" spans="1:14" x14ac:dyDescent="0.25">
      <c r="A271" t="s">
        <v>14</v>
      </c>
      <c r="B271" t="s">
        <v>128</v>
      </c>
      <c r="C271" t="s">
        <v>277</v>
      </c>
      <c r="D271" t="s">
        <v>424</v>
      </c>
      <c r="F271" t="s">
        <v>439</v>
      </c>
      <c r="G271" t="str">
        <f>HYPERLINK("https://ca.linkedin.com/jobs/view/data-analyst-at-diverse-lynx-3363374746?refId=ea0FgsIWGmqQ2WAatak%2BQQ%3D%3D&amp;trackingId=242RXZ9kC8xJsCTQZdNqpw%3D%3D&amp;position=20&amp;pageNum=0&amp;trk=public_jobs_jserp-result_search-card", "Job Link")</f>
        <v>Job Link</v>
      </c>
      <c r="H271" t="s">
        <v>476</v>
      </c>
      <c r="I271" t="s">
        <v>481</v>
      </c>
      <c r="J271" t="s">
        <v>486</v>
      </c>
      <c r="K271" t="s">
        <v>516</v>
      </c>
      <c r="L271" t="s">
        <v>586</v>
      </c>
      <c r="M271" t="s">
        <v>617</v>
      </c>
      <c r="N271" t="s">
        <v>601</v>
      </c>
    </row>
    <row r="272" spans="1:14" x14ac:dyDescent="0.25">
      <c r="A272" t="s">
        <v>19</v>
      </c>
      <c r="B272" t="s">
        <v>136</v>
      </c>
      <c r="C272" t="s">
        <v>278</v>
      </c>
      <c r="D272" t="s">
        <v>424</v>
      </c>
      <c r="F272" t="s">
        <v>445</v>
      </c>
      <c r="G272" t="str">
        <f>HYPERLINK("https://ca.linkedin.com/jobs/view/data-analyst-operations-at-sonder-inc-3229442908?refId=ea0FgsIWGmqQ2WAatak%2BQQ%3D%3D&amp;trackingId=KqBco4M5uIR7r09G1YS17A%3D%3D&amp;position=21&amp;pageNum=0&amp;trk=public_jobs_jserp-result_search-card", "Job Link")</f>
        <v>Job Link</v>
      </c>
      <c r="H272" t="s">
        <v>476</v>
      </c>
      <c r="I272" t="s">
        <v>481</v>
      </c>
      <c r="J272" t="s">
        <v>486</v>
      </c>
      <c r="K272" t="s">
        <v>529</v>
      </c>
      <c r="L272" t="s">
        <v>582</v>
      </c>
      <c r="M272" t="s">
        <v>588</v>
      </c>
      <c r="N272" t="s">
        <v>601</v>
      </c>
    </row>
    <row r="273" spans="1:14" x14ac:dyDescent="0.25">
      <c r="A273" t="s">
        <v>20</v>
      </c>
      <c r="B273" t="s">
        <v>137</v>
      </c>
      <c r="C273" t="s">
        <v>279</v>
      </c>
      <c r="D273" t="s">
        <v>424</v>
      </c>
      <c r="F273" t="s">
        <v>446</v>
      </c>
      <c r="G273" t="str">
        <f>HYPERLINK("https://ca.linkedin.com/jobs/view/senior-data-analyst-at-mueller-water-products-3122544636?refId=ea0FgsIWGmqQ2WAatak%2BQQ%3D%3D&amp;trackingId=9944y7h7hIVNGBIJBWAxdg%3D%3D&amp;position=22&amp;pageNum=0&amp;trk=public_jobs_jserp-result_search-card", "Job Link")</f>
        <v>Job Link</v>
      </c>
      <c r="H273" t="s">
        <v>478</v>
      </c>
      <c r="I273" t="s">
        <v>481</v>
      </c>
      <c r="J273" t="s">
        <v>486</v>
      </c>
      <c r="K273" t="s">
        <v>530</v>
      </c>
      <c r="L273" t="s">
        <v>582</v>
      </c>
      <c r="M273" t="s">
        <v>588</v>
      </c>
      <c r="N273" t="s">
        <v>601</v>
      </c>
    </row>
    <row r="274" spans="1:14" x14ac:dyDescent="0.25">
      <c r="A274" t="s">
        <v>21</v>
      </c>
      <c r="B274" t="s">
        <v>138</v>
      </c>
      <c r="C274" t="s">
        <v>280</v>
      </c>
      <c r="D274" t="s">
        <v>424</v>
      </c>
      <c r="F274" t="s">
        <v>447</v>
      </c>
      <c r="G274" t="str">
        <f>HYPERLINK("https://ca.linkedin.com/jobs/view/data-entry-jr-analyst-6-month-contract-at-csl-group-ltd-3323214993?refId=ea0FgsIWGmqQ2WAatak%2BQQ%3D%3D&amp;trackingId=ayYAzbw2ihy2fTvvFjIQvQ%3D%3D&amp;position=23&amp;pageNum=0&amp;trk=public_jobs_jserp-result_search-card", "Job Link")</f>
        <v>Job Link</v>
      </c>
      <c r="H274" t="s">
        <v>476</v>
      </c>
      <c r="I274" t="s">
        <v>484</v>
      </c>
      <c r="J274" t="s">
        <v>489</v>
      </c>
      <c r="K274" t="s">
        <v>531</v>
      </c>
      <c r="L274" t="s">
        <v>593</v>
      </c>
      <c r="M274" t="s">
        <v>588</v>
      </c>
      <c r="N274" t="s">
        <v>601</v>
      </c>
    </row>
    <row r="275" spans="1:14" x14ac:dyDescent="0.25">
      <c r="A275" t="s">
        <v>22</v>
      </c>
      <c r="B275" t="s">
        <v>139</v>
      </c>
      <c r="C275" t="s">
        <v>281</v>
      </c>
      <c r="D275" t="s">
        <v>424</v>
      </c>
      <c r="F275" t="s">
        <v>435</v>
      </c>
      <c r="G275" t="str">
        <f>HYPERLINK("https://ca.linkedin.com/jobs/view/quality-data-analyst-at-lululemon-3341634874?refId=ea0FgsIWGmqQ2WAatak%2BQQ%3D%3D&amp;trackingId=euqnR8hIlKSjFDQbUORBdA%3D%3D&amp;position=24&amp;pageNum=0&amp;trk=public_jobs_jserp-result_search-card", "Job Link")</f>
        <v>Job Link</v>
      </c>
      <c r="H275" t="s">
        <v>476</v>
      </c>
      <c r="I275" t="s">
        <v>481</v>
      </c>
      <c r="J275" t="s">
        <v>486</v>
      </c>
      <c r="K275" t="s">
        <v>532</v>
      </c>
      <c r="L275" t="s">
        <v>590</v>
      </c>
      <c r="M275" t="s">
        <v>618</v>
      </c>
      <c r="N275" t="s">
        <v>601</v>
      </c>
    </row>
    <row r="276" spans="1:14" x14ac:dyDescent="0.25">
      <c r="A276" t="s">
        <v>14</v>
      </c>
      <c r="B276" t="s">
        <v>140</v>
      </c>
      <c r="C276" t="s">
        <v>282</v>
      </c>
      <c r="D276" t="s">
        <v>424</v>
      </c>
      <c r="F276" t="s">
        <v>440</v>
      </c>
      <c r="G276" t="str">
        <f>HYPERLINK("https://ca.linkedin.com/jobs/view/data-analyst-at-scotiabank-3365406993?refId=ea0FgsIWGmqQ2WAatak%2BQQ%3D%3D&amp;trackingId=tv0exaosJRTyihmoh5FpvA%3D%3D&amp;position=25&amp;pageNum=0&amp;trk=public_jobs_jserp-result_search-card", "Job Link")</f>
        <v>Job Link</v>
      </c>
      <c r="H276" t="s">
        <v>479</v>
      </c>
      <c r="I276" t="s">
        <v>481</v>
      </c>
      <c r="J276" t="s">
        <v>486</v>
      </c>
      <c r="K276" t="s">
        <v>533</v>
      </c>
      <c r="L276" t="s">
        <v>582</v>
      </c>
      <c r="M276" t="s">
        <v>588</v>
      </c>
      <c r="N276" t="s">
        <v>601</v>
      </c>
    </row>
    <row r="277" spans="1:14" x14ac:dyDescent="0.25">
      <c r="A277" t="s">
        <v>14</v>
      </c>
      <c r="B277" t="s">
        <v>118</v>
      </c>
      <c r="C277" t="s">
        <v>258</v>
      </c>
      <c r="D277" t="s">
        <v>424</v>
      </c>
      <c r="F277" t="s">
        <v>430</v>
      </c>
      <c r="G277" t="str">
        <f>HYPERLINK("https://ca.linkedin.com/jobs/view/data-analyst-at-axonify-3324670516?refId=MoPIdchn%2B5YnzWLWABF0fg%3D%3D&amp;trackingId=cC2bRtd%2FDpw2W%2FTQrvFDmw%3D%3D&amp;position=1&amp;pageNum=0&amp;trk=public_jobs_jserp-result_search-card", "Job Link")</f>
        <v>Job Link</v>
      </c>
      <c r="H277" t="s">
        <v>476</v>
      </c>
      <c r="I277" t="s">
        <v>481</v>
      </c>
      <c r="J277" t="s">
        <v>486</v>
      </c>
      <c r="K277" t="s">
        <v>516</v>
      </c>
      <c r="L277" t="s">
        <v>581</v>
      </c>
      <c r="M277" t="s">
        <v>588</v>
      </c>
      <c r="N277" t="s">
        <v>601</v>
      </c>
    </row>
    <row r="278" spans="1:14" x14ac:dyDescent="0.25">
      <c r="A278" t="s">
        <v>14</v>
      </c>
      <c r="B278" t="s">
        <v>119</v>
      </c>
      <c r="C278" t="s">
        <v>259</v>
      </c>
      <c r="D278" t="s">
        <v>424</v>
      </c>
      <c r="F278" t="s">
        <v>431</v>
      </c>
      <c r="G278" t="str">
        <f>HYPERLINK("https://ca.linkedin.com/jobs/view/data-analyst-at-b3-systems-3361794123?refId=MoPIdchn%2B5YnzWLWABF0fg%3D%3D&amp;trackingId=qhSM4c3JN%2Fpn9linTFIy%2Fw%3D%3D&amp;position=2&amp;pageNum=0&amp;trk=public_jobs_jserp-result_search-card", "Job Link")</f>
        <v>Job Link</v>
      </c>
      <c r="I278" t="s">
        <v>481</v>
      </c>
      <c r="L278" t="s">
        <v>582</v>
      </c>
      <c r="M278" t="s">
        <v>588</v>
      </c>
      <c r="N278" t="s">
        <v>601</v>
      </c>
    </row>
    <row r="279" spans="1:14" x14ac:dyDescent="0.25">
      <c r="A279" t="s">
        <v>14</v>
      </c>
      <c r="B279" t="s">
        <v>120</v>
      </c>
      <c r="C279" t="s">
        <v>260</v>
      </c>
      <c r="D279" t="s">
        <v>424</v>
      </c>
      <c r="F279" t="s">
        <v>431</v>
      </c>
      <c r="G279" t="str">
        <f>HYPERLINK("https://ca.linkedin.com/jobs/view/data-analyst-at-wood-mackenzie-3271782079?refId=MoPIdchn%2B5YnzWLWABF0fg%3D%3D&amp;trackingId=xi%2By8D4NVJ%2FrU1bvtpasXQ%3D%3D&amp;position=3&amp;pageNum=0&amp;trk=public_jobs_jserp-result_search-card", "Job Link")</f>
        <v>Job Link</v>
      </c>
      <c r="H279" t="s">
        <v>477</v>
      </c>
      <c r="I279" t="s">
        <v>481</v>
      </c>
      <c r="J279" t="s">
        <v>487</v>
      </c>
      <c r="K279" t="s">
        <v>517</v>
      </c>
      <c r="L279" t="s">
        <v>583</v>
      </c>
      <c r="M279" t="s">
        <v>610</v>
      </c>
      <c r="N279" t="s">
        <v>601</v>
      </c>
    </row>
    <row r="280" spans="1:14" x14ac:dyDescent="0.25">
      <c r="A280" t="s">
        <v>14</v>
      </c>
      <c r="B280" t="s">
        <v>121</v>
      </c>
      <c r="C280" t="s">
        <v>261</v>
      </c>
      <c r="D280" t="s">
        <v>424</v>
      </c>
      <c r="F280" t="s">
        <v>432</v>
      </c>
      <c r="G280" t="str">
        <f>HYPERLINK("https://ca.linkedin.com/jobs/view/data-analyst-at-loft-community-services-3364383026?refId=MoPIdchn%2B5YnzWLWABF0fg%3D%3D&amp;trackingId=i%2Ff6b0ReYHLtp6uvepVVhQ%3D%3D&amp;position=4&amp;pageNum=0&amp;trk=public_jobs_jserp-result_search-card", "Job Link")</f>
        <v>Job Link</v>
      </c>
      <c r="I280" t="s">
        <v>482</v>
      </c>
      <c r="L280" t="s">
        <v>582</v>
      </c>
      <c r="M280" t="s">
        <v>588</v>
      </c>
      <c r="N280" t="s">
        <v>601</v>
      </c>
    </row>
    <row r="281" spans="1:14" x14ac:dyDescent="0.25">
      <c r="A281" t="s">
        <v>14</v>
      </c>
      <c r="B281" t="s">
        <v>122</v>
      </c>
      <c r="C281" t="s">
        <v>262</v>
      </c>
      <c r="D281" t="s">
        <v>424</v>
      </c>
      <c r="F281" t="s">
        <v>433</v>
      </c>
      <c r="G281" t="str">
        <f>HYPERLINK("https://ca.linkedin.com/jobs/view/data-analyst-at-nam-info-inc-3351590976?refId=MoPIdchn%2B5YnzWLWABF0fg%3D%3D&amp;trackingId=%2Fq65m3nZNw56DDZ2A%2Fgi3Q%3D%3D&amp;position=5&amp;pageNum=0&amp;trk=public_jobs_jserp-result_search-card", "Job Link")</f>
        <v>Job Link</v>
      </c>
      <c r="H281" t="s">
        <v>478</v>
      </c>
      <c r="I281" t="s">
        <v>483</v>
      </c>
      <c r="J281" t="s">
        <v>486</v>
      </c>
      <c r="K281" t="s">
        <v>518</v>
      </c>
      <c r="L281" t="s">
        <v>582</v>
      </c>
      <c r="M281" t="s">
        <v>588</v>
      </c>
      <c r="N281" t="s">
        <v>601</v>
      </c>
    </row>
    <row r="282" spans="1:14" x14ac:dyDescent="0.25">
      <c r="A282" t="s">
        <v>14</v>
      </c>
      <c r="B282" t="s">
        <v>123</v>
      </c>
      <c r="C282" t="s">
        <v>263</v>
      </c>
      <c r="D282" t="s">
        <v>424</v>
      </c>
      <c r="F282" t="s">
        <v>434</v>
      </c>
      <c r="G282" t="str">
        <f>HYPERLINK("https://ca.linkedin.com/jobs/view/data-analyst-at-citi-3263096865?refId=MoPIdchn%2B5YnzWLWABF0fg%3D%3D&amp;trackingId=UWKCSL6VjmX8Ye0MZNY1TA%3D%3D&amp;position=6&amp;pageNum=0&amp;trk=public_jobs_jserp-result_search-card", "Job Link")</f>
        <v>Job Link</v>
      </c>
      <c r="H282" t="s">
        <v>479</v>
      </c>
      <c r="I282" t="s">
        <v>481</v>
      </c>
      <c r="J282" t="s">
        <v>486</v>
      </c>
      <c r="K282" t="s">
        <v>519</v>
      </c>
      <c r="L282" t="s">
        <v>584</v>
      </c>
      <c r="M282" t="s">
        <v>588</v>
      </c>
      <c r="N282" t="s">
        <v>601</v>
      </c>
    </row>
    <row r="283" spans="1:14" x14ac:dyDescent="0.25">
      <c r="A283" t="s">
        <v>14</v>
      </c>
      <c r="B283" t="s">
        <v>124</v>
      </c>
      <c r="C283" t="s">
        <v>264</v>
      </c>
      <c r="D283" t="s">
        <v>424</v>
      </c>
      <c r="F283" t="s">
        <v>435</v>
      </c>
      <c r="G283" t="str">
        <f>HYPERLINK("https://ca.linkedin.com/jobs/view/data-analyst-at-king-s-college-london-3335332409?refId=MoPIdchn%2B5YnzWLWABF0fg%3D%3D&amp;trackingId=rrjSQmbYi%2B5xcSuXkQThEw%3D%3D&amp;position=7&amp;pageNum=0&amp;trk=public_jobs_jserp-result_search-card", "Job Link")</f>
        <v>Job Link</v>
      </c>
      <c r="H283" t="s">
        <v>476</v>
      </c>
      <c r="I283" t="s">
        <v>481</v>
      </c>
      <c r="J283" t="s">
        <v>486</v>
      </c>
      <c r="K283" t="s">
        <v>520</v>
      </c>
      <c r="L283" t="s">
        <v>585</v>
      </c>
      <c r="M283" t="s">
        <v>588</v>
      </c>
      <c r="N283" t="s">
        <v>601</v>
      </c>
    </row>
    <row r="284" spans="1:14" x14ac:dyDescent="0.25">
      <c r="A284" t="s">
        <v>15</v>
      </c>
      <c r="B284" t="s">
        <v>125</v>
      </c>
      <c r="C284" t="s">
        <v>265</v>
      </c>
      <c r="D284" t="s">
        <v>424</v>
      </c>
      <c r="F284" t="s">
        <v>431</v>
      </c>
      <c r="G284" t="str">
        <f>HYPERLINK("https://ca.linkedin.com/jobs/view/data-analyst-remote-at-cognizant-microsoft-business-group-3333618510?refId=MoPIdchn%2B5YnzWLWABF0fg%3D%3D&amp;trackingId=XZcbzfbj9%2B%2BgPz%2BIUdI%2FBg%3D%3D&amp;position=8&amp;pageNum=0&amp;trk=public_jobs_jserp-result_search-card", "Job Link")</f>
        <v>Job Link</v>
      </c>
      <c r="H284" t="s">
        <v>476</v>
      </c>
      <c r="I284" t="s">
        <v>481</v>
      </c>
      <c r="J284" t="s">
        <v>486</v>
      </c>
      <c r="K284" t="s">
        <v>521</v>
      </c>
      <c r="L284" t="s">
        <v>582</v>
      </c>
      <c r="M284" t="s">
        <v>588</v>
      </c>
      <c r="N284" t="s">
        <v>601</v>
      </c>
    </row>
    <row r="285" spans="1:14" x14ac:dyDescent="0.25">
      <c r="A285" t="s">
        <v>16</v>
      </c>
      <c r="B285" t="s">
        <v>126</v>
      </c>
      <c r="C285" t="s">
        <v>266</v>
      </c>
      <c r="D285" t="s">
        <v>424</v>
      </c>
      <c r="F285" t="s">
        <v>436</v>
      </c>
      <c r="G285" t="str">
        <f>HYPERLINK("https://ca.linkedin.com/jobs/view/data-analyst-loans-at-tata-consultancy-services-3344804680?refId=MoPIdchn%2B5YnzWLWABF0fg%3D%3D&amp;trackingId=ti13%2F1CKSnOwQeZ2F%2FEp0Q%3D%3D&amp;position=9&amp;pageNum=0&amp;trk=public_jobs_jserp-result_search-card", "Job Link")</f>
        <v>Job Link</v>
      </c>
      <c r="H285" t="s">
        <v>477</v>
      </c>
      <c r="I285" t="s">
        <v>481</v>
      </c>
      <c r="J285" t="s">
        <v>486</v>
      </c>
      <c r="K285" t="s">
        <v>517</v>
      </c>
      <c r="L285" t="s">
        <v>584</v>
      </c>
      <c r="M285" t="s">
        <v>588</v>
      </c>
      <c r="N285" t="s">
        <v>601</v>
      </c>
    </row>
    <row r="286" spans="1:14" x14ac:dyDescent="0.25">
      <c r="A286" t="s">
        <v>14</v>
      </c>
      <c r="B286" t="s">
        <v>127</v>
      </c>
      <c r="C286" t="s">
        <v>267</v>
      </c>
      <c r="D286" t="s">
        <v>424</v>
      </c>
      <c r="F286" t="s">
        <v>437</v>
      </c>
      <c r="G286" t="str">
        <f>HYPERLINK("https://ca.linkedin.com/jobs/view/data-analyst-at-vubiquity-3365112221?refId=MoPIdchn%2B5YnzWLWABF0fg%3D%3D&amp;trackingId=xi16ysZc5847VC04tNnoKw%3D%3D&amp;position=10&amp;pageNum=0&amp;trk=public_jobs_jserp-result_search-card", "Job Link")</f>
        <v>Job Link</v>
      </c>
      <c r="H286" t="s">
        <v>476</v>
      </c>
      <c r="I286" t="s">
        <v>481</v>
      </c>
      <c r="J286" t="s">
        <v>486</v>
      </c>
      <c r="K286" t="s">
        <v>522</v>
      </c>
      <c r="L286" t="s">
        <v>582</v>
      </c>
      <c r="M286" t="s">
        <v>588</v>
      </c>
      <c r="N286" t="s">
        <v>601</v>
      </c>
    </row>
    <row r="287" spans="1:14" x14ac:dyDescent="0.25">
      <c r="A287" t="s">
        <v>17</v>
      </c>
      <c r="B287" t="s">
        <v>123</v>
      </c>
      <c r="C287" t="s">
        <v>268</v>
      </c>
      <c r="D287" t="s">
        <v>424</v>
      </c>
      <c r="F287" t="s">
        <v>438</v>
      </c>
      <c r="G287" t="str">
        <f>HYPERLINK("https://ca.linkedin.com/jobs/view/data-analyst-developer-at-citi-3322089923?refId=MoPIdchn%2B5YnzWLWABF0fg%3D%3D&amp;trackingId=1L5I0jVcc2z%2FZYzAEIRfQg%3D%3D&amp;position=11&amp;pageNum=0&amp;trk=public_jobs_jserp-result_search-card", "Job Link")</f>
        <v>Job Link</v>
      </c>
      <c r="H287" t="s">
        <v>479</v>
      </c>
      <c r="I287" t="s">
        <v>481</v>
      </c>
      <c r="J287" t="s">
        <v>486</v>
      </c>
      <c r="K287" t="s">
        <v>519</v>
      </c>
      <c r="L287" t="s">
        <v>584</v>
      </c>
      <c r="M287" t="s">
        <v>588</v>
      </c>
      <c r="N287" t="s">
        <v>601</v>
      </c>
    </row>
    <row r="288" spans="1:14" x14ac:dyDescent="0.25">
      <c r="A288" t="s">
        <v>14</v>
      </c>
      <c r="B288" t="s">
        <v>128</v>
      </c>
      <c r="C288" t="s">
        <v>269</v>
      </c>
      <c r="D288" t="s">
        <v>424</v>
      </c>
      <c r="F288" t="s">
        <v>439</v>
      </c>
      <c r="G288" t="str">
        <f>HYPERLINK("https://ca.linkedin.com/jobs/view/data-analyst-at-diverse-lynx-3363377240?refId=MoPIdchn%2B5YnzWLWABF0fg%3D%3D&amp;trackingId=xcCS3%2F2xpLdBtUJt9yaVbg%3D%3D&amp;position=12&amp;pageNum=0&amp;trk=public_jobs_jserp-result_search-card", "Job Link")</f>
        <v>Job Link</v>
      </c>
      <c r="H288" t="s">
        <v>476</v>
      </c>
      <c r="I288" t="s">
        <v>481</v>
      </c>
      <c r="J288" t="s">
        <v>486</v>
      </c>
      <c r="K288" t="s">
        <v>516</v>
      </c>
      <c r="L288" t="s">
        <v>586</v>
      </c>
      <c r="M288" t="s">
        <v>617</v>
      </c>
      <c r="N288" t="s">
        <v>601</v>
      </c>
    </row>
    <row r="289" spans="1:14" x14ac:dyDescent="0.25">
      <c r="A289" t="s">
        <v>14</v>
      </c>
      <c r="B289" t="s">
        <v>129</v>
      </c>
      <c r="C289" t="s">
        <v>270</v>
      </c>
      <c r="D289" t="s">
        <v>424</v>
      </c>
      <c r="F289" t="s">
        <v>440</v>
      </c>
      <c r="G289" t="str">
        <f>HYPERLINK("https://ca.linkedin.com/jobs/view/data-analyst-at-agricorp-3364433441?refId=MoPIdchn%2B5YnzWLWABF0fg%3D%3D&amp;trackingId=Rbjmu1Hbdz%2Fc20sq0FdGwg%3D%3D&amp;position=13&amp;pageNum=0&amp;trk=public_jobs_jserp-result_search-card", "Job Link")</f>
        <v>Job Link</v>
      </c>
      <c r="H289" t="s">
        <v>476</v>
      </c>
      <c r="I289" t="s">
        <v>481</v>
      </c>
      <c r="J289" t="s">
        <v>486</v>
      </c>
      <c r="K289" t="s">
        <v>523</v>
      </c>
      <c r="L289" t="s">
        <v>587</v>
      </c>
      <c r="M289" t="s">
        <v>588</v>
      </c>
      <c r="N289" t="s">
        <v>601</v>
      </c>
    </row>
    <row r="290" spans="1:14" x14ac:dyDescent="0.25">
      <c r="A290" t="s">
        <v>18</v>
      </c>
      <c r="B290" t="s">
        <v>130</v>
      </c>
      <c r="C290" t="s">
        <v>271</v>
      </c>
      <c r="D290" t="s">
        <v>424</v>
      </c>
      <c r="F290" t="s">
        <v>441</v>
      </c>
      <c r="G290" t="str">
        <f>HYPERLINK("https://ca.linkedin.com/jobs/view/junior-data-analyst-mississauga-on-at-arjo-3323264354?refId=MoPIdchn%2B5YnzWLWABF0fg%3D%3D&amp;trackingId=S0oVHQmhXX%2BZAyjMtw2EDQ%3D%3D&amp;position=14&amp;pageNum=0&amp;trk=public_jobs_jserp-result_search-card", "Job Link")</f>
        <v>Job Link</v>
      </c>
      <c r="H290" t="s">
        <v>479</v>
      </c>
      <c r="I290" t="s">
        <v>481</v>
      </c>
      <c r="J290" t="s">
        <v>486</v>
      </c>
      <c r="K290" t="s">
        <v>524</v>
      </c>
      <c r="L290" t="s">
        <v>588</v>
      </c>
      <c r="M290" t="s">
        <v>601</v>
      </c>
    </row>
    <row r="291" spans="1:14" x14ac:dyDescent="0.25">
      <c r="A291" t="s">
        <v>14</v>
      </c>
      <c r="B291" t="s">
        <v>131</v>
      </c>
      <c r="C291" t="s">
        <v>272</v>
      </c>
      <c r="D291" t="s">
        <v>424</v>
      </c>
      <c r="F291" t="s">
        <v>442</v>
      </c>
      <c r="G291" t="str">
        <f>HYPERLINK("https://ca.linkedin.com/jobs/view/data-analyst-at-westland-insurance-group-ltd-3345807760?refId=MoPIdchn%2B5YnzWLWABF0fg%3D%3D&amp;trackingId=jtqecsr%2BUWc%2BQfCYXlpjCA%3D%3D&amp;position=15&amp;pageNum=0&amp;trk=public_jobs_jserp-result_search-card", "Job Link")</f>
        <v>Job Link</v>
      </c>
      <c r="H291" t="s">
        <v>476</v>
      </c>
      <c r="I291" t="s">
        <v>481</v>
      </c>
      <c r="J291" t="s">
        <v>486</v>
      </c>
      <c r="K291" t="s">
        <v>525</v>
      </c>
      <c r="L291" t="s">
        <v>589</v>
      </c>
      <c r="M291" t="s">
        <v>618</v>
      </c>
      <c r="N291" t="s">
        <v>601</v>
      </c>
    </row>
    <row r="292" spans="1:14" x14ac:dyDescent="0.25">
      <c r="A292" t="s">
        <v>14</v>
      </c>
      <c r="B292" t="s">
        <v>132</v>
      </c>
      <c r="C292" t="s">
        <v>273</v>
      </c>
      <c r="D292" t="s">
        <v>424</v>
      </c>
      <c r="F292" t="s">
        <v>443</v>
      </c>
      <c r="G292" t="str">
        <f>HYPERLINK("https://ca.linkedin.com/jobs/view/data-analyst-at-fasken-3365947704?refId=MoPIdchn%2B5YnzWLWABF0fg%3D%3D&amp;trackingId=2bWi2GlTuNKMtQmaCL2qcA%3D%3D&amp;position=16&amp;pageNum=0&amp;trk=public_jobs_jserp-result_search-card", "Job Link")</f>
        <v>Job Link</v>
      </c>
      <c r="H292" t="s">
        <v>476</v>
      </c>
      <c r="I292" t="s">
        <v>481</v>
      </c>
      <c r="J292" t="s">
        <v>486</v>
      </c>
      <c r="K292" t="s">
        <v>526</v>
      </c>
      <c r="L292" t="s">
        <v>590</v>
      </c>
      <c r="M292" t="s">
        <v>618</v>
      </c>
      <c r="N292" t="s">
        <v>601</v>
      </c>
    </row>
    <row r="293" spans="1:14" x14ac:dyDescent="0.25">
      <c r="A293" t="s">
        <v>14</v>
      </c>
      <c r="B293" t="s">
        <v>133</v>
      </c>
      <c r="C293" t="s">
        <v>274</v>
      </c>
      <c r="D293" t="s">
        <v>424</v>
      </c>
      <c r="F293" t="s">
        <v>434</v>
      </c>
      <c r="G293" t="str">
        <f>HYPERLINK("https://ca.linkedin.com/jobs/view/data-analyst-at-momentum-financial-services-group-3355811523?refId=MoPIdchn%2B5YnzWLWABF0fg%3D%3D&amp;trackingId=QhybwX3lGMFUvT2rPjxrsg%3D%3D&amp;position=17&amp;pageNum=0&amp;trk=public_jobs_jserp-result_search-card", "Job Link")</f>
        <v>Job Link</v>
      </c>
      <c r="H293" t="s">
        <v>476</v>
      </c>
      <c r="I293" t="s">
        <v>481</v>
      </c>
      <c r="J293" t="s">
        <v>486</v>
      </c>
      <c r="K293" t="s">
        <v>527</v>
      </c>
      <c r="L293" t="s">
        <v>582</v>
      </c>
      <c r="M293" t="s">
        <v>588</v>
      </c>
      <c r="N293" t="s">
        <v>601</v>
      </c>
    </row>
    <row r="294" spans="1:14" x14ac:dyDescent="0.25">
      <c r="A294" t="s">
        <v>14</v>
      </c>
      <c r="B294" t="s">
        <v>134</v>
      </c>
      <c r="C294" t="s">
        <v>275</v>
      </c>
      <c r="D294" t="s">
        <v>424</v>
      </c>
      <c r="F294" t="s">
        <v>444</v>
      </c>
      <c r="G294" t="str">
        <f>HYPERLINK("https://ca.linkedin.com/jobs/view/data-analyst-at-tes-the-employment-solution-3322589522?refId=MoPIdchn%2B5YnzWLWABF0fg%3D%3D&amp;trackingId=EqUE%2BCgFAglXvQosA5WGkQ%3D%3D&amp;position=18&amp;pageNum=0&amp;trk=public_jobs_jserp-result_search-card", "Job Link")</f>
        <v>Job Link</v>
      </c>
      <c r="H294" t="s">
        <v>476</v>
      </c>
      <c r="I294" t="s">
        <v>483</v>
      </c>
      <c r="J294" t="s">
        <v>486</v>
      </c>
      <c r="K294" t="s">
        <v>525</v>
      </c>
      <c r="L294" t="s">
        <v>591</v>
      </c>
      <c r="M294" t="s">
        <v>588</v>
      </c>
      <c r="N294" t="s">
        <v>601</v>
      </c>
    </row>
    <row r="295" spans="1:14" x14ac:dyDescent="0.25">
      <c r="A295" t="s">
        <v>14</v>
      </c>
      <c r="B295" t="s">
        <v>135</v>
      </c>
      <c r="C295" t="s">
        <v>276</v>
      </c>
      <c r="D295" t="s">
        <v>424</v>
      </c>
      <c r="F295" t="s">
        <v>440</v>
      </c>
      <c r="G295" t="str">
        <f>HYPERLINK("https://ca.linkedin.com/jobs/view/data-analyst-at-magna-international-3370822450?refId=MoPIdchn%2B5YnzWLWABF0fg%3D%3D&amp;trackingId=Giutkm1mh1n3qAgyK1P%2Bow%3D%3D&amp;position=19&amp;pageNum=0&amp;trk=public_jobs_jserp-result_search-card", "Job Link")</f>
        <v>Job Link</v>
      </c>
      <c r="H295" t="s">
        <v>476</v>
      </c>
      <c r="I295" t="s">
        <v>481</v>
      </c>
      <c r="J295" t="s">
        <v>488</v>
      </c>
      <c r="K295" t="s">
        <v>528</v>
      </c>
      <c r="L295" t="s">
        <v>592</v>
      </c>
      <c r="M295" t="s">
        <v>588</v>
      </c>
      <c r="N295" t="s">
        <v>601</v>
      </c>
    </row>
    <row r="296" spans="1:14" x14ac:dyDescent="0.25">
      <c r="A296" t="s">
        <v>14</v>
      </c>
      <c r="B296" t="s">
        <v>128</v>
      </c>
      <c r="C296" t="s">
        <v>277</v>
      </c>
      <c r="D296" t="s">
        <v>424</v>
      </c>
      <c r="F296" t="s">
        <v>439</v>
      </c>
      <c r="G296" t="str">
        <f>HYPERLINK("https://ca.linkedin.com/jobs/view/data-analyst-at-diverse-lynx-3363374746?refId=MoPIdchn%2B5YnzWLWABF0fg%3D%3D&amp;trackingId=QieRgmKaimOW%2F5qW5l5IJg%3D%3D&amp;position=20&amp;pageNum=0&amp;trk=public_jobs_jserp-result_search-card", "Job Link")</f>
        <v>Job Link</v>
      </c>
      <c r="H296" t="s">
        <v>476</v>
      </c>
      <c r="I296" t="s">
        <v>481</v>
      </c>
      <c r="J296" t="s">
        <v>486</v>
      </c>
      <c r="K296" t="s">
        <v>516</v>
      </c>
      <c r="L296" t="s">
        <v>586</v>
      </c>
      <c r="M296" t="s">
        <v>617</v>
      </c>
      <c r="N296" t="s">
        <v>601</v>
      </c>
    </row>
    <row r="297" spans="1:14" x14ac:dyDescent="0.25">
      <c r="A297" t="s">
        <v>19</v>
      </c>
      <c r="B297" t="s">
        <v>136</v>
      </c>
      <c r="C297" t="s">
        <v>278</v>
      </c>
      <c r="D297" t="s">
        <v>424</v>
      </c>
      <c r="F297" t="s">
        <v>445</v>
      </c>
      <c r="G297" t="str">
        <f>HYPERLINK("https://ca.linkedin.com/jobs/view/data-analyst-operations-at-sonder-inc-3229442908?refId=MoPIdchn%2B5YnzWLWABF0fg%3D%3D&amp;trackingId=zhY3W2Fu%2Blh%2Flg92%2B8N0gg%3D%3D&amp;position=21&amp;pageNum=0&amp;trk=public_jobs_jserp-result_search-card", "Job Link")</f>
        <v>Job Link</v>
      </c>
      <c r="H297" t="s">
        <v>476</v>
      </c>
      <c r="I297" t="s">
        <v>481</v>
      </c>
      <c r="J297" t="s">
        <v>486</v>
      </c>
      <c r="K297" t="s">
        <v>529</v>
      </c>
      <c r="L297" t="s">
        <v>582</v>
      </c>
      <c r="M297" t="s">
        <v>588</v>
      </c>
      <c r="N297" t="s">
        <v>601</v>
      </c>
    </row>
    <row r="298" spans="1:14" x14ac:dyDescent="0.25">
      <c r="A298" t="s">
        <v>20</v>
      </c>
      <c r="B298" t="s">
        <v>137</v>
      </c>
      <c r="C298" t="s">
        <v>279</v>
      </c>
      <c r="D298" t="s">
        <v>424</v>
      </c>
      <c r="F298" t="s">
        <v>446</v>
      </c>
      <c r="G298" t="str">
        <f>HYPERLINK("https://ca.linkedin.com/jobs/view/senior-data-analyst-at-mueller-water-products-3122544636?refId=MoPIdchn%2B5YnzWLWABF0fg%3D%3D&amp;trackingId=F3Q5ECLyTFttBsDBPDckug%3D%3D&amp;position=22&amp;pageNum=0&amp;trk=public_jobs_jserp-result_search-card", "Job Link")</f>
        <v>Job Link</v>
      </c>
      <c r="H298" t="s">
        <v>478</v>
      </c>
      <c r="I298" t="s">
        <v>481</v>
      </c>
      <c r="J298" t="s">
        <v>486</v>
      </c>
      <c r="K298" t="s">
        <v>530</v>
      </c>
      <c r="L298" t="s">
        <v>582</v>
      </c>
      <c r="M298" t="s">
        <v>588</v>
      </c>
      <c r="N298" t="s">
        <v>601</v>
      </c>
    </row>
    <row r="299" spans="1:14" x14ac:dyDescent="0.25">
      <c r="A299" t="s">
        <v>21</v>
      </c>
      <c r="B299" t="s">
        <v>138</v>
      </c>
      <c r="C299" t="s">
        <v>280</v>
      </c>
      <c r="D299" t="s">
        <v>424</v>
      </c>
      <c r="F299" t="s">
        <v>447</v>
      </c>
      <c r="G299" t="str">
        <f>HYPERLINK("https://ca.linkedin.com/jobs/view/data-entry-jr-analyst-6-month-contract-at-csl-group-ltd-3323214993?refId=MoPIdchn%2B5YnzWLWABF0fg%3D%3D&amp;trackingId=N7H3QqmHNzincPsPf23Vxg%3D%3D&amp;position=23&amp;pageNum=0&amp;trk=public_jobs_jserp-result_search-card", "Job Link")</f>
        <v>Job Link</v>
      </c>
      <c r="H299" t="s">
        <v>476</v>
      </c>
      <c r="I299" t="s">
        <v>484</v>
      </c>
      <c r="J299" t="s">
        <v>489</v>
      </c>
      <c r="K299" t="s">
        <v>531</v>
      </c>
      <c r="L299" t="s">
        <v>593</v>
      </c>
      <c r="M299" t="s">
        <v>588</v>
      </c>
      <c r="N299" t="s">
        <v>601</v>
      </c>
    </row>
    <row r="300" spans="1:14" x14ac:dyDescent="0.25">
      <c r="A300" t="s">
        <v>22</v>
      </c>
      <c r="B300" t="s">
        <v>139</v>
      </c>
      <c r="C300" t="s">
        <v>281</v>
      </c>
      <c r="D300" t="s">
        <v>424</v>
      </c>
      <c r="F300" t="s">
        <v>435</v>
      </c>
      <c r="G300" t="str">
        <f>HYPERLINK("https://ca.linkedin.com/jobs/view/quality-data-analyst-at-lululemon-3341634874?refId=MoPIdchn%2B5YnzWLWABF0fg%3D%3D&amp;trackingId=pbXstxtPyOSauUnOnWzl0A%3D%3D&amp;position=24&amp;pageNum=0&amp;trk=public_jobs_jserp-result_search-card", "Job Link")</f>
        <v>Job Link</v>
      </c>
      <c r="H300" t="s">
        <v>476</v>
      </c>
      <c r="I300" t="s">
        <v>481</v>
      </c>
      <c r="J300" t="s">
        <v>486</v>
      </c>
      <c r="K300" t="s">
        <v>532</v>
      </c>
      <c r="L300" t="s">
        <v>590</v>
      </c>
      <c r="M300" t="s">
        <v>618</v>
      </c>
      <c r="N300" t="s">
        <v>601</v>
      </c>
    </row>
    <row r="301" spans="1:14" x14ac:dyDescent="0.25">
      <c r="A301" t="s">
        <v>14</v>
      </c>
      <c r="B301" t="s">
        <v>140</v>
      </c>
      <c r="C301" t="s">
        <v>282</v>
      </c>
      <c r="D301" t="s">
        <v>424</v>
      </c>
      <c r="F301" t="s">
        <v>440</v>
      </c>
      <c r="G301" t="str">
        <f>HYPERLINK("https://ca.linkedin.com/jobs/view/data-analyst-at-scotiabank-3365406993?refId=MoPIdchn%2B5YnzWLWABF0fg%3D%3D&amp;trackingId=aW3E0uoZAXjOvvst1e0OIw%3D%3D&amp;position=25&amp;pageNum=0&amp;trk=public_jobs_jserp-result_search-card", "Job Link")</f>
        <v>Job Link</v>
      </c>
      <c r="H301" t="s">
        <v>479</v>
      </c>
      <c r="I301" t="s">
        <v>481</v>
      </c>
      <c r="J301" t="s">
        <v>486</v>
      </c>
      <c r="K301" t="s">
        <v>533</v>
      </c>
      <c r="L301" t="s">
        <v>582</v>
      </c>
      <c r="M301" t="s">
        <v>588</v>
      </c>
      <c r="N301" t="s">
        <v>601</v>
      </c>
    </row>
    <row r="302" spans="1:14" x14ac:dyDescent="0.25">
      <c r="A302" t="s">
        <v>14</v>
      </c>
      <c r="B302" t="s">
        <v>118</v>
      </c>
      <c r="C302" t="s">
        <v>258</v>
      </c>
      <c r="D302" t="s">
        <v>424</v>
      </c>
      <c r="F302" t="s">
        <v>430</v>
      </c>
      <c r="G302" t="str">
        <f>HYPERLINK("https://ca.linkedin.com/jobs/view/data-analyst-at-axonify-3324670516?refId=B6ZuxHRdrHtLA2j%2FN0wu4g%3D%3D&amp;trackingId=whhaSbd1x6HkhThJwoYkEw%3D%3D&amp;position=1&amp;pageNum=0&amp;trk=public_jobs_jserp-result_search-card", "Job Link")</f>
        <v>Job Link</v>
      </c>
      <c r="H302" t="s">
        <v>476</v>
      </c>
      <c r="I302" t="s">
        <v>481</v>
      </c>
      <c r="J302" t="s">
        <v>486</v>
      </c>
      <c r="K302" t="s">
        <v>516</v>
      </c>
      <c r="L302" t="s">
        <v>581</v>
      </c>
      <c r="M302" t="s">
        <v>588</v>
      </c>
      <c r="N302" t="s">
        <v>601</v>
      </c>
    </row>
    <row r="303" spans="1:14" x14ac:dyDescent="0.25">
      <c r="A303" t="s">
        <v>14</v>
      </c>
      <c r="B303" t="s">
        <v>119</v>
      </c>
      <c r="C303" t="s">
        <v>259</v>
      </c>
      <c r="D303" t="s">
        <v>424</v>
      </c>
      <c r="F303" t="s">
        <v>431</v>
      </c>
      <c r="G303" t="str">
        <f>HYPERLINK("https://ca.linkedin.com/jobs/view/data-analyst-at-b3-systems-3361794123?refId=B6ZuxHRdrHtLA2j%2FN0wu4g%3D%3D&amp;trackingId=9FnY1odWGlwxrNTceI9czA%3D%3D&amp;position=2&amp;pageNum=0&amp;trk=public_jobs_jserp-result_search-card", "Job Link")</f>
        <v>Job Link</v>
      </c>
      <c r="I303" t="s">
        <v>481</v>
      </c>
      <c r="L303" t="s">
        <v>582</v>
      </c>
      <c r="M303" t="s">
        <v>588</v>
      </c>
      <c r="N303" t="s">
        <v>601</v>
      </c>
    </row>
    <row r="304" spans="1:14" x14ac:dyDescent="0.25">
      <c r="A304" t="s">
        <v>14</v>
      </c>
      <c r="B304" t="s">
        <v>120</v>
      </c>
      <c r="C304" t="s">
        <v>260</v>
      </c>
      <c r="D304" t="s">
        <v>424</v>
      </c>
      <c r="F304" t="s">
        <v>431</v>
      </c>
      <c r="G304" t="str">
        <f>HYPERLINK("https://ca.linkedin.com/jobs/view/data-analyst-at-wood-mackenzie-3271782079?refId=B6ZuxHRdrHtLA2j%2FN0wu4g%3D%3D&amp;trackingId=rKbqjDOkd1pdiGzXRlnFGA%3D%3D&amp;position=3&amp;pageNum=0&amp;trk=public_jobs_jserp-result_search-card", "Job Link")</f>
        <v>Job Link</v>
      </c>
      <c r="H304" t="s">
        <v>477</v>
      </c>
      <c r="I304" t="s">
        <v>481</v>
      </c>
      <c r="J304" t="s">
        <v>487</v>
      </c>
      <c r="K304" t="s">
        <v>517</v>
      </c>
      <c r="L304" t="s">
        <v>583</v>
      </c>
      <c r="M304" t="s">
        <v>610</v>
      </c>
      <c r="N304" t="s">
        <v>601</v>
      </c>
    </row>
    <row r="305" spans="1:14" x14ac:dyDescent="0.25">
      <c r="A305" t="s">
        <v>14</v>
      </c>
      <c r="B305" t="s">
        <v>122</v>
      </c>
      <c r="C305" t="s">
        <v>262</v>
      </c>
      <c r="D305" t="s">
        <v>424</v>
      </c>
      <c r="F305" t="s">
        <v>433</v>
      </c>
      <c r="G305" t="str">
        <f>HYPERLINK("https://ca.linkedin.com/jobs/view/data-analyst-at-nam-info-inc-3351590976?refId=B6ZuxHRdrHtLA2j%2FN0wu4g%3D%3D&amp;trackingId=%2BatOMPGyE1ZexKWuEZa1mA%3D%3D&amp;position=4&amp;pageNum=0&amp;trk=public_jobs_jserp-result_search-card", "Job Link")</f>
        <v>Job Link</v>
      </c>
      <c r="H305" t="s">
        <v>478</v>
      </c>
      <c r="I305" t="s">
        <v>483</v>
      </c>
      <c r="J305" t="s">
        <v>486</v>
      </c>
      <c r="K305" t="s">
        <v>518</v>
      </c>
      <c r="L305" t="s">
        <v>582</v>
      </c>
      <c r="M305" t="s">
        <v>588</v>
      </c>
      <c r="N305" t="s">
        <v>601</v>
      </c>
    </row>
    <row r="306" spans="1:14" x14ac:dyDescent="0.25">
      <c r="A306" t="s">
        <v>14</v>
      </c>
      <c r="B306" t="s">
        <v>123</v>
      </c>
      <c r="C306" t="s">
        <v>263</v>
      </c>
      <c r="D306" t="s">
        <v>424</v>
      </c>
      <c r="F306" t="s">
        <v>434</v>
      </c>
      <c r="G306" t="str">
        <f>HYPERLINK("https://ca.linkedin.com/jobs/view/data-analyst-at-citi-3263096865?refId=B6ZuxHRdrHtLA2j%2FN0wu4g%3D%3D&amp;trackingId=qmO1J9pt82lKlUd%2BPQLNrQ%3D%3D&amp;position=5&amp;pageNum=0&amp;trk=public_jobs_jserp-result_search-card", "Job Link")</f>
        <v>Job Link</v>
      </c>
      <c r="H306" t="s">
        <v>479</v>
      </c>
      <c r="I306" t="s">
        <v>481</v>
      </c>
      <c r="J306" t="s">
        <v>486</v>
      </c>
      <c r="K306" t="s">
        <v>519</v>
      </c>
      <c r="L306" t="s">
        <v>584</v>
      </c>
      <c r="M306" t="s">
        <v>588</v>
      </c>
      <c r="N306" t="s">
        <v>601</v>
      </c>
    </row>
    <row r="307" spans="1:14" x14ac:dyDescent="0.25">
      <c r="A307" t="s">
        <v>14</v>
      </c>
      <c r="B307" t="s">
        <v>121</v>
      </c>
      <c r="C307" t="s">
        <v>261</v>
      </c>
      <c r="D307" t="s">
        <v>424</v>
      </c>
      <c r="F307" t="s">
        <v>432</v>
      </c>
      <c r="G307" t="str">
        <f>HYPERLINK("https://ca.linkedin.com/jobs/view/data-analyst-at-loft-community-services-3364383026?refId=B6ZuxHRdrHtLA2j%2FN0wu4g%3D%3D&amp;trackingId=oOKDRAJPaA%2FR15nPsjHkzg%3D%3D&amp;position=6&amp;pageNum=0&amp;trk=public_jobs_jserp-result_search-card", "Job Link")</f>
        <v>Job Link</v>
      </c>
      <c r="I307" t="s">
        <v>482</v>
      </c>
      <c r="L307" t="s">
        <v>582</v>
      </c>
      <c r="M307" t="s">
        <v>588</v>
      </c>
      <c r="N307" t="s">
        <v>601</v>
      </c>
    </row>
    <row r="308" spans="1:14" x14ac:dyDescent="0.25">
      <c r="A308" t="s">
        <v>14</v>
      </c>
      <c r="B308" t="s">
        <v>124</v>
      </c>
      <c r="C308" t="s">
        <v>264</v>
      </c>
      <c r="D308" t="s">
        <v>424</v>
      </c>
      <c r="F308" t="s">
        <v>435</v>
      </c>
      <c r="G308" t="str">
        <f>HYPERLINK("https://ca.linkedin.com/jobs/view/data-analyst-at-king-s-college-london-3335332409?refId=B6ZuxHRdrHtLA2j%2FN0wu4g%3D%3D&amp;trackingId=yLjgk8DO8nnK6CNqeuoh8Q%3D%3D&amp;position=7&amp;pageNum=0&amp;trk=public_jobs_jserp-result_search-card", "Job Link")</f>
        <v>Job Link</v>
      </c>
      <c r="H308" t="s">
        <v>476</v>
      </c>
      <c r="I308" t="s">
        <v>481</v>
      </c>
      <c r="J308" t="s">
        <v>486</v>
      </c>
      <c r="K308" t="s">
        <v>520</v>
      </c>
      <c r="L308" t="s">
        <v>585</v>
      </c>
      <c r="M308" t="s">
        <v>588</v>
      </c>
      <c r="N308" t="s">
        <v>601</v>
      </c>
    </row>
    <row r="309" spans="1:14" x14ac:dyDescent="0.25">
      <c r="A309" t="s">
        <v>15</v>
      </c>
      <c r="B309" t="s">
        <v>125</v>
      </c>
      <c r="C309" t="s">
        <v>265</v>
      </c>
      <c r="D309" t="s">
        <v>424</v>
      </c>
      <c r="F309" t="s">
        <v>431</v>
      </c>
      <c r="G309" t="str">
        <f>HYPERLINK("https://ca.linkedin.com/jobs/view/data-analyst-remote-at-cognizant-microsoft-business-group-3333618510?refId=B6ZuxHRdrHtLA2j%2FN0wu4g%3D%3D&amp;trackingId=tLuzmTZhA7YITHB6H8ePaA%3D%3D&amp;position=8&amp;pageNum=0&amp;trk=public_jobs_jserp-result_search-card", "Job Link")</f>
        <v>Job Link</v>
      </c>
      <c r="H309" t="s">
        <v>476</v>
      </c>
      <c r="I309" t="s">
        <v>481</v>
      </c>
      <c r="J309" t="s">
        <v>486</v>
      </c>
      <c r="K309" t="s">
        <v>521</v>
      </c>
      <c r="L309" t="s">
        <v>582</v>
      </c>
      <c r="M309" t="s">
        <v>588</v>
      </c>
      <c r="N309" t="s">
        <v>601</v>
      </c>
    </row>
    <row r="310" spans="1:14" x14ac:dyDescent="0.25">
      <c r="A310" t="s">
        <v>16</v>
      </c>
      <c r="B310" t="s">
        <v>126</v>
      </c>
      <c r="C310" t="s">
        <v>266</v>
      </c>
      <c r="D310" t="s">
        <v>424</v>
      </c>
      <c r="F310" t="s">
        <v>436</v>
      </c>
      <c r="G310" t="str">
        <f>HYPERLINK("https://ca.linkedin.com/jobs/view/data-analyst-loans-at-tata-consultancy-services-3344804680?refId=B6ZuxHRdrHtLA2j%2FN0wu4g%3D%3D&amp;trackingId=mGVmQPUET7nkOJEBumEzow%3D%3D&amp;position=9&amp;pageNum=0&amp;trk=public_jobs_jserp-result_search-card", "Job Link")</f>
        <v>Job Link</v>
      </c>
      <c r="H310" t="s">
        <v>477</v>
      </c>
      <c r="I310" t="s">
        <v>481</v>
      </c>
      <c r="J310" t="s">
        <v>486</v>
      </c>
      <c r="K310" t="s">
        <v>517</v>
      </c>
      <c r="L310" t="s">
        <v>584</v>
      </c>
      <c r="M310" t="s">
        <v>588</v>
      </c>
      <c r="N310" t="s">
        <v>601</v>
      </c>
    </row>
    <row r="311" spans="1:14" x14ac:dyDescent="0.25">
      <c r="A311" t="s">
        <v>17</v>
      </c>
      <c r="B311" t="s">
        <v>123</v>
      </c>
      <c r="C311" t="s">
        <v>268</v>
      </c>
      <c r="D311" t="s">
        <v>424</v>
      </c>
      <c r="F311" t="s">
        <v>438</v>
      </c>
      <c r="G311" t="str">
        <f>HYPERLINK("https://ca.linkedin.com/jobs/view/data-analyst-developer-at-citi-3322089923?refId=B6ZuxHRdrHtLA2j%2FN0wu4g%3D%3D&amp;trackingId=HXtgaDQOfWbMtKzunQMAxw%3D%3D&amp;position=10&amp;pageNum=0&amp;trk=public_jobs_jserp-result_search-card", "Job Link")</f>
        <v>Job Link</v>
      </c>
      <c r="H311" t="s">
        <v>479</v>
      </c>
      <c r="I311" t="s">
        <v>481</v>
      </c>
      <c r="J311" t="s">
        <v>486</v>
      </c>
      <c r="K311" t="s">
        <v>519</v>
      </c>
      <c r="L311" t="s">
        <v>584</v>
      </c>
      <c r="M311" t="s">
        <v>588</v>
      </c>
      <c r="N311" t="s">
        <v>601</v>
      </c>
    </row>
    <row r="312" spans="1:14" x14ac:dyDescent="0.25">
      <c r="A312" t="s">
        <v>14</v>
      </c>
      <c r="B312" t="s">
        <v>128</v>
      </c>
      <c r="C312" t="s">
        <v>269</v>
      </c>
      <c r="D312" t="s">
        <v>424</v>
      </c>
      <c r="F312" t="s">
        <v>439</v>
      </c>
      <c r="G312" t="str">
        <f>HYPERLINK("https://ca.linkedin.com/jobs/view/data-analyst-at-diverse-lynx-3363377240?refId=B6ZuxHRdrHtLA2j%2FN0wu4g%3D%3D&amp;trackingId=ofsbAuL8oGQdH6JlUnPPww%3D%3D&amp;position=11&amp;pageNum=0&amp;trk=public_jobs_jserp-result_search-card", "Job Link")</f>
        <v>Job Link</v>
      </c>
      <c r="H312" t="s">
        <v>476</v>
      </c>
      <c r="I312" t="s">
        <v>481</v>
      </c>
      <c r="J312" t="s">
        <v>486</v>
      </c>
      <c r="K312" t="s">
        <v>516</v>
      </c>
      <c r="L312" t="s">
        <v>586</v>
      </c>
      <c r="M312" t="s">
        <v>617</v>
      </c>
      <c r="N312" t="s">
        <v>601</v>
      </c>
    </row>
    <row r="313" spans="1:14" x14ac:dyDescent="0.25">
      <c r="A313" t="s">
        <v>14</v>
      </c>
      <c r="B313" t="s">
        <v>129</v>
      </c>
      <c r="C313" t="s">
        <v>270</v>
      </c>
      <c r="D313" t="s">
        <v>424</v>
      </c>
      <c r="F313" t="s">
        <v>440</v>
      </c>
      <c r="G313" t="str">
        <f>HYPERLINK("https://ca.linkedin.com/jobs/view/data-analyst-at-agricorp-3364433441?refId=B6ZuxHRdrHtLA2j%2FN0wu4g%3D%3D&amp;trackingId=WHGVIm5rBNhRhqfrNafzrQ%3D%3D&amp;position=12&amp;pageNum=0&amp;trk=public_jobs_jserp-result_search-card", "Job Link")</f>
        <v>Job Link</v>
      </c>
      <c r="H313" t="s">
        <v>476</v>
      </c>
      <c r="I313" t="s">
        <v>481</v>
      </c>
      <c r="J313" t="s">
        <v>486</v>
      </c>
      <c r="K313" t="s">
        <v>523</v>
      </c>
      <c r="L313" t="s">
        <v>587</v>
      </c>
      <c r="M313" t="s">
        <v>588</v>
      </c>
      <c r="N313" t="s">
        <v>601</v>
      </c>
    </row>
    <row r="314" spans="1:14" x14ac:dyDescent="0.25">
      <c r="A314" t="s">
        <v>14</v>
      </c>
      <c r="B314" t="s">
        <v>128</v>
      </c>
      <c r="C314" t="s">
        <v>277</v>
      </c>
      <c r="D314" t="s">
        <v>424</v>
      </c>
      <c r="F314" t="s">
        <v>439</v>
      </c>
      <c r="G314" t="str">
        <f>HYPERLINK("https://ca.linkedin.com/jobs/view/data-analyst-at-diverse-lynx-3363374746?refId=B6ZuxHRdrHtLA2j%2FN0wu4g%3D%3D&amp;trackingId=S5Hh1SqsxKmPbwzIzKzPbg%3D%3D&amp;position=13&amp;pageNum=0&amp;trk=public_jobs_jserp-result_search-card", "Job Link")</f>
        <v>Job Link</v>
      </c>
      <c r="H314" t="s">
        <v>476</v>
      </c>
      <c r="I314" t="s">
        <v>481</v>
      </c>
      <c r="J314" t="s">
        <v>486</v>
      </c>
      <c r="K314" t="s">
        <v>516</v>
      </c>
      <c r="L314" t="s">
        <v>586</v>
      </c>
      <c r="M314" t="s">
        <v>617</v>
      </c>
      <c r="N314" t="s">
        <v>601</v>
      </c>
    </row>
    <row r="315" spans="1:14" x14ac:dyDescent="0.25">
      <c r="A315" t="s">
        <v>18</v>
      </c>
      <c r="B315" t="s">
        <v>130</v>
      </c>
      <c r="C315" t="s">
        <v>271</v>
      </c>
      <c r="D315" t="s">
        <v>424</v>
      </c>
      <c r="F315" t="s">
        <v>441</v>
      </c>
      <c r="G315" t="str">
        <f>HYPERLINK("https://ca.linkedin.com/jobs/view/junior-data-analyst-mississauga-on-at-arjo-3323264354?refId=B6ZuxHRdrHtLA2j%2FN0wu4g%3D%3D&amp;trackingId=nvILcPVu%2BvR91KLec%2FPj3Q%3D%3D&amp;position=14&amp;pageNum=0&amp;trk=public_jobs_jserp-result_search-card", "Job Link")</f>
        <v>Job Link</v>
      </c>
      <c r="H315" t="s">
        <v>479</v>
      </c>
      <c r="I315" t="s">
        <v>481</v>
      </c>
      <c r="J315" t="s">
        <v>486</v>
      </c>
      <c r="K315" t="s">
        <v>524</v>
      </c>
      <c r="L315" t="s">
        <v>588</v>
      </c>
      <c r="M315" t="s">
        <v>601</v>
      </c>
    </row>
    <row r="316" spans="1:14" x14ac:dyDescent="0.25">
      <c r="A316" t="s">
        <v>14</v>
      </c>
      <c r="B316" t="s">
        <v>127</v>
      </c>
      <c r="C316" t="s">
        <v>267</v>
      </c>
      <c r="D316" t="s">
        <v>424</v>
      </c>
      <c r="F316" t="s">
        <v>437</v>
      </c>
      <c r="G316" t="str">
        <f>HYPERLINK("https://ca.linkedin.com/jobs/view/data-analyst-at-vubiquity-3365112221?refId=B6ZuxHRdrHtLA2j%2FN0wu4g%3D%3D&amp;trackingId=gTFurQn1C7jchDuPC0bgpg%3D%3D&amp;position=15&amp;pageNum=0&amp;trk=public_jobs_jserp-result_search-card", "Job Link")</f>
        <v>Job Link</v>
      </c>
      <c r="H316" t="s">
        <v>476</v>
      </c>
      <c r="I316" t="s">
        <v>481</v>
      </c>
      <c r="J316" t="s">
        <v>486</v>
      </c>
      <c r="K316" t="s">
        <v>522</v>
      </c>
      <c r="L316" t="s">
        <v>582</v>
      </c>
      <c r="M316" t="s">
        <v>588</v>
      </c>
      <c r="N316" t="s">
        <v>601</v>
      </c>
    </row>
    <row r="317" spans="1:14" x14ac:dyDescent="0.25">
      <c r="A317" t="s">
        <v>14</v>
      </c>
      <c r="B317" t="s">
        <v>135</v>
      </c>
      <c r="C317" t="s">
        <v>276</v>
      </c>
      <c r="D317" t="s">
        <v>424</v>
      </c>
      <c r="F317" t="s">
        <v>440</v>
      </c>
      <c r="G317" t="str">
        <f>HYPERLINK("https://ca.linkedin.com/jobs/view/data-analyst-at-magna-international-3370822450?refId=B6ZuxHRdrHtLA2j%2FN0wu4g%3D%3D&amp;trackingId=CUiTk6UccCOCs9%2BXhACDAg%3D%3D&amp;position=16&amp;pageNum=0&amp;trk=public_jobs_jserp-result_search-card", "Job Link")</f>
        <v>Job Link</v>
      </c>
      <c r="H317" t="s">
        <v>476</v>
      </c>
      <c r="I317" t="s">
        <v>481</v>
      </c>
      <c r="J317" t="s">
        <v>488</v>
      </c>
      <c r="K317" t="s">
        <v>528</v>
      </c>
      <c r="L317" t="s">
        <v>592</v>
      </c>
      <c r="M317" t="s">
        <v>588</v>
      </c>
      <c r="N317" t="s">
        <v>601</v>
      </c>
    </row>
    <row r="318" spans="1:14" x14ac:dyDescent="0.25">
      <c r="A318" t="s">
        <v>14</v>
      </c>
      <c r="B318" t="s">
        <v>131</v>
      </c>
      <c r="C318" t="s">
        <v>272</v>
      </c>
      <c r="D318" t="s">
        <v>424</v>
      </c>
      <c r="F318" t="s">
        <v>442</v>
      </c>
      <c r="G318" t="str">
        <f>HYPERLINK("https://ca.linkedin.com/jobs/view/data-analyst-at-westland-insurance-group-ltd-3345807760?refId=B6ZuxHRdrHtLA2j%2FN0wu4g%3D%3D&amp;trackingId=vtvip90ugW5RJx2wTiE1cQ%3D%3D&amp;position=17&amp;pageNum=0&amp;trk=public_jobs_jserp-result_search-card", "Job Link")</f>
        <v>Job Link</v>
      </c>
      <c r="H318" t="s">
        <v>476</v>
      </c>
      <c r="I318" t="s">
        <v>481</v>
      </c>
      <c r="J318" t="s">
        <v>486</v>
      </c>
      <c r="K318" t="s">
        <v>525</v>
      </c>
      <c r="L318" t="s">
        <v>589</v>
      </c>
      <c r="M318" t="s">
        <v>618</v>
      </c>
      <c r="N318" t="s">
        <v>601</v>
      </c>
    </row>
    <row r="319" spans="1:14" x14ac:dyDescent="0.25">
      <c r="A319" t="s">
        <v>14</v>
      </c>
      <c r="B319" t="s">
        <v>133</v>
      </c>
      <c r="C319" t="s">
        <v>274</v>
      </c>
      <c r="D319" t="s">
        <v>424</v>
      </c>
      <c r="F319" t="s">
        <v>434</v>
      </c>
      <c r="G319" t="str">
        <f>HYPERLINK("https://ca.linkedin.com/jobs/view/data-analyst-at-momentum-financial-services-group-3355811523?refId=B6ZuxHRdrHtLA2j%2FN0wu4g%3D%3D&amp;trackingId=S781YRRbTAn3UqGnDv0Pew%3D%3D&amp;position=18&amp;pageNum=0&amp;trk=public_jobs_jserp-result_search-card", "Job Link")</f>
        <v>Job Link</v>
      </c>
      <c r="H319" t="s">
        <v>476</v>
      </c>
      <c r="I319" t="s">
        <v>481</v>
      </c>
      <c r="J319" t="s">
        <v>486</v>
      </c>
      <c r="K319" t="s">
        <v>527</v>
      </c>
      <c r="L319" t="s">
        <v>582</v>
      </c>
      <c r="M319" t="s">
        <v>588</v>
      </c>
      <c r="N319" t="s">
        <v>601</v>
      </c>
    </row>
    <row r="320" spans="1:14" x14ac:dyDescent="0.25">
      <c r="A320" t="s">
        <v>14</v>
      </c>
      <c r="B320" t="s">
        <v>134</v>
      </c>
      <c r="C320" t="s">
        <v>275</v>
      </c>
      <c r="D320" t="s">
        <v>424</v>
      </c>
      <c r="F320" t="s">
        <v>444</v>
      </c>
      <c r="G320" t="str">
        <f>HYPERLINK("https://ca.linkedin.com/jobs/view/data-analyst-at-tes-the-employment-solution-3322589522?refId=B6ZuxHRdrHtLA2j%2FN0wu4g%3D%3D&amp;trackingId=N2BErpJGWbXtADwGu4SDYg%3D%3D&amp;position=19&amp;pageNum=0&amp;trk=public_jobs_jserp-result_search-card", "Job Link")</f>
        <v>Job Link</v>
      </c>
      <c r="H320" t="s">
        <v>476</v>
      </c>
      <c r="I320" t="s">
        <v>483</v>
      </c>
      <c r="J320" t="s">
        <v>486</v>
      </c>
      <c r="K320" t="s">
        <v>525</v>
      </c>
      <c r="L320" t="s">
        <v>591</v>
      </c>
      <c r="M320" t="s">
        <v>588</v>
      </c>
      <c r="N320" t="s">
        <v>601</v>
      </c>
    </row>
    <row r="321" spans="1:14" x14ac:dyDescent="0.25">
      <c r="A321" t="s">
        <v>19</v>
      </c>
      <c r="B321" t="s">
        <v>136</v>
      </c>
      <c r="C321" t="s">
        <v>278</v>
      </c>
      <c r="D321" t="s">
        <v>424</v>
      </c>
      <c r="F321" t="s">
        <v>445</v>
      </c>
      <c r="G321" t="str">
        <f>HYPERLINK("https://ca.linkedin.com/jobs/view/data-analyst-operations-at-sonder-inc-3229442908?refId=B6ZuxHRdrHtLA2j%2FN0wu4g%3D%3D&amp;trackingId=C4oNJJFneVFSJcjeoGJlpQ%3D%3D&amp;position=20&amp;pageNum=0&amp;trk=public_jobs_jserp-result_search-card", "Job Link")</f>
        <v>Job Link</v>
      </c>
      <c r="H321" t="s">
        <v>476</v>
      </c>
      <c r="I321" t="s">
        <v>481</v>
      </c>
      <c r="J321" t="s">
        <v>486</v>
      </c>
      <c r="K321" t="s">
        <v>529</v>
      </c>
      <c r="L321" t="s">
        <v>582</v>
      </c>
      <c r="M321" t="s">
        <v>588</v>
      </c>
      <c r="N321" t="s">
        <v>601</v>
      </c>
    </row>
    <row r="322" spans="1:14" x14ac:dyDescent="0.25">
      <c r="A322" t="s">
        <v>20</v>
      </c>
      <c r="B322" t="s">
        <v>137</v>
      </c>
      <c r="C322" t="s">
        <v>279</v>
      </c>
      <c r="D322" t="s">
        <v>424</v>
      </c>
      <c r="F322" t="s">
        <v>446</v>
      </c>
      <c r="G322" t="str">
        <f>HYPERLINK("https://ca.linkedin.com/jobs/view/senior-data-analyst-at-mueller-water-products-3122544636?refId=B6ZuxHRdrHtLA2j%2FN0wu4g%3D%3D&amp;trackingId=UaHmdT7mVqqQqb17oVXH6g%3D%3D&amp;position=21&amp;pageNum=0&amp;trk=public_jobs_jserp-result_search-card", "Job Link")</f>
        <v>Job Link</v>
      </c>
      <c r="H322" t="s">
        <v>478</v>
      </c>
      <c r="I322" t="s">
        <v>481</v>
      </c>
      <c r="J322" t="s">
        <v>486</v>
      </c>
      <c r="K322" t="s">
        <v>530</v>
      </c>
      <c r="L322" t="s">
        <v>582</v>
      </c>
      <c r="M322" t="s">
        <v>588</v>
      </c>
      <c r="N322" t="s">
        <v>601</v>
      </c>
    </row>
    <row r="323" spans="1:14" x14ac:dyDescent="0.25">
      <c r="A323" t="s">
        <v>14</v>
      </c>
      <c r="B323" t="s">
        <v>128</v>
      </c>
      <c r="C323" t="s">
        <v>284</v>
      </c>
      <c r="D323" t="s">
        <v>424</v>
      </c>
      <c r="F323" t="s">
        <v>439</v>
      </c>
      <c r="G323" t="str">
        <f>HYPERLINK("https://ca.linkedin.com/jobs/view/data-analyst-at-diverse-lynx-3363122507?refId=B6ZuxHRdrHtLA2j%2FN0wu4g%3D%3D&amp;trackingId=2d8r4euLLK6jS57gyYzeaA%3D%3D&amp;position=22&amp;pageNum=0&amp;trk=public_jobs_jserp-result_search-card", "Job Link")</f>
        <v>Job Link</v>
      </c>
      <c r="L323" t="s">
        <v>594</v>
      </c>
      <c r="M323" t="s">
        <v>588</v>
      </c>
      <c r="N323" t="s">
        <v>601</v>
      </c>
    </row>
    <row r="324" spans="1:14" x14ac:dyDescent="0.25">
      <c r="A324" t="s">
        <v>21</v>
      </c>
      <c r="B324" t="s">
        <v>138</v>
      </c>
      <c r="C324" t="s">
        <v>280</v>
      </c>
      <c r="D324" t="s">
        <v>424</v>
      </c>
      <c r="F324" t="s">
        <v>447</v>
      </c>
      <c r="G324" t="str">
        <f>HYPERLINK("https://ca.linkedin.com/jobs/view/data-entry-jr-analyst-6-month-contract-at-csl-group-ltd-3323214993?refId=B6ZuxHRdrHtLA2j%2FN0wu4g%3D%3D&amp;trackingId=Xkbcybzn79CzfRh82g1QTw%3D%3D&amp;position=23&amp;pageNum=0&amp;trk=public_jobs_jserp-result_search-card", "Job Link")</f>
        <v>Job Link</v>
      </c>
      <c r="H324" t="s">
        <v>476</v>
      </c>
      <c r="I324" t="s">
        <v>484</v>
      </c>
      <c r="J324" t="s">
        <v>489</v>
      </c>
      <c r="K324" t="s">
        <v>531</v>
      </c>
      <c r="L324" t="s">
        <v>593</v>
      </c>
      <c r="M324" t="s">
        <v>588</v>
      </c>
      <c r="N324" t="s">
        <v>601</v>
      </c>
    </row>
    <row r="325" spans="1:14" x14ac:dyDescent="0.25">
      <c r="A325" t="s">
        <v>14</v>
      </c>
      <c r="B325" t="s">
        <v>132</v>
      </c>
      <c r="C325" t="s">
        <v>273</v>
      </c>
      <c r="D325" t="s">
        <v>424</v>
      </c>
      <c r="F325" t="s">
        <v>443</v>
      </c>
      <c r="G325" t="str">
        <f>HYPERLINK("https://ca.linkedin.com/jobs/view/data-analyst-at-fasken-3365947704?refId=B6ZuxHRdrHtLA2j%2FN0wu4g%3D%3D&amp;trackingId=lTvwUw2%2BqNWpQk8BhkdjdQ%3D%3D&amp;position=24&amp;pageNum=0&amp;trk=public_jobs_jserp-result_search-card", "Job Link")</f>
        <v>Job Link</v>
      </c>
      <c r="H325" t="s">
        <v>476</v>
      </c>
      <c r="I325" t="s">
        <v>481</v>
      </c>
      <c r="J325" t="s">
        <v>486</v>
      </c>
      <c r="K325" t="s">
        <v>526</v>
      </c>
      <c r="L325" t="s">
        <v>590</v>
      </c>
      <c r="M325" t="s">
        <v>618</v>
      </c>
      <c r="N325" t="s">
        <v>601</v>
      </c>
    </row>
    <row r="326" spans="1:14" x14ac:dyDescent="0.25">
      <c r="A326" t="s">
        <v>22</v>
      </c>
      <c r="B326" t="s">
        <v>139</v>
      </c>
      <c r="C326" t="s">
        <v>281</v>
      </c>
      <c r="D326" t="s">
        <v>424</v>
      </c>
      <c r="F326" t="s">
        <v>435</v>
      </c>
      <c r="G326" t="str">
        <f>HYPERLINK("https://ca.linkedin.com/jobs/view/quality-data-analyst-at-lululemon-3341634874?refId=B6ZuxHRdrHtLA2j%2FN0wu4g%3D%3D&amp;trackingId=vwY%2BAndVdAKVrYLUFwXFYA%3D%3D&amp;position=25&amp;pageNum=0&amp;trk=public_jobs_jserp-result_search-card", "Job Link")</f>
        <v>Job Link</v>
      </c>
      <c r="H326" t="s">
        <v>476</v>
      </c>
      <c r="I326" t="s">
        <v>481</v>
      </c>
      <c r="J326" t="s">
        <v>486</v>
      </c>
      <c r="K326" t="s">
        <v>532</v>
      </c>
      <c r="L326" t="s">
        <v>590</v>
      </c>
      <c r="M326" t="s">
        <v>618</v>
      </c>
      <c r="N326" t="s">
        <v>601</v>
      </c>
    </row>
    <row r="327" spans="1:14" x14ac:dyDescent="0.25">
      <c r="A327" t="s">
        <v>14</v>
      </c>
      <c r="B327" t="s">
        <v>118</v>
      </c>
      <c r="C327" t="s">
        <v>258</v>
      </c>
      <c r="D327" t="s">
        <v>424</v>
      </c>
      <c r="F327" t="s">
        <v>430</v>
      </c>
      <c r="G327" t="str">
        <f>HYPERLINK("https://ca.linkedin.com/jobs/view/data-analyst-at-axonify-3324670516?refId=NagJLYiqN08IjaWrK4GHtw%3D%3D&amp;trackingId=VjEyGAv6sgNXw1biDT0xLQ%3D%3D&amp;position=1&amp;pageNum=0&amp;trk=public_jobs_jserp-result_search-card", "Job Link")</f>
        <v>Job Link</v>
      </c>
      <c r="H327" t="s">
        <v>476</v>
      </c>
      <c r="I327" t="s">
        <v>481</v>
      </c>
      <c r="J327" t="s">
        <v>486</v>
      </c>
      <c r="K327" t="s">
        <v>516</v>
      </c>
      <c r="L327" t="s">
        <v>581</v>
      </c>
      <c r="M327" t="s">
        <v>588</v>
      </c>
      <c r="N327" t="s">
        <v>601</v>
      </c>
    </row>
    <row r="328" spans="1:14" x14ac:dyDescent="0.25">
      <c r="A328" t="s">
        <v>14</v>
      </c>
      <c r="B328" t="s">
        <v>119</v>
      </c>
      <c r="C328" t="s">
        <v>259</v>
      </c>
      <c r="D328" t="s">
        <v>424</v>
      </c>
      <c r="F328" t="s">
        <v>431</v>
      </c>
      <c r="G328" t="str">
        <f>HYPERLINK("https://ca.linkedin.com/jobs/view/data-analyst-at-b3-systems-3361794123?refId=NagJLYiqN08IjaWrK4GHtw%3D%3D&amp;trackingId=Xu3sU%2F%2BnSqN9aCkQ%2BSaRzw%3D%3D&amp;position=2&amp;pageNum=0&amp;trk=public_jobs_jserp-result_search-card", "Job Link")</f>
        <v>Job Link</v>
      </c>
      <c r="I328" t="s">
        <v>481</v>
      </c>
      <c r="L328" t="s">
        <v>582</v>
      </c>
      <c r="M328" t="s">
        <v>588</v>
      </c>
      <c r="N328" t="s">
        <v>601</v>
      </c>
    </row>
    <row r="329" spans="1:14" x14ac:dyDescent="0.25">
      <c r="A329" t="s">
        <v>14</v>
      </c>
      <c r="B329" t="s">
        <v>120</v>
      </c>
      <c r="C329" t="s">
        <v>260</v>
      </c>
      <c r="D329" t="s">
        <v>424</v>
      </c>
      <c r="F329" t="s">
        <v>431</v>
      </c>
      <c r="G329" t="str">
        <f>HYPERLINK("https://ca.linkedin.com/jobs/view/data-analyst-at-wood-mackenzie-3271782079?refId=NagJLYiqN08IjaWrK4GHtw%3D%3D&amp;trackingId=Csq5cGSZ%2Fdl%2Bn8Gkie67ng%3D%3D&amp;position=3&amp;pageNum=0&amp;trk=public_jobs_jserp-result_search-card", "Job Link")</f>
        <v>Job Link</v>
      </c>
      <c r="H329" t="s">
        <v>477</v>
      </c>
      <c r="I329" t="s">
        <v>481</v>
      </c>
      <c r="J329" t="s">
        <v>487</v>
      </c>
      <c r="K329" t="s">
        <v>517</v>
      </c>
      <c r="L329" t="s">
        <v>583</v>
      </c>
      <c r="M329" t="s">
        <v>610</v>
      </c>
      <c r="N329" t="s">
        <v>601</v>
      </c>
    </row>
    <row r="330" spans="1:14" x14ac:dyDescent="0.25">
      <c r="A330" t="s">
        <v>14</v>
      </c>
      <c r="B330" t="s">
        <v>121</v>
      </c>
      <c r="C330" t="s">
        <v>261</v>
      </c>
      <c r="D330" t="s">
        <v>424</v>
      </c>
      <c r="F330" t="s">
        <v>432</v>
      </c>
      <c r="G330" t="str">
        <f>HYPERLINK("https://ca.linkedin.com/jobs/view/data-analyst-at-loft-community-services-3364383026?refId=NagJLYiqN08IjaWrK4GHtw%3D%3D&amp;trackingId=yFh5B8%2BKwB%2BizDQ6YP3BAg%3D%3D&amp;position=4&amp;pageNum=0&amp;trk=public_jobs_jserp-result_search-card", "Job Link")</f>
        <v>Job Link</v>
      </c>
      <c r="I330" t="s">
        <v>482</v>
      </c>
      <c r="L330" t="s">
        <v>582</v>
      </c>
      <c r="M330" t="s">
        <v>588</v>
      </c>
      <c r="N330" t="s">
        <v>601</v>
      </c>
    </row>
    <row r="331" spans="1:14" x14ac:dyDescent="0.25">
      <c r="A331" t="s">
        <v>14</v>
      </c>
      <c r="B331" t="s">
        <v>122</v>
      </c>
      <c r="C331" t="s">
        <v>262</v>
      </c>
      <c r="D331" t="s">
        <v>424</v>
      </c>
      <c r="F331" t="s">
        <v>433</v>
      </c>
      <c r="G331" t="str">
        <f>HYPERLINK("https://ca.linkedin.com/jobs/view/data-analyst-at-nam-info-inc-3351590976?refId=NagJLYiqN08IjaWrK4GHtw%3D%3D&amp;trackingId=KYdJnnqawyDbwRmlOqY2ag%3D%3D&amp;position=5&amp;pageNum=0&amp;trk=public_jobs_jserp-result_search-card", "Job Link")</f>
        <v>Job Link</v>
      </c>
      <c r="H331" t="s">
        <v>478</v>
      </c>
      <c r="I331" t="s">
        <v>483</v>
      </c>
      <c r="J331" t="s">
        <v>486</v>
      </c>
      <c r="K331" t="s">
        <v>518</v>
      </c>
      <c r="L331" t="s">
        <v>582</v>
      </c>
      <c r="M331" t="s">
        <v>588</v>
      </c>
      <c r="N331" t="s">
        <v>601</v>
      </c>
    </row>
    <row r="332" spans="1:14" x14ac:dyDescent="0.25">
      <c r="A332" t="s">
        <v>14</v>
      </c>
      <c r="B332" t="s">
        <v>123</v>
      </c>
      <c r="C332" t="s">
        <v>263</v>
      </c>
      <c r="D332" t="s">
        <v>424</v>
      </c>
      <c r="F332" t="s">
        <v>434</v>
      </c>
      <c r="G332" t="str">
        <f>HYPERLINK("https://ca.linkedin.com/jobs/view/data-analyst-at-citi-3263096865?refId=NagJLYiqN08IjaWrK4GHtw%3D%3D&amp;trackingId=GRMMq%2B8kjUsnBJ9Lolo8dA%3D%3D&amp;position=6&amp;pageNum=0&amp;trk=public_jobs_jserp-result_search-card", "Job Link")</f>
        <v>Job Link</v>
      </c>
      <c r="H332" t="s">
        <v>479</v>
      </c>
      <c r="I332" t="s">
        <v>481</v>
      </c>
      <c r="J332" t="s">
        <v>486</v>
      </c>
      <c r="K332" t="s">
        <v>519</v>
      </c>
      <c r="L332" t="s">
        <v>584</v>
      </c>
      <c r="M332" t="s">
        <v>588</v>
      </c>
      <c r="N332" t="s">
        <v>601</v>
      </c>
    </row>
    <row r="333" spans="1:14" x14ac:dyDescent="0.25">
      <c r="A333" t="s">
        <v>19</v>
      </c>
      <c r="B333" t="s">
        <v>136</v>
      </c>
      <c r="C333" t="s">
        <v>278</v>
      </c>
      <c r="D333" t="s">
        <v>424</v>
      </c>
      <c r="F333" t="s">
        <v>445</v>
      </c>
      <c r="G333" t="str">
        <f>HYPERLINK("https://ca.linkedin.com/jobs/view/data-analyst-operations-at-sonder-inc-3229442908?refId=NagJLYiqN08IjaWrK4GHtw%3D%3D&amp;trackingId=q8UiCS29h3UJRSLlXFdj%2FQ%3D%3D&amp;position=7&amp;pageNum=0&amp;trk=public_jobs_jserp-result_search-card", "Job Link")</f>
        <v>Job Link</v>
      </c>
      <c r="H333" t="s">
        <v>476</v>
      </c>
      <c r="I333" t="s">
        <v>481</v>
      </c>
      <c r="J333" t="s">
        <v>486</v>
      </c>
      <c r="K333" t="s">
        <v>529</v>
      </c>
      <c r="L333" t="s">
        <v>582</v>
      </c>
      <c r="M333" t="s">
        <v>588</v>
      </c>
      <c r="N333" t="s">
        <v>601</v>
      </c>
    </row>
    <row r="334" spans="1:14" x14ac:dyDescent="0.25">
      <c r="A334" t="s">
        <v>14</v>
      </c>
      <c r="B334" t="s">
        <v>124</v>
      </c>
      <c r="C334" t="s">
        <v>264</v>
      </c>
      <c r="D334" t="s">
        <v>424</v>
      </c>
      <c r="F334" t="s">
        <v>435</v>
      </c>
      <c r="G334" t="str">
        <f>HYPERLINK("https://ca.linkedin.com/jobs/view/data-analyst-at-king-s-college-london-3335332409?refId=NagJLYiqN08IjaWrK4GHtw%3D%3D&amp;trackingId=97aIZ0bJT%2BRy2Gg1atqpYQ%3D%3D&amp;position=8&amp;pageNum=0&amp;trk=public_jobs_jserp-result_search-card", "Job Link")</f>
        <v>Job Link</v>
      </c>
      <c r="H334" t="s">
        <v>476</v>
      </c>
      <c r="I334" t="s">
        <v>481</v>
      </c>
      <c r="J334" t="s">
        <v>486</v>
      </c>
      <c r="K334" t="s">
        <v>520</v>
      </c>
      <c r="L334" t="s">
        <v>585</v>
      </c>
      <c r="M334" t="s">
        <v>588</v>
      </c>
      <c r="N334" t="s">
        <v>601</v>
      </c>
    </row>
    <row r="335" spans="1:14" x14ac:dyDescent="0.25">
      <c r="A335" t="s">
        <v>15</v>
      </c>
      <c r="B335" t="s">
        <v>125</v>
      </c>
      <c r="C335" t="s">
        <v>265</v>
      </c>
      <c r="D335" t="s">
        <v>424</v>
      </c>
      <c r="F335" t="s">
        <v>431</v>
      </c>
      <c r="G335" t="str">
        <f>HYPERLINK("https://ca.linkedin.com/jobs/view/data-analyst-remote-at-cognizant-microsoft-business-group-3333618510?refId=NagJLYiqN08IjaWrK4GHtw%3D%3D&amp;trackingId=nB8vidX7vwsr%2BSkjCGiGGw%3D%3D&amp;position=9&amp;pageNum=0&amp;trk=public_jobs_jserp-result_search-card", "Job Link")</f>
        <v>Job Link</v>
      </c>
      <c r="H335" t="s">
        <v>476</v>
      </c>
      <c r="I335" t="s">
        <v>481</v>
      </c>
      <c r="J335" t="s">
        <v>486</v>
      </c>
      <c r="K335" t="s">
        <v>521</v>
      </c>
      <c r="L335" t="s">
        <v>582</v>
      </c>
      <c r="M335" t="s">
        <v>588</v>
      </c>
      <c r="N335" t="s">
        <v>601</v>
      </c>
    </row>
    <row r="336" spans="1:14" x14ac:dyDescent="0.25">
      <c r="A336" t="s">
        <v>16</v>
      </c>
      <c r="B336" t="s">
        <v>126</v>
      </c>
      <c r="C336" t="s">
        <v>266</v>
      </c>
      <c r="D336" t="s">
        <v>424</v>
      </c>
      <c r="F336" t="s">
        <v>436</v>
      </c>
      <c r="G336" t="str">
        <f>HYPERLINK("https://ca.linkedin.com/jobs/view/data-analyst-loans-at-tata-consultancy-services-3344804680?refId=NagJLYiqN08IjaWrK4GHtw%3D%3D&amp;trackingId=uOVOmY2VOBIeV10KC%2Ffxgg%3D%3D&amp;position=10&amp;pageNum=0&amp;trk=public_jobs_jserp-result_search-card", "Job Link")</f>
        <v>Job Link</v>
      </c>
      <c r="H336" t="s">
        <v>477</v>
      </c>
      <c r="I336" t="s">
        <v>481</v>
      </c>
      <c r="J336" t="s">
        <v>486</v>
      </c>
      <c r="K336" t="s">
        <v>517</v>
      </c>
      <c r="L336" t="s">
        <v>584</v>
      </c>
      <c r="M336" t="s">
        <v>588</v>
      </c>
      <c r="N336" t="s">
        <v>601</v>
      </c>
    </row>
    <row r="337" spans="1:14" x14ac:dyDescent="0.25">
      <c r="A337" t="s">
        <v>14</v>
      </c>
      <c r="B337" t="s">
        <v>127</v>
      </c>
      <c r="C337" t="s">
        <v>267</v>
      </c>
      <c r="D337" t="s">
        <v>424</v>
      </c>
      <c r="F337" t="s">
        <v>437</v>
      </c>
      <c r="G337" t="str">
        <f>HYPERLINK("https://ca.linkedin.com/jobs/view/data-analyst-at-vubiquity-3365112221?refId=NagJLYiqN08IjaWrK4GHtw%3D%3D&amp;trackingId=xyUMtcr5NcxDgZwvdhEAcQ%3D%3D&amp;position=11&amp;pageNum=0&amp;trk=public_jobs_jserp-result_search-card", "Job Link")</f>
        <v>Job Link</v>
      </c>
      <c r="H337" t="s">
        <v>476</v>
      </c>
      <c r="I337" t="s">
        <v>481</v>
      </c>
      <c r="J337" t="s">
        <v>486</v>
      </c>
      <c r="K337" t="s">
        <v>522</v>
      </c>
      <c r="L337" t="s">
        <v>582</v>
      </c>
      <c r="M337" t="s">
        <v>588</v>
      </c>
      <c r="N337" t="s">
        <v>601</v>
      </c>
    </row>
    <row r="338" spans="1:14" x14ac:dyDescent="0.25">
      <c r="A338" t="s">
        <v>14</v>
      </c>
      <c r="B338" t="s">
        <v>129</v>
      </c>
      <c r="C338" t="s">
        <v>270</v>
      </c>
      <c r="D338" t="s">
        <v>424</v>
      </c>
      <c r="F338" t="s">
        <v>440</v>
      </c>
      <c r="G338" t="str">
        <f>HYPERLINK("https://ca.linkedin.com/jobs/view/data-analyst-at-agricorp-3364433441?refId=NagJLYiqN08IjaWrK4GHtw%3D%3D&amp;trackingId=mW%2BATrD3XpOMqe86thvWHQ%3D%3D&amp;position=12&amp;pageNum=0&amp;trk=public_jobs_jserp-result_search-card", "Job Link")</f>
        <v>Job Link</v>
      </c>
      <c r="H338" t="s">
        <v>476</v>
      </c>
      <c r="I338" t="s">
        <v>481</v>
      </c>
      <c r="J338" t="s">
        <v>486</v>
      </c>
      <c r="K338" t="s">
        <v>523</v>
      </c>
      <c r="L338" t="s">
        <v>587</v>
      </c>
      <c r="M338" t="s">
        <v>588</v>
      </c>
      <c r="N338" t="s">
        <v>601</v>
      </c>
    </row>
    <row r="339" spans="1:14" x14ac:dyDescent="0.25">
      <c r="A339" t="s">
        <v>17</v>
      </c>
      <c r="B339" t="s">
        <v>123</v>
      </c>
      <c r="C339" t="s">
        <v>268</v>
      </c>
      <c r="D339" t="s">
        <v>424</v>
      </c>
      <c r="F339" t="s">
        <v>438</v>
      </c>
      <c r="G339" t="str">
        <f>HYPERLINK("https://ca.linkedin.com/jobs/view/data-analyst-developer-at-citi-3322089923?refId=NagJLYiqN08IjaWrK4GHtw%3D%3D&amp;trackingId=r25FW37YjKyFH%2B26atugeg%3D%3D&amp;position=13&amp;pageNum=0&amp;trk=public_jobs_jserp-result_search-card", "Job Link")</f>
        <v>Job Link</v>
      </c>
      <c r="H339" t="s">
        <v>479</v>
      </c>
      <c r="I339" t="s">
        <v>481</v>
      </c>
      <c r="J339" t="s">
        <v>486</v>
      </c>
      <c r="K339" t="s">
        <v>519</v>
      </c>
      <c r="L339" t="s">
        <v>584</v>
      </c>
      <c r="M339" t="s">
        <v>588</v>
      </c>
      <c r="N339" t="s">
        <v>601</v>
      </c>
    </row>
    <row r="340" spans="1:14" x14ac:dyDescent="0.25">
      <c r="A340" t="s">
        <v>14</v>
      </c>
      <c r="B340" t="s">
        <v>128</v>
      </c>
      <c r="C340" t="s">
        <v>269</v>
      </c>
      <c r="D340" t="s">
        <v>424</v>
      </c>
      <c r="F340" t="s">
        <v>439</v>
      </c>
      <c r="G340" t="str">
        <f>HYPERLINK("https://ca.linkedin.com/jobs/view/data-analyst-at-diverse-lynx-3363377240?refId=NagJLYiqN08IjaWrK4GHtw%3D%3D&amp;trackingId=KYYQlUgAtoEdVRWDC9druQ%3D%3D&amp;position=14&amp;pageNum=0&amp;trk=public_jobs_jserp-result_search-card", "Job Link")</f>
        <v>Job Link</v>
      </c>
      <c r="H340" t="s">
        <v>476</v>
      </c>
      <c r="I340" t="s">
        <v>481</v>
      </c>
      <c r="J340" t="s">
        <v>486</v>
      </c>
      <c r="K340" t="s">
        <v>516</v>
      </c>
      <c r="L340" t="s">
        <v>586</v>
      </c>
      <c r="M340" t="s">
        <v>617</v>
      </c>
      <c r="N340" t="s">
        <v>601</v>
      </c>
    </row>
    <row r="341" spans="1:14" x14ac:dyDescent="0.25">
      <c r="A341" t="s">
        <v>14</v>
      </c>
      <c r="B341" t="s">
        <v>128</v>
      </c>
      <c r="C341" t="s">
        <v>277</v>
      </c>
      <c r="D341" t="s">
        <v>424</v>
      </c>
      <c r="F341" t="s">
        <v>439</v>
      </c>
      <c r="G341" t="str">
        <f>HYPERLINK("https://ca.linkedin.com/jobs/view/data-analyst-at-diverse-lynx-3363374746?refId=NagJLYiqN08IjaWrK4GHtw%3D%3D&amp;trackingId=8zEl8n4IUd15SbVziIbpRA%3D%3D&amp;position=15&amp;pageNum=0&amp;trk=public_jobs_jserp-result_search-card", "Job Link")</f>
        <v>Job Link</v>
      </c>
      <c r="H341" t="s">
        <v>476</v>
      </c>
      <c r="I341" t="s">
        <v>481</v>
      </c>
      <c r="J341" t="s">
        <v>486</v>
      </c>
      <c r="K341" t="s">
        <v>516</v>
      </c>
      <c r="L341" t="s">
        <v>586</v>
      </c>
      <c r="M341" t="s">
        <v>617</v>
      </c>
      <c r="N341" t="s">
        <v>601</v>
      </c>
    </row>
    <row r="342" spans="1:14" x14ac:dyDescent="0.25">
      <c r="A342" t="s">
        <v>18</v>
      </c>
      <c r="B342" t="s">
        <v>130</v>
      </c>
      <c r="C342" t="s">
        <v>271</v>
      </c>
      <c r="D342" t="s">
        <v>424</v>
      </c>
      <c r="F342" t="s">
        <v>441</v>
      </c>
      <c r="G342" t="str">
        <f>HYPERLINK("https://ca.linkedin.com/jobs/view/junior-data-analyst-mississauga-on-at-arjo-3323264354?refId=NagJLYiqN08IjaWrK4GHtw%3D%3D&amp;trackingId=bbNRHQzAf6s1phJEQ5dm6Q%3D%3D&amp;position=16&amp;pageNum=0&amp;trk=public_jobs_jserp-result_search-card", "Job Link")</f>
        <v>Job Link</v>
      </c>
      <c r="H342" t="s">
        <v>479</v>
      </c>
      <c r="I342" t="s">
        <v>481</v>
      </c>
      <c r="J342" t="s">
        <v>486</v>
      </c>
      <c r="K342" t="s">
        <v>524</v>
      </c>
      <c r="L342" t="s">
        <v>588</v>
      </c>
      <c r="M342" t="s">
        <v>601</v>
      </c>
    </row>
    <row r="343" spans="1:14" x14ac:dyDescent="0.25">
      <c r="A343" t="s">
        <v>14</v>
      </c>
      <c r="B343" t="s">
        <v>131</v>
      </c>
      <c r="C343" t="s">
        <v>272</v>
      </c>
      <c r="D343" t="s">
        <v>424</v>
      </c>
      <c r="F343" t="s">
        <v>442</v>
      </c>
      <c r="G343" t="str">
        <f>HYPERLINK("https://ca.linkedin.com/jobs/view/data-analyst-at-westland-insurance-group-ltd-3345807760?refId=NagJLYiqN08IjaWrK4GHtw%3D%3D&amp;trackingId=4JHI%2BfceOpLkf808unG1Zg%3D%3D&amp;position=17&amp;pageNum=0&amp;trk=public_jobs_jserp-result_search-card", "Job Link")</f>
        <v>Job Link</v>
      </c>
      <c r="H343" t="s">
        <v>476</v>
      </c>
      <c r="I343" t="s">
        <v>481</v>
      </c>
      <c r="J343" t="s">
        <v>486</v>
      </c>
      <c r="K343" t="s">
        <v>525</v>
      </c>
      <c r="L343" t="s">
        <v>589</v>
      </c>
      <c r="M343" t="s">
        <v>618</v>
      </c>
      <c r="N343" t="s">
        <v>601</v>
      </c>
    </row>
    <row r="344" spans="1:14" x14ac:dyDescent="0.25">
      <c r="A344" t="s">
        <v>14</v>
      </c>
      <c r="B344" t="s">
        <v>132</v>
      </c>
      <c r="C344" t="s">
        <v>273</v>
      </c>
      <c r="D344" t="s">
        <v>424</v>
      </c>
      <c r="F344" t="s">
        <v>443</v>
      </c>
      <c r="G344" t="str">
        <f>HYPERLINK("https://ca.linkedin.com/jobs/view/data-analyst-at-fasken-3365947704?refId=NagJLYiqN08IjaWrK4GHtw%3D%3D&amp;trackingId=S9R%2FSdBXlC%2FMY4WonJMyjQ%3D%3D&amp;position=18&amp;pageNum=0&amp;trk=public_jobs_jserp-result_search-card", "Job Link")</f>
        <v>Job Link</v>
      </c>
      <c r="H344" t="s">
        <v>476</v>
      </c>
      <c r="I344" t="s">
        <v>481</v>
      </c>
      <c r="J344" t="s">
        <v>486</v>
      </c>
      <c r="K344" t="s">
        <v>526</v>
      </c>
      <c r="L344" t="s">
        <v>590</v>
      </c>
      <c r="M344" t="s">
        <v>618</v>
      </c>
      <c r="N344" t="s">
        <v>601</v>
      </c>
    </row>
    <row r="345" spans="1:14" x14ac:dyDescent="0.25">
      <c r="A345" t="s">
        <v>14</v>
      </c>
      <c r="B345" t="s">
        <v>133</v>
      </c>
      <c r="C345" t="s">
        <v>274</v>
      </c>
      <c r="D345" t="s">
        <v>424</v>
      </c>
      <c r="F345" t="s">
        <v>434</v>
      </c>
      <c r="G345" t="str">
        <f>HYPERLINK("https://ca.linkedin.com/jobs/view/data-analyst-at-momentum-financial-services-group-3355811523?refId=NagJLYiqN08IjaWrK4GHtw%3D%3D&amp;trackingId=9qxIg43uD0UXYTtp0wgqzA%3D%3D&amp;position=19&amp;pageNum=0&amp;trk=public_jobs_jserp-result_search-card", "Job Link")</f>
        <v>Job Link</v>
      </c>
      <c r="H345" t="s">
        <v>476</v>
      </c>
      <c r="I345" t="s">
        <v>481</v>
      </c>
      <c r="J345" t="s">
        <v>486</v>
      </c>
      <c r="K345" t="s">
        <v>527</v>
      </c>
      <c r="L345" t="s">
        <v>582</v>
      </c>
      <c r="M345" t="s">
        <v>588</v>
      </c>
      <c r="N345" t="s">
        <v>601</v>
      </c>
    </row>
    <row r="346" spans="1:14" x14ac:dyDescent="0.25">
      <c r="A346" t="s">
        <v>14</v>
      </c>
      <c r="B346" t="s">
        <v>134</v>
      </c>
      <c r="C346" t="s">
        <v>275</v>
      </c>
      <c r="D346" t="s">
        <v>424</v>
      </c>
      <c r="F346" t="s">
        <v>444</v>
      </c>
      <c r="G346" t="str">
        <f>HYPERLINK("https://ca.linkedin.com/jobs/view/data-analyst-at-tes-the-employment-solution-3322589522?refId=NagJLYiqN08IjaWrK4GHtw%3D%3D&amp;trackingId=Hu669TkpXzBuEu3S13uSAQ%3D%3D&amp;position=20&amp;pageNum=0&amp;trk=public_jobs_jserp-result_search-card", "Job Link")</f>
        <v>Job Link</v>
      </c>
      <c r="H346" t="s">
        <v>476</v>
      </c>
      <c r="I346" t="s">
        <v>483</v>
      </c>
      <c r="J346" t="s">
        <v>486</v>
      </c>
      <c r="K346" t="s">
        <v>525</v>
      </c>
      <c r="L346" t="s">
        <v>591</v>
      </c>
      <c r="M346" t="s">
        <v>588</v>
      </c>
      <c r="N346" t="s">
        <v>601</v>
      </c>
    </row>
    <row r="347" spans="1:14" x14ac:dyDescent="0.25">
      <c r="A347" t="s">
        <v>14</v>
      </c>
      <c r="B347" t="s">
        <v>135</v>
      </c>
      <c r="C347" t="s">
        <v>276</v>
      </c>
      <c r="D347" t="s">
        <v>424</v>
      </c>
      <c r="F347" t="s">
        <v>440</v>
      </c>
      <c r="G347" t="str">
        <f>HYPERLINK("https://ca.linkedin.com/jobs/view/data-analyst-at-magna-international-3370822450?refId=NagJLYiqN08IjaWrK4GHtw%3D%3D&amp;trackingId=DU0XXxO%2FtxMvmvuUe16r6w%3D%3D&amp;position=21&amp;pageNum=0&amp;trk=public_jobs_jserp-result_search-card", "Job Link")</f>
        <v>Job Link</v>
      </c>
      <c r="H347" t="s">
        <v>476</v>
      </c>
      <c r="I347" t="s">
        <v>481</v>
      </c>
      <c r="J347" t="s">
        <v>488</v>
      </c>
      <c r="K347" t="s">
        <v>528</v>
      </c>
      <c r="L347" t="s">
        <v>592</v>
      </c>
      <c r="M347" t="s">
        <v>588</v>
      </c>
      <c r="N347" t="s">
        <v>601</v>
      </c>
    </row>
    <row r="348" spans="1:14" x14ac:dyDescent="0.25">
      <c r="A348" t="s">
        <v>20</v>
      </c>
      <c r="B348" t="s">
        <v>137</v>
      </c>
      <c r="C348" t="s">
        <v>279</v>
      </c>
      <c r="D348" t="s">
        <v>424</v>
      </c>
      <c r="F348" t="s">
        <v>446</v>
      </c>
      <c r="G348" t="str">
        <f>HYPERLINK("https://ca.linkedin.com/jobs/view/senior-data-analyst-at-mueller-water-products-3122544636?refId=NagJLYiqN08IjaWrK4GHtw%3D%3D&amp;trackingId=EAyx8k%2FWFknS42HdyBGnjw%3D%3D&amp;position=22&amp;pageNum=0&amp;trk=public_jobs_jserp-result_search-card", "Job Link")</f>
        <v>Job Link</v>
      </c>
      <c r="H348" t="s">
        <v>478</v>
      </c>
      <c r="I348" t="s">
        <v>481</v>
      </c>
      <c r="J348" t="s">
        <v>486</v>
      </c>
      <c r="K348" t="s">
        <v>530</v>
      </c>
      <c r="L348" t="s">
        <v>582</v>
      </c>
      <c r="M348" t="s">
        <v>588</v>
      </c>
      <c r="N348" t="s">
        <v>601</v>
      </c>
    </row>
    <row r="349" spans="1:14" x14ac:dyDescent="0.25">
      <c r="A349" t="s">
        <v>21</v>
      </c>
      <c r="B349" t="s">
        <v>138</v>
      </c>
      <c r="C349" t="s">
        <v>280</v>
      </c>
      <c r="D349" t="s">
        <v>424</v>
      </c>
      <c r="F349" t="s">
        <v>447</v>
      </c>
      <c r="G349" t="str">
        <f>HYPERLINK("https://ca.linkedin.com/jobs/view/data-entry-jr-analyst-6-month-contract-at-csl-group-ltd-3323214993?refId=NagJLYiqN08IjaWrK4GHtw%3D%3D&amp;trackingId=%2FPGX87r4MXjPKhx1ES4x7Q%3D%3D&amp;position=23&amp;pageNum=0&amp;trk=public_jobs_jserp-result_search-card", "Job Link")</f>
        <v>Job Link</v>
      </c>
      <c r="H349" t="s">
        <v>476</v>
      </c>
      <c r="I349" t="s">
        <v>484</v>
      </c>
      <c r="J349" t="s">
        <v>489</v>
      </c>
      <c r="K349" t="s">
        <v>531</v>
      </c>
      <c r="L349" t="s">
        <v>593</v>
      </c>
      <c r="M349" t="s">
        <v>588</v>
      </c>
      <c r="N349" t="s">
        <v>601</v>
      </c>
    </row>
    <row r="350" spans="1:14" x14ac:dyDescent="0.25">
      <c r="A350" t="s">
        <v>14</v>
      </c>
      <c r="B350" t="s">
        <v>140</v>
      </c>
      <c r="C350" t="s">
        <v>282</v>
      </c>
      <c r="D350" t="s">
        <v>424</v>
      </c>
      <c r="F350" t="s">
        <v>440</v>
      </c>
      <c r="G350" t="str">
        <f>HYPERLINK("https://ca.linkedin.com/jobs/view/data-analyst-at-scotiabank-3365406993?refId=NagJLYiqN08IjaWrK4GHtw%3D%3D&amp;trackingId=rI7vjU2XtB4I%2BPXvvexeMg%3D%3D&amp;position=24&amp;pageNum=0&amp;trk=public_jobs_jserp-result_search-card", "Job Link")</f>
        <v>Job Link</v>
      </c>
      <c r="H350" t="s">
        <v>479</v>
      </c>
      <c r="I350" t="s">
        <v>481</v>
      </c>
      <c r="J350" t="s">
        <v>486</v>
      </c>
      <c r="K350" t="s">
        <v>533</v>
      </c>
      <c r="L350" t="s">
        <v>582</v>
      </c>
      <c r="M350" t="s">
        <v>588</v>
      </c>
      <c r="N350" t="s">
        <v>601</v>
      </c>
    </row>
    <row r="351" spans="1:14" x14ac:dyDescent="0.25">
      <c r="A351" t="s">
        <v>22</v>
      </c>
      <c r="B351" t="s">
        <v>139</v>
      </c>
      <c r="C351" t="s">
        <v>281</v>
      </c>
      <c r="D351" t="s">
        <v>424</v>
      </c>
      <c r="F351" t="s">
        <v>435</v>
      </c>
      <c r="G351" t="str">
        <f>HYPERLINK("https://ca.linkedin.com/jobs/view/quality-data-analyst-at-lululemon-3341634874?refId=NagJLYiqN08IjaWrK4GHtw%3D%3D&amp;trackingId=xcLGXsgs42%2FYlIiOczbfoA%3D%3D&amp;position=25&amp;pageNum=0&amp;trk=public_jobs_jserp-result_search-card", "Job Link")</f>
        <v>Job Link</v>
      </c>
      <c r="H351" t="s">
        <v>476</v>
      </c>
      <c r="I351" t="s">
        <v>481</v>
      </c>
      <c r="J351" t="s">
        <v>486</v>
      </c>
      <c r="K351" t="s">
        <v>532</v>
      </c>
      <c r="L351" t="s">
        <v>590</v>
      </c>
      <c r="M351" t="s">
        <v>618</v>
      </c>
      <c r="N351" t="s">
        <v>601</v>
      </c>
    </row>
    <row r="352" spans="1:14" x14ac:dyDescent="0.25">
      <c r="A352" t="s">
        <v>14</v>
      </c>
      <c r="B352" t="s">
        <v>118</v>
      </c>
      <c r="C352" t="s">
        <v>258</v>
      </c>
      <c r="D352" t="s">
        <v>424</v>
      </c>
      <c r="F352" t="s">
        <v>430</v>
      </c>
      <c r="G352" t="str">
        <f>HYPERLINK("https://ca.linkedin.com/jobs/view/data-analyst-at-axonify-3324670516?refId=lIBTu6VVJBjmOPUJ540J2w%3D%3D&amp;trackingId=4WAGO86k%2BUia60LB3aVIlQ%3D%3D&amp;position=1&amp;pageNum=0&amp;trk=public_jobs_jserp-result_search-card", "Job Link")</f>
        <v>Job Link</v>
      </c>
      <c r="H352" t="s">
        <v>476</v>
      </c>
      <c r="I352" t="s">
        <v>481</v>
      </c>
      <c r="J352" t="s">
        <v>486</v>
      </c>
      <c r="K352" t="s">
        <v>516</v>
      </c>
      <c r="L352" t="s">
        <v>581</v>
      </c>
      <c r="M352" t="s">
        <v>588</v>
      </c>
      <c r="N352" t="s">
        <v>601</v>
      </c>
    </row>
    <row r="353" spans="1:14" x14ac:dyDescent="0.25">
      <c r="A353" t="s">
        <v>14</v>
      </c>
      <c r="B353" t="s">
        <v>119</v>
      </c>
      <c r="C353" t="s">
        <v>259</v>
      </c>
      <c r="D353" t="s">
        <v>424</v>
      </c>
      <c r="F353" t="s">
        <v>431</v>
      </c>
      <c r="G353" t="str">
        <f>HYPERLINK("https://ca.linkedin.com/jobs/view/data-analyst-at-b3-systems-3361794123?refId=lIBTu6VVJBjmOPUJ540J2w%3D%3D&amp;trackingId=oB0hBIXzA%2FT4Rz07Uo%2BZ3g%3D%3D&amp;position=2&amp;pageNum=0&amp;trk=public_jobs_jserp-result_search-card", "Job Link")</f>
        <v>Job Link</v>
      </c>
      <c r="I353" t="s">
        <v>481</v>
      </c>
      <c r="L353" t="s">
        <v>582</v>
      </c>
      <c r="M353" t="s">
        <v>588</v>
      </c>
      <c r="N353" t="s">
        <v>601</v>
      </c>
    </row>
    <row r="354" spans="1:14" x14ac:dyDescent="0.25">
      <c r="A354" t="s">
        <v>14</v>
      </c>
      <c r="B354" t="s">
        <v>120</v>
      </c>
      <c r="C354" t="s">
        <v>260</v>
      </c>
      <c r="D354" t="s">
        <v>424</v>
      </c>
      <c r="F354" t="s">
        <v>431</v>
      </c>
      <c r="G354" t="str">
        <f>HYPERLINK("https://ca.linkedin.com/jobs/view/data-analyst-at-wood-mackenzie-3271782079?refId=lIBTu6VVJBjmOPUJ540J2w%3D%3D&amp;trackingId=UQF4sX7yA1wN2C4zM7BKRg%3D%3D&amp;position=3&amp;pageNum=0&amp;trk=public_jobs_jserp-result_search-card", "Job Link")</f>
        <v>Job Link</v>
      </c>
      <c r="H354" t="s">
        <v>477</v>
      </c>
      <c r="I354" t="s">
        <v>481</v>
      </c>
      <c r="J354" t="s">
        <v>487</v>
      </c>
      <c r="K354" t="s">
        <v>517</v>
      </c>
      <c r="L354" t="s">
        <v>583</v>
      </c>
      <c r="M354" t="s">
        <v>610</v>
      </c>
      <c r="N354" t="s">
        <v>601</v>
      </c>
    </row>
    <row r="355" spans="1:14" x14ac:dyDescent="0.25">
      <c r="A355" t="s">
        <v>14</v>
      </c>
      <c r="B355" t="s">
        <v>121</v>
      </c>
      <c r="C355" t="s">
        <v>261</v>
      </c>
      <c r="D355" t="s">
        <v>424</v>
      </c>
      <c r="F355" t="s">
        <v>432</v>
      </c>
      <c r="G355" t="str">
        <f>HYPERLINK("https://ca.linkedin.com/jobs/view/data-analyst-at-loft-community-services-3364383026?refId=lIBTu6VVJBjmOPUJ540J2w%3D%3D&amp;trackingId=PymYfg7TGF8fbJw87jeqfA%3D%3D&amp;position=4&amp;pageNum=0&amp;trk=public_jobs_jserp-result_search-card", "Job Link")</f>
        <v>Job Link</v>
      </c>
      <c r="I355" t="s">
        <v>482</v>
      </c>
      <c r="L355" t="s">
        <v>582</v>
      </c>
      <c r="M355" t="s">
        <v>588</v>
      </c>
      <c r="N355" t="s">
        <v>601</v>
      </c>
    </row>
    <row r="356" spans="1:14" x14ac:dyDescent="0.25">
      <c r="A356" t="s">
        <v>14</v>
      </c>
      <c r="B356" t="s">
        <v>122</v>
      </c>
      <c r="C356" t="s">
        <v>262</v>
      </c>
      <c r="D356" t="s">
        <v>424</v>
      </c>
      <c r="F356" t="s">
        <v>433</v>
      </c>
      <c r="G356" t="str">
        <f>HYPERLINK("https://ca.linkedin.com/jobs/view/data-analyst-at-nam-info-inc-3351590976?refId=lIBTu6VVJBjmOPUJ540J2w%3D%3D&amp;trackingId=Y3Isl1eGHKTxDGZUWBTocQ%3D%3D&amp;position=5&amp;pageNum=0&amp;trk=public_jobs_jserp-result_search-card", "Job Link")</f>
        <v>Job Link</v>
      </c>
      <c r="H356" t="s">
        <v>478</v>
      </c>
      <c r="I356" t="s">
        <v>483</v>
      </c>
      <c r="J356" t="s">
        <v>486</v>
      </c>
      <c r="K356" t="s">
        <v>518</v>
      </c>
      <c r="L356" t="s">
        <v>582</v>
      </c>
      <c r="M356" t="s">
        <v>588</v>
      </c>
      <c r="N356" t="s">
        <v>601</v>
      </c>
    </row>
    <row r="357" spans="1:14" x14ac:dyDescent="0.25">
      <c r="A357" t="s">
        <v>14</v>
      </c>
      <c r="B357" t="s">
        <v>123</v>
      </c>
      <c r="C357" t="s">
        <v>263</v>
      </c>
      <c r="D357" t="s">
        <v>424</v>
      </c>
      <c r="F357" t="s">
        <v>434</v>
      </c>
      <c r="G357" t="str">
        <f>HYPERLINK("https://ca.linkedin.com/jobs/view/data-analyst-at-citi-3263096865?refId=lIBTu6VVJBjmOPUJ540J2w%3D%3D&amp;trackingId=l6dAaKWuGRTxcCj4rEquBA%3D%3D&amp;position=6&amp;pageNum=0&amp;trk=public_jobs_jserp-result_search-card", "Job Link")</f>
        <v>Job Link</v>
      </c>
      <c r="H357" t="s">
        <v>479</v>
      </c>
      <c r="I357" t="s">
        <v>481</v>
      </c>
      <c r="J357" t="s">
        <v>486</v>
      </c>
      <c r="K357" t="s">
        <v>519</v>
      </c>
      <c r="L357" t="s">
        <v>584</v>
      </c>
      <c r="M357" t="s">
        <v>588</v>
      </c>
      <c r="N357" t="s">
        <v>601</v>
      </c>
    </row>
    <row r="358" spans="1:14" x14ac:dyDescent="0.25">
      <c r="A358" t="s">
        <v>14</v>
      </c>
      <c r="B358" t="s">
        <v>124</v>
      </c>
      <c r="C358" t="s">
        <v>264</v>
      </c>
      <c r="D358" t="s">
        <v>424</v>
      </c>
      <c r="F358" t="s">
        <v>435</v>
      </c>
      <c r="G358" t="str">
        <f>HYPERLINK("https://ca.linkedin.com/jobs/view/data-analyst-at-king-s-college-london-3335332409?refId=lIBTu6VVJBjmOPUJ540J2w%3D%3D&amp;trackingId=Xjeur9fMC0Mzfyp8GNyO7g%3D%3D&amp;position=7&amp;pageNum=0&amp;trk=public_jobs_jserp-result_search-card", "Job Link")</f>
        <v>Job Link</v>
      </c>
      <c r="H358" t="s">
        <v>476</v>
      </c>
      <c r="I358" t="s">
        <v>481</v>
      </c>
      <c r="J358" t="s">
        <v>486</v>
      </c>
      <c r="K358" t="s">
        <v>520</v>
      </c>
      <c r="L358" t="s">
        <v>585</v>
      </c>
      <c r="M358" t="s">
        <v>588</v>
      </c>
      <c r="N358" t="s">
        <v>601</v>
      </c>
    </row>
    <row r="359" spans="1:14" x14ac:dyDescent="0.25">
      <c r="A359" t="s">
        <v>15</v>
      </c>
      <c r="B359" t="s">
        <v>125</v>
      </c>
      <c r="C359" t="s">
        <v>265</v>
      </c>
      <c r="D359" t="s">
        <v>424</v>
      </c>
      <c r="F359" t="s">
        <v>431</v>
      </c>
      <c r="G359" t="str">
        <f>HYPERLINK("https://ca.linkedin.com/jobs/view/data-analyst-remote-at-cognizant-microsoft-business-group-3333618510?refId=lIBTu6VVJBjmOPUJ540J2w%3D%3D&amp;trackingId=W7y8Z1xkLbeEoMI34AVBkA%3D%3D&amp;position=8&amp;pageNum=0&amp;trk=public_jobs_jserp-result_search-card", "Job Link")</f>
        <v>Job Link</v>
      </c>
      <c r="H359" t="s">
        <v>476</v>
      </c>
      <c r="I359" t="s">
        <v>481</v>
      </c>
      <c r="J359" t="s">
        <v>486</v>
      </c>
      <c r="K359" t="s">
        <v>521</v>
      </c>
      <c r="L359" t="s">
        <v>582</v>
      </c>
      <c r="M359" t="s">
        <v>588</v>
      </c>
      <c r="N359" t="s">
        <v>601</v>
      </c>
    </row>
    <row r="360" spans="1:14" x14ac:dyDescent="0.25">
      <c r="A360" t="s">
        <v>16</v>
      </c>
      <c r="B360" t="s">
        <v>126</v>
      </c>
      <c r="C360" t="s">
        <v>266</v>
      </c>
      <c r="D360" t="s">
        <v>424</v>
      </c>
      <c r="F360" t="s">
        <v>436</v>
      </c>
      <c r="G360" t="str">
        <f>HYPERLINK("https://ca.linkedin.com/jobs/view/data-analyst-loans-at-tata-consultancy-services-3344804680?refId=lIBTu6VVJBjmOPUJ540J2w%3D%3D&amp;trackingId=tNzpRntfZieeW5IhT9lvFg%3D%3D&amp;position=9&amp;pageNum=0&amp;trk=public_jobs_jserp-result_search-card", "Job Link")</f>
        <v>Job Link</v>
      </c>
      <c r="H360" t="s">
        <v>477</v>
      </c>
      <c r="I360" t="s">
        <v>481</v>
      </c>
      <c r="J360" t="s">
        <v>486</v>
      </c>
      <c r="K360" t="s">
        <v>517</v>
      </c>
      <c r="L360" t="s">
        <v>584</v>
      </c>
      <c r="M360" t="s">
        <v>588</v>
      </c>
      <c r="N360" t="s">
        <v>601</v>
      </c>
    </row>
    <row r="361" spans="1:14" x14ac:dyDescent="0.25">
      <c r="A361" t="s">
        <v>14</v>
      </c>
      <c r="B361" t="s">
        <v>127</v>
      </c>
      <c r="C361" t="s">
        <v>267</v>
      </c>
      <c r="D361" t="s">
        <v>424</v>
      </c>
      <c r="F361" t="s">
        <v>437</v>
      </c>
      <c r="G361" t="str">
        <f>HYPERLINK("https://ca.linkedin.com/jobs/view/data-analyst-at-vubiquity-3365112221?refId=lIBTu6VVJBjmOPUJ540J2w%3D%3D&amp;trackingId=e1dxRseXpk2mf7Azcse6Qg%3D%3D&amp;position=10&amp;pageNum=0&amp;trk=public_jobs_jserp-result_search-card", "Job Link")</f>
        <v>Job Link</v>
      </c>
      <c r="H361" t="s">
        <v>476</v>
      </c>
      <c r="I361" t="s">
        <v>481</v>
      </c>
      <c r="J361" t="s">
        <v>486</v>
      </c>
      <c r="K361" t="s">
        <v>522</v>
      </c>
      <c r="L361" t="s">
        <v>582</v>
      </c>
      <c r="M361" t="s">
        <v>588</v>
      </c>
      <c r="N361" t="s">
        <v>601</v>
      </c>
    </row>
    <row r="362" spans="1:14" x14ac:dyDescent="0.25">
      <c r="A362" t="s">
        <v>17</v>
      </c>
      <c r="B362" t="s">
        <v>123</v>
      </c>
      <c r="C362" t="s">
        <v>268</v>
      </c>
      <c r="D362" t="s">
        <v>424</v>
      </c>
      <c r="F362" t="s">
        <v>438</v>
      </c>
      <c r="G362" t="str">
        <f>HYPERLINK("https://ca.linkedin.com/jobs/view/data-analyst-developer-at-citi-3322089923?refId=lIBTu6VVJBjmOPUJ540J2w%3D%3D&amp;trackingId=xM4Y2TiER1CXI0ww1c5nVQ%3D%3D&amp;position=11&amp;pageNum=0&amp;trk=public_jobs_jserp-result_search-card", "Job Link")</f>
        <v>Job Link</v>
      </c>
      <c r="H362" t="s">
        <v>479</v>
      </c>
      <c r="I362" t="s">
        <v>481</v>
      </c>
      <c r="J362" t="s">
        <v>486</v>
      </c>
      <c r="K362" t="s">
        <v>519</v>
      </c>
      <c r="L362" t="s">
        <v>584</v>
      </c>
      <c r="M362" t="s">
        <v>588</v>
      </c>
      <c r="N362" t="s">
        <v>601</v>
      </c>
    </row>
    <row r="363" spans="1:14" x14ac:dyDescent="0.25">
      <c r="A363" t="s">
        <v>14</v>
      </c>
      <c r="B363" t="s">
        <v>128</v>
      </c>
      <c r="C363" t="s">
        <v>269</v>
      </c>
      <c r="D363" t="s">
        <v>424</v>
      </c>
      <c r="F363" t="s">
        <v>439</v>
      </c>
      <c r="G363" t="str">
        <f>HYPERLINK("https://ca.linkedin.com/jobs/view/data-analyst-at-diverse-lynx-3363377240?refId=lIBTu6VVJBjmOPUJ540J2w%3D%3D&amp;trackingId=1F01UPUR9uD4xrAm%2BCY0aQ%3D%3D&amp;position=12&amp;pageNum=0&amp;trk=public_jobs_jserp-result_search-card", "Job Link")</f>
        <v>Job Link</v>
      </c>
      <c r="H363" t="s">
        <v>476</v>
      </c>
      <c r="I363" t="s">
        <v>481</v>
      </c>
      <c r="J363" t="s">
        <v>486</v>
      </c>
      <c r="K363" t="s">
        <v>516</v>
      </c>
      <c r="L363" t="s">
        <v>586</v>
      </c>
      <c r="M363" t="s">
        <v>617</v>
      </c>
      <c r="N363" t="s">
        <v>601</v>
      </c>
    </row>
    <row r="364" spans="1:14" x14ac:dyDescent="0.25">
      <c r="A364" t="s">
        <v>14</v>
      </c>
      <c r="B364" t="s">
        <v>129</v>
      </c>
      <c r="C364" t="s">
        <v>270</v>
      </c>
      <c r="D364" t="s">
        <v>424</v>
      </c>
      <c r="F364" t="s">
        <v>440</v>
      </c>
      <c r="G364" t="str">
        <f>HYPERLINK("https://ca.linkedin.com/jobs/view/data-analyst-at-agricorp-3364433441?refId=lIBTu6VVJBjmOPUJ540J2w%3D%3D&amp;trackingId=x4CtwnGX%2FO97Ebo5raNyRg%3D%3D&amp;position=13&amp;pageNum=0&amp;trk=public_jobs_jserp-result_search-card", "Job Link")</f>
        <v>Job Link</v>
      </c>
      <c r="H364" t="s">
        <v>476</v>
      </c>
      <c r="I364" t="s">
        <v>481</v>
      </c>
      <c r="J364" t="s">
        <v>486</v>
      </c>
      <c r="K364" t="s">
        <v>523</v>
      </c>
      <c r="L364" t="s">
        <v>587</v>
      </c>
      <c r="M364" t="s">
        <v>588</v>
      </c>
      <c r="N364" t="s">
        <v>601</v>
      </c>
    </row>
    <row r="365" spans="1:14" x14ac:dyDescent="0.25">
      <c r="A365" t="s">
        <v>18</v>
      </c>
      <c r="B365" t="s">
        <v>130</v>
      </c>
      <c r="C365" t="s">
        <v>271</v>
      </c>
      <c r="D365" t="s">
        <v>424</v>
      </c>
      <c r="F365" t="s">
        <v>441</v>
      </c>
      <c r="G365" t="str">
        <f>HYPERLINK("https://ca.linkedin.com/jobs/view/junior-data-analyst-mississauga-on-at-arjo-3323264354?refId=lIBTu6VVJBjmOPUJ540J2w%3D%3D&amp;trackingId=9rpCSWSjxycyll7Jnr8WTQ%3D%3D&amp;position=14&amp;pageNum=0&amp;trk=public_jobs_jserp-result_search-card", "Job Link")</f>
        <v>Job Link</v>
      </c>
      <c r="H365" t="s">
        <v>479</v>
      </c>
      <c r="I365" t="s">
        <v>481</v>
      </c>
      <c r="J365" t="s">
        <v>486</v>
      </c>
      <c r="K365" t="s">
        <v>524</v>
      </c>
      <c r="L365" t="s">
        <v>588</v>
      </c>
      <c r="M365" t="s">
        <v>601</v>
      </c>
    </row>
    <row r="366" spans="1:14" x14ac:dyDescent="0.25">
      <c r="A366" t="s">
        <v>14</v>
      </c>
      <c r="B366" t="s">
        <v>131</v>
      </c>
      <c r="C366" t="s">
        <v>272</v>
      </c>
      <c r="D366" t="s">
        <v>424</v>
      </c>
      <c r="F366" t="s">
        <v>442</v>
      </c>
      <c r="G366" t="str">
        <f>HYPERLINK("https://ca.linkedin.com/jobs/view/data-analyst-at-westland-insurance-group-ltd-3345807760?refId=lIBTu6VVJBjmOPUJ540J2w%3D%3D&amp;trackingId=zp94QK4MYj0QD%2FcbjWWRTg%3D%3D&amp;position=15&amp;pageNum=0&amp;trk=public_jobs_jserp-result_search-card", "Job Link")</f>
        <v>Job Link</v>
      </c>
      <c r="H366" t="s">
        <v>476</v>
      </c>
      <c r="I366" t="s">
        <v>481</v>
      </c>
      <c r="J366" t="s">
        <v>486</v>
      </c>
      <c r="K366" t="s">
        <v>525</v>
      </c>
      <c r="L366" t="s">
        <v>589</v>
      </c>
      <c r="M366" t="s">
        <v>618</v>
      </c>
      <c r="N366" t="s">
        <v>601</v>
      </c>
    </row>
    <row r="367" spans="1:14" x14ac:dyDescent="0.25">
      <c r="A367" t="s">
        <v>14</v>
      </c>
      <c r="B367" t="s">
        <v>132</v>
      </c>
      <c r="C367" t="s">
        <v>273</v>
      </c>
      <c r="D367" t="s">
        <v>424</v>
      </c>
      <c r="F367" t="s">
        <v>443</v>
      </c>
      <c r="G367" t="str">
        <f>HYPERLINK("https://ca.linkedin.com/jobs/view/data-analyst-at-fasken-3365947704?refId=lIBTu6VVJBjmOPUJ540J2w%3D%3D&amp;trackingId=Xt9EIYneit%2BByclR3iTyJw%3D%3D&amp;position=16&amp;pageNum=0&amp;trk=public_jobs_jserp-result_search-card", "Job Link")</f>
        <v>Job Link</v>
      </c>
      <c r="H367" t="s">
        <v>476</v>
      </c>
      <c r="I367" t="s">
        <v>481</v>
      </c>
      <c r="J367" t="s">
        <v>486</v>
      </c>
      <c r="K367" t="s">
        <v>526</v>
      </c>
      <c r="L367" t="s">
        <v>590</v>
      </c>
      <c r="M367" t="s">
        <v>618</v>
      </c>
      <c r="N367" t="s">
        <v>601</v>
      </c>
    </row>
    <row r="368" spans="1:14" x14ac:dyDescent="0.25">
      <c r="A368" t="s">
        <v>14</v>
      </c>
      <c r="B368" t="s">
        <v>133</v>
      </c>
      <c r="C368" t="s">
        <v>274</v>
      </c>
      <c r="D368" t="s">
        <v>424</v>
      </c>
      <c r="F368" t="s">
        <v>434</v>
      </c>
      <c r="G368" t="str">
        <f>HYPERLINK("https://ca.linkedin.com/jobs/view/data-analyst-at-momentum-financial-services-group-3355811523?refId=lIBTu6VVJBjmOPUJ540J2w%3D%3D&amp;trackingId=lNZfhQStDL1Auy1N6UkAiA%3D%3D&amp;position=17&amp;pageNum=0&amp;trk=public_jobs_jserp-result_search-card", "Job Link")</f>
        <v>Job Link</v>
      </c>
      <c r="H368" t="s">
        <v>476</v>
      </c>
      <c r="I368" t="s">
        <v>481</v>
      </c>
      <c r="J368" t="s">
        <v>486</v>
      </c>
      <c r="K368" t="s">
        <v>527</v>
      </c>
      <c r="L368" t="s">
        <v>582</v>
      </c>
      <c r="M368" t="s">
        <v>588</v>
      </c>
      <c r="N368" t="s">
        <v>601</v>
      </c>
    </row>
    <row r="369" spans="1:14" x14ac:dyDescent="0.25">
      <c r="A369" t="s">
        <v>14</v>
      </c>
      <c r="B369" t="s">
        <v>134</v>
      </c>
      <c r="C369" t="s">
        <v>275</v>
      </c>
      <c r="D369" t="s">
        <v>424</v>
      </c>
      <c r="F369" t="s">
        <v>444</v>
      </c>
      <c r="G369" t="str">
        <f>HYPERLINK("https://ca.linkedin.com/jobs/view/data-analyst-at-tes-the-employment-solution-3322589522?refId=lIBTu6VVJBjmOPUJ540J2w%3D%3D&amp;trackingId=%2FUXQPFH2LVDcDzbC4Jv0KA%3D%3D&amp;position=18&amp;pageNum=0&amp;trk=public_jobs_jserp-result_search-card", "Job Link")</f>
        <v>Job Link</v>
      </c>
      <c r="H369" t="s">
        <v>476</v>
      </c>
      <c r="I369" t="s">
        <v>483</v>
      </c>
      <c r="J369" t="s">
        <v>486</v>
      </c>
      <c r="K369" t="s">
        <v>525</v>
      </c>
      <c r="L369" t="s">
        <v>591</v>
      </c>
      <c r="M369" t="s">
        <v>588</v>
      </c>
      <c r="N369" t="s">
        <v>601</v>
      </c>
    </row>
    <row r="370" spans="1:14" x14ac:dyDescent="0.25">
      <c r="A370" t="s">
        <v>14</v>
      </c>
      <c r="B370" t="s">
        <v>135</v>
      </c>
      <c r="C370" t="s">
        <v>276</v>
      </c>
      <c r="D370" t="s">
        <v>424</v>
      </c>
      <c r="F370" t="s">
        <v>440</v>
      </c>
      <c r="G370" t="str">
        <f>HYPERLINK("https://ca.linkedin.com/jobs/view/data-analyst-at-magna-international-3370822450?refId=lIBTu6VVJBjmOPUJ540J2w%3D%3D&amp;trackingId=G3UeeSDfeQ52EqkwUkt1Tg%3D%3D&amp;position=19&amp;pageNum=0&amp;trk=public_jobs_jserp-result_search-card", "Job Link")</f>
        <v>Job Link</v>
      </c>
      <c r="H370" t="s">
        <v>476</v>
      </c>
      <c r="I370" t="s">
        <v>481</v>
      </c>
      <c r="J370" t="s">
        <v>488</v>
      </c>
      <c r="K370" t="s">
        <v>528</v>
      </c>
      <c r="L370" t="s">
        <v>592</v>
      </c>
      <c r="M370" t="s">
        <v>588</v>
      </c>
      <c r="N370" t="s">
        <v>601</v>
      </c>
    </row>
    <row r="371" spans="1:14" x14ac:dyDescent="0.25">
      <c r="A371" t="s">
        <v>14</v>
      </c>
      <c r="B371" t="s">
        <v>128</v>
      </c>
      <c r="C371" t="s">
        <v>277</v>
      </c>
      <c r="D371" t="s">
        <v>424</v>
      </c>
      <c r="F371" t="s">
        <v>439</v>
      </c>
      <c r="G371" t="str">
        <f>HYPERLINK("https://ca.linkedin.com/jobs/view/data-analyst-at-diverse-lynx-3363374746?refId=lIBTu6VVJBjmOPUJ540J2w%3D%3D&amp;trackingId=8mznhCBxab78J9TI3T9qFQ%3D%3D&amp;position=20&amp;pageNum=0&amp;trk=public_jobs_jserp-result_search-card", "Job Link")</f>
        <v>Job Link</v>
      </c>
      <c r="H371" t="s">
        <v>476</v>
      </c>
      <c r="I371" t="s">
        <v>481</v>
      </c>
      <c r="J371" t="s">
        <v>486</v>
      </c>
      <c r="K371" t="s">
        <v>516</v>
      </c>
      <c r="L371" t="s">
        <v>586</v>
      </c>
      <c r="M371" t="s">
        <v>617</v>
      </c>
      <c r="N371" t="s">
        <v>601</v>
      </c>
    </row>
    <row r="372" spans="1:14" x14ac:dyDescent="0.25">
      <c r="A372" t="s">
        <v>19</v>
      </c>
      <c r="B372" t="s">
        <v>136</v>
      </c>
      <c r="C372" t="s">
        <v>278</v>
      </c>
      <c r="D372" t="s">
        <v>424</v>
      </c>
      <c r="F372" t="s">
        <v>445</v>
      </c>
      <c r="G372" t="str">
        <f>HYPERLINK("https://ca.linkedin.com/jobs/view/data-analyst-operations-at-sonder-inc-3229442908?refId=lIBTu6VVJBjmOPUJ540J2w%3D%3D&amp;trackingId=vvFgjjQHkaljSxGk0zQ%2BYQ%3D%3D&amp;position=21&amp;pageNum=0&amp;trk=public_jobs_jserp-result_search-card", "Job Link")</f>
        <v>Job Link</v>
      </c>
      <c r="H372" t="s">
        <v>476</v>
      </c>
      <c r="I372" t="s">
        <v>481</v>
      </c>
      <c r="J372" t="s">
        <v>486</v>
      </c>
      <c r="K372" t="s">
        <v>529</v>
      </c>
      <c r="L372" t="s">
        <v>582</v>
      </c>
      <c r="M372" t="s">
        <v>588</v>
      </c>
      <c r="N372" t="s">
        <v>601</v>
      </c>
    </row>
    <row r="373" spans="1:14" x14ac:dyDescent="0.25">
      <c r="A373" t="s">
        <v>20</v>
      </c>
      <c r="B373" t="s">
        <v>137</v>
      </c>
      <c r="C373" t="s">
        <v>279</v>
      </c>
      <c r="D373" t="s">
        <v>424</v>
      </c>
      <c r="F373" t="s">
        <v>446</v>
      </c>
      <c r="G373" t="str">
        <f>HYPERLINK("https://ca.linkedin.com/jobs/view/senior-data-analyst-at-mueller-water-products-3122544636?refId=lIBTu6VVJBjmOPUJ540J2w%3D%3D&amp;trackingId=knPcIh0VxTnVDnzpKBzFpA%3D%3D&amp;position=22&amp;pageNum=0&amp;trk=public_jobs_jserp-result_search-card", "Job Link")</f>
        <v>Job Link</v>
      </c>
      <c r="H373" t="s">
        <v>478</v>
      </c>
      <c r="I373" t="s">
        <v>481</v>
      </c>
      <c r="J373" t="s">
        <v>486</v>
      </c>
      <c r="K373" t="s">
        <v>530</v>
      </c>
      <c r="L373" t="s">
        <v>582</v>
      </c>
      <c r="M373" t="s">
        <v>588</v>
      </c>
      <c r="N373" t="s">
        <v>601</v>
      </c>
    </row>
    <row r="374" spans="1:14" x14ac:dyDescent="0.25">
      <c r="A374" t="s">
        <v>21</v>
      </c>
      <c r="B374" t="s">
        <v>138</v>
      </c>
      <c r="C374" t="s">
        <v>280</v>
      </c>
      <c r="D374" t="s">
        <v>424</v>
      </c>
      <c r="F374" t="s">
        <v>447</v>
      </c>
      <c r="G374" t="str">
        <f>HYPERLINK("https://ca.linkedin.com/jobs/view/data-entry-jr-analyst-6-month-contract-at-csl-group-ltd-3323214993?refId=lIBTu6VVJBjmOPUJ540J2w%3D%3D&amp;trackingId=Fu5lBEt1%2BGrDShRW25mLUA%3D%3D&amp;position=23&amp;pageNum=0&amp;trk=public_jobs_jserp-result_search-card", "Job Link")</f>
        <v>Job Link</v>
      </c>
      <c r="H374" t="s">
        <v>476</v>
      </c>
      <c r="I374" t="s">
        <v>484</v>
      </c>
      <c r="J374" t="s">
        <v>489</v>
      </c>
      <c r="K374" t="s">
        <v>531</v>
      </c>
      <c r="L374" t="s">
        <v>593</v>
      </c>
      <c r="M374" t="s">
        <v>588</v>
      </c>
      <c r="N374" t="s">
        <v>601</v>
      </c>
    </row>
    <row r="375" spans="1:14" x14ac:dyDescent="0.25">
      <c r="A375" t="s">
        <v>22</v>
      </c>
      <c r="B375" t="s">
        <v>139</v>
      </c>
      <c r="C375" t="s">
        <v>281</v>
      </c>
      <c r="D375" t="s">
        <v>424</v>
      </c>
      <c r="F375" t="s">
        <v>435</v>
      </c>
      <c r="G375" t="str">
        <f>HYPERLINK("https://ca.linkedin.com/jobs/view/quality-data-analyst-at-lululemon-3341634874?refId=lIBTu6VVJBjmOPUJ540J2w%3D%3D&amp;trackingId=K1Gk2pWzj2%2BrfROIBhX4Sg%3D%3D&amp;position=24&amp;pageNum=0&amp;trk=public_jobs_jserp-result_search-card", "Job Link")</f>
        <v>Job Link</v>
      </c>
      <c r="H375" t="s">
        <v>476</v>
      </c>
      <c r="I375" t="s">
        <v>481</v>
      </c>
      <c r="J375" t="s">
        <v>486</v>
      </c>
      <c r="K375" t="s">
        <v>532</v>
      </c>
      <c r="L375" t="s">
        <v>590</v>
      </c>
      <c r="M375" t="s">
        <v>618</v>
      </c>
      <c r="N375" t="s">
        <v>601</v>
      </c>
    </row>
    <row r="376" spans="1:14" x14ac:dyDescent="0.25">
      <c r="A376" t="s">
        <v>14</v>
      </c>
      <c r="B376" t="s">
        <v>140</v>
      </c>
      <c r="C376" t="s">
        <v>282</v>
      </c>
      <c r="D376" t="s">
        <v>424</v>
      </c>
      <c r="F376" t="s">
        <v>440</v>
      </c>
      <c r="G376" t="str">
        <f>HYPERLINK("https://ca.linkedin.com/jobs/view/data-analyst-at-scotiabank-3365406993?refId=lIBTu6VVJBjmOPUJ540J2w%3D%3D&amp;trackingId=TV7HS0cMSmvCD2JFXo%2BoXQ%3D%3D&amp;position=25&amp;pageNum=0&amp;trk=public_jobs_jserp-result_search-card", "Job Link")</f>
        <v>Job Link</v>
      </c>
      <c r="H376" t="s">
        <v>479</v>
      </c>
      <c r="I376" t="s">
        <v>481</v>
      </c>
      <c r="J376" t="s">
        <v>486</v>
      </c>
      <c r="K376" t="s">
        <v>533</v>
      </c>
      <c r="L376" t="s">
        <v>582</v>
      </c>
      <c r="M376" t="s">
        <v>588</v>
      </c>
      <c r="N376" t="s">
        <v>601</v>
      </c>
    </row>
    <row r="377" spans="1:14" x14ac:dyDescent="0.25">
      <c r="A377" t="s">
        <v>14</v>
      </c>
      <c r="B377" t="s">
        <v>118</v>
      </c>
      <c r="C377" t="s">
        <v>258</v>
      </c>
      <c r="D377" t="s">
        <v>424</v>
      </c>
      <c r="F377" t="s">
        <v>430</v>
      </c>
      <c r="G377" t="str">
        <f>HYPERLINK("https://ca.linkedin.com/jobs/view/data-analyst-at-axonify-3324670516?refId=HLoBFAX75TpfrnGGonsPwQ%3D%3D&amp;trackingId=cp6yaT4ixD2LuhHJ%2FsmMuA%3D%3D&amp;position=1&amp;pageNum=0&amp;trk=public_jobs_jserp-result_search-card", "Job Link")</f>
        <v>Job Link</v>
      </c>
      <c r="H377" t="s">
        <v>476</v>
      </c>
      <c r="I377" t="s">
        <v>481</v>
      </c>
      <c r="J377" t="s">
        <v>486</v>
      </c>
      <c r="K377" t="s">
        <v>516</v>
      </c>
      <c r="L377" t="s">
        <v>581</v>
      </c>
      <c r="M377" t="s">
        <v>588</v>
      </c>
      <c r="N377" t="s">
        <v>601</v>
      </c>
    </row>
    <row r="378" spans="1:14" x14ac:dyDescent="0.25">
      <c r="A378" t="s">
        <v>14</v>
      </c>
      <c r="B378" t="s">
        <v>119</v>
      </c>
      <c r="C378" t="s">
        <v>259</v>
      </c>
      <c r="D378" t="s">
        <v>424</v>
      </c>
      <c r="F378" t="s">
        <v>431</v>
      </c>
      <c r="G378" t="str">
        <f>HYPERLINK("https://ca.linkedin.com/jobs/view/data-analyst-at-b3-systems-3361794123?refId=HLoBFAX75TpfrnGGonsPwQ%3D%3D&amp;trackingId=TBcmd9Lf0cM8KQBS3Jn%2BOQ%3D%3D&amp;position=2&amp;pageNum=0&amp;trk=public_jobs_jserp-result_search-card", "Job Link")</f>
        <v>Job Link</v>
      </c>
      <c r="I378" t="s">
        <v>481</v>
      </c>
      <c r="L378" t="s">
        <v>582</v>
      </c>
      <c r="M378" t="s">
        <v>588</v>
      </c>
      <c r="N378" t="s">
        <v>601</v>
      </c>
    </row>
    <row r="379" spans="1:14" x14ac:dyDescent="0.25">
      <c r="A379" t="s">
        <v>14</v>
      </c>
      <c r="B379" t="s">
        <v>120</v>
      </c>
      <c r="C379" t="s">
        <v>260</v>
      </c>
      <c r="D379" t="s">
        <v>424</v>
      </c>
      <c r="F379" t="s">
        <v>431</v>
      </c>
      <c r="G379" t="str">
        <f>HYPERLINK("https://ca.linkedin.com/jobs/view/data-analyst-at-wood-mackenzie-3271782079?refId=HLoBFAX75TpfrnGGonsPwQ%3D%3D&amp;trackingId=88CG5sXuzlywPZ9xDNZX9Q%3D%3D&amp;position=3&amp;pageNum=0&amp;trk=public_jobs_jserp-result_search-card", "Job Link")</f>
        <v>Job Link</v>
      </c>
      <c r="H379" t="s">
        <v>477</v>
      </c>
      <c r="I379" t="s">
        <v>481</v>
      </c>
      <c r="J379" t="s">
        <v>487</v>
      </c>
      <c r="K379" t="s">
        <v>517</v>
      </c>
      <c r="L379" t="s">
        <v>583</v>
      </c>
      <c r="M379" t="s">
        <v>610</v>
      </c>
      <c r="N379" t="s">
        <v>601</v>
      </c>
    </row>
    <row r="380" spans="1:14" x14ac:dyDescent="0.25">
      <c r="A380" t="s">
        <v>14</v>
      </c>
      <c r="B380" t="s">
        <v>121</v>
      </c>
      <c r="C380" t="s">
        <v>261</v>
      </c>
      <c r="D380" t="s">
        <v>424</v>
      </c>
      <c r="F380" t="s">
        <v>432</v>
      </c>
      <c r="G380" t="str">
        <f>HYPERLINK("https://ca.linkedin.com/jobs/view/data-analyst-at-loft-community-services-3364383026?refId=HLoBFAX75TpfrnGGonsPwQ%3D%3D&amp;trackingId=uhbhV8zNDGt4SLlG1wku5A%3D%3D&amp;position=4&amp;pageNum=0&amp;trk=public_jobs_jserp-result_search-card", "Job Link")</f>
        <v>Job Link</v>
      </c>
      <c r="I380" t="s">
        <v>482</v>
      </c>
      <c r="L380" t="s">
        <v>582</v>
      </c>
      <c r="M380" t="s">
        <v>588</v>
      </c>
      <c r="N380" t="s">
        <v>601</v>
      </c>
    </row>
    <row r="381" spans="1:14" x14ac:dyDescent="0.25">
      <c r="A381" t="s">
        <v>14</v>
      </c>
      <c r="B381" t="s">
        <v>122</v>
      </c>
      <c r="C381" t="s">
        <v>262</v>
      </c>
      <c r="D381" t="s">
        <v>424</v>
      </c>
      <c r="F381" t="s">
        <v>433</v>
      </c>
      <c r="G381" t="str">
        <f>HYPERLINK("https://ca.linkedin.com/jobs/view/data-analyst-at-nam-info-inc-3351590976?refId=HLoBFAX75TpfrnGGonsPwQ%3D%3D&amp;trackingId=2o5s36hW1hnqhmkjTPi%2BRg%3D%3D&amp;position=5&amp;pageNum=0&amp;trk=public_jobs_jserp-result_search-card", "Job Link")</f>
        <v>Job Link</v>
      </c>
      <c r="H381" t="s">
        <v>478</v>
      </c>
      <c r="I381" t="s">
        <v>483</v>
      </c>
      <c r="J381" t="s">
        <v>486</v>
      </c>
      <c r="K381" t="s">
        <v>518</v>
      </c>
      <c r="L381" t="s">
        <v>582</v>
      </c>
      <c r="M381" t="s">
        <v>588</v>
      </c>
      <c r="N381" t="s">
        <v>601</v>
      </c>
    </row>
    <row r="382" spans="1:14" x14ac:dyDescent="0.25">
      <c r="A382" t="s">
        <v>14</v>
      </c>
      <c r="B382" t="s">
        <v>123</v>
      </c>
      <c r="C382" t="s">
        <v>263</v>
      </c>
      <c r="D382" t="s">
        <v>424</v>
      </c>
      <c r="F382" t="s">
        <v>434</v>
      </c>
      <c r="G382" t="str">
        <f>HYPERLINK("https://ca.linkedin.com/jobs/view/data-analyst-at-citi-3263096865?refId=HLoBFAX75TpfrnGGonsPwQ%3D%3D&amp;trackingId=nSOnawACLLsSNuZnY2I93Q%3D%3D&amp;position=6&amp;pageNum=0&amp;trk=public_jobs_jserp-result_search-card", "Job Link")</f>
        <v>Job Link</v>
      </c>
      <c r="H382" t="s">
        <v>479</v>
      </c>
      <c r="I382" t="s">
        <v>481</v>
      </c>
      <c r="J382" t="s">
        <v>486</v>
      </c>
      <c r="K382" t="s">
        <v>519</v>
      </c>
      <c r="L382" t="s">
        <v>584</v>
      </c>
      <c r="M382" t="s">
        <v>588</v>
      </c>
      <c r="N382" t="s">
        <v>601</v>
      </c>
    </row>
    <row r="383" spans="1:14" x14ac:dyDescent="0.25">
      <c r="A383" t="s">
        <v>14</v>
      </c>
      <c r="B383" t="s">
        <v>124</v>
      </c>
      <c r="C383" t="s">
        <v>264</v>
      </c>
      <c r="D383" t="s">
        <v>424</v>
      </c>
      <c r="F383" t="s">
        <v>435</v>
      </c>
      <c r="G383" t="str">
        <f>HYPERLINK("https://ca.linkedin.com/jobs/view/data-analyst-at-king-s-college-london-3335332409?refId=HLoBFAX75TpfrnGGonsPwQ%3D%3D&amp;trackingId=inKrOpn1fZoR8%2F2nOHv5RA%3D%3D&amp;position=7&amp;pageNum=0&amp;trk=public_jobs_jserp-result_search-card", "Job Link")</f>
        <v>Job Link</v>
      </c>
      <c r="H383" t="s">
        <v>476</v>
      </c>
      <c r="I383" t="s">
        <v>481</v>
      </c>
      <c r="J383" t="s">
        <v>486</v>
      </c>
      <c r="K383" t="s">
        <v>520</v>
      </c>
      <c r="L383" t="s">
        <v>585</v>
      </c>
      <c r="M383" t="s">
        <v>588</v>
      </c>
      <c r="N383" t="s">
        <v>601</v>
      </c>
    </row>
    <row r="384" spans="1:14" x14ac:dyDescent="0.25">
      <c r="A384" t="s">
        <v>15</v>
      </c>
      <c r="B384" t="s">
        <v>125</v>
      </c>
      <c r="C384" t="s">
        <v>265</v>
      </c>
      <c r="D384" t="s">
        <v>424</v>
      </c>
      <c r="F384" t="s">
        <v>431</v>
      </c>
      <c r="G384" t="str">
        <f>HYPERLINK("https://ca.linkedin.com/jobs/view/data-analyst-remote-at-cognizant-microsoft-business-group-3333618510?refId=HLoBFAX75TpfrnGGonsPwQ%3D%3D&amp;trackingId=5t%2B%2BOLPeNRQuqFNKPmskyw%3D%3D&amp;position=8&amp;pageNum=0&amp;trk=public_jobs_jserp-result_search-card", "Job Link")</f>
        <v>Job Link</v>
      </c>
      <c r="H384" t="s">
        <v>476</v>
      </c>
      <c r="I384" t="s">
        <v>481</v>
      </c>
      <c r="J384" t="s">
        <v>486</v>
      </c>
      <c r="K384" t="s">
        <v>521</v>
      </c>
      <c r="L384" t="s">
        <v>582</v>
      </c>
      <c r="M384" t="s">
        <v>588</v>
      </c>
      <c r="N384" t="s">
        <v>601</v>
      </c>
    </row>
    <row r="385" spans="1:14" x14ac:dyDescent="0.25">
      <c r="A385" t="s">
        <v>16</v>
      </c>
      <c r="B385" t="s">
        <v>126</v>
      </c>
      <c r="C385" t="s">
        <v>266</v>
      </c>
      <c r="D385" t="s">
        <v>424</v>
      </c>
      <c r="F385" t="s">
        <v>436</v>
      </c>
      <c r="G385" t="str">
        <f>HYPERLINK("https://ca.linkedin.com/jobs/view/data-analyst-loans-at-tata-consultancy-services-3344804680?refId=HLoBFAX75TpfrnGGonsPwQ%3D%3D&amp;trackingId=AQJYgwrlRmI7eNQ26FVoHQ%3D%3D&amp;position=9&amp;pageNum=0&amp;trk=public_jobs_jserp-result_search-card", "Job Link")</f>
        <v>Job Link</v>
      </c>
      <c r="H385" t="s">
        <v>477</v>
      </c>
      <c r="I385" t="s">
        <v>481</v>
      </c>
      <c r="J385" t="s">
        <v>486</v>
      </c>
      <c r="K385" t="s">
        <v>517</v>
      </c>
      <c r="L385" t="s">
        <v>584</v>
      </c>
      <c r="M385" t="s">
        <v>588</v>
      </c>
      <c r="N385" t="s">
        <v>601</v>
      </c>
    </row>
    <row r="386" spans="1:14" x14ac:dyDescent="0.25">
      <c r="A386" t="s">
        <v>14</v>
      </c>
      <c r="B386" t="s">
        <v>127</v>
      </c>
      <c r="C386" t="s">
        <v>267</v>
      </c>
      <c r="D386" t="s">
        <v>424</v>
      </c>
      <c r="F386" t="s">
        <v>437</v>
      </c>
      <c r="G386" t="str">
        <f>HYPERLINK("https://ca.linkedin.com/jobs/view/data-analyst-at-vubiquity-3365112221?refId=HLoBFAX75TpfrnGGonsPwQ%3D%3D&amp;trackingId=klsMlCCkg4L%2BQOKiKuHhIQ%3D%3D&amp;position=10&amp;pageNum=0&amp;trk=public_jobs_jserp-result_search-card", "Job Link")</f>
        <v>Job Link</v>
      </c>
      <c r="H386" t="s">
        <v>476</v>
      </c>
      <c r="I386" t="s">
        <v>481</v>
      </c>
      <c r="J386" t="s">
        <v>486</v>
      </c>
      <c r="K386" t="s">
        <v>522</v>
      </c>
      <c r="L386" t="s">
        <v>582</v>
      </c>
      <c r="M386" t="s">
        <v>588</v>
      </c>
      <c r="N386" t="s">
        <v>601</v>
      </c>
    </row>
    <row r="387" spans="1:14" x14ac:dyDescent="0.25">
      <c r="A387" t="s">
        <v>17</v>
      </c>
      <c r="B387" t="s">
        <v>123</v>
      </c>
      <c r="C387" t="s">
        <v>268</v>
      </c>
      <c r="D387" t="s">
        <v>424</v>
      </c>
      <c r="F387" t="s">
        <v>438</v>
      </c>
      <c r="G387" t="str">
        <f>HYPERLINK("https://ca.linkedin.com/jobs/view/data-analyst-developer-at-citi-3322089923?refId=HLoBFAX75TpfrnGGonsPwQ%3D%3D&amp;trackingId=4wEQpw6SqeC41q6RBB6xqQ%3D%3D&amp;position=11&amp;pageNum=0&amp;trk=public_jobs_jserp-result_search-card", "Job Link")</f>
        <v>Job Link</v>
      </c>
      <c r="H387" t="s">
        <v>479</v>
      </c>
      <c r="I387" t="s">
        <v>481</v>
      </c>
      <c r="J387" t="s">
        <v>486</v>
      </c>
      <c r="K387" t="s">
        <v>519</v>
      </c>
      <c r="L387" t="s">
        <v>584</v>
      </c>
      <c r="M387" t="s">
        <v>588</v>
      </c>
      <c r="N387" t="s">
        <v>601</v>
      </c>
    </row>
    <row r="388" spans="1:14" x14ac:dyDescent="0.25">
      <c r="A388" t="s">
        <v>14</v>
      </c>
      <c r="B388" t="s">
        <v>128</v>
      </c>
      <c r="C388" t="s">
        <v>269</v>
      </c>
      <c r="D388" t="s">
        <v>424</v>
      </c>
      <c r="F388" t="s">
        <v>439</v>
      </c>
      <c r="G388" t="str">
        <f>HYPERLINK("https://ca.linkedin.com/jobs/view/data-analyst-at-diverse-lynx-3363377240?refId=HLoBFAX75TpfrnGGonsPwQ%3D%3D&amp;trackingId=4lB%2BshaY%2F8sMZAt8A5ND3w%3D%3D&amp;position=12&amp;pageNum=0&amp;trk=public_jobs_jserp-result_search-card", "Job Link")</f>
        <v>Job Link</v>
      </c>
      <c r="H388" t="s">
        <v>476</v>
      </c>
      <c r="I388" t="s">
        <v>481</v>
      </c>
      <c r="J388" t="s">
        <v>486</v>
      </c>
      <c r="K388" t="s">
        <v>516</v>
      </c>
      <c r="L388" t="s">
        <v>586</v>
      </c>
      <c r="M388" t="s">
        <v>617</v>
      </c>
      <c r="N388" t="s">
        <v>601</v>
      </c>
    </row>
    <row r="389" spans="1:14" x14ac:dyDescent="0.25">
      <c r="A389" t="s">
        <v>14</v>
      </c>
      <c r="B389" t="s">
        <v>129</v>
      </c>
      <c r="C389" t="s">
        <v>270</v>
      </c>
      <c r="D389" t="s">
        <v>424</v>
      </c>
      <c r="F389" t="s">
        <v>440</v>
      </c>
      <c r="G389" t="str">
        <f>HYPERLINK("https://ca.linkedin.com/jobs/view/data-analyst-at-agricorp-3364433441?refId=HLoBFAX75TpfrnGGonsPwQ%3D%3D&amp;trackingId=Bq%2F7sBuTapsco4kP4Bd%2F9g%3D%3D&amp;position=13&amp;pageNum=0&amp;trk=public_jobs_jserp-result_search-card", "Job Link")</f>
        <v>Job Link</v>
      </c>
      <c r="H389" t="s">
        <v>476</v>
      </c>
      <c r="I389" t="s">
        <v>481</v>
      </c>
      <c r="J389" t="s">
        <v>486</v>
      </c>
      <c r="K389" t="s">
        <v>523</v>
      </c>
      <c r="L389" t="s">
        <v>587</v>
      </c>
      <c r="M389" t="s">
        <v>588</v>
      </c>
      <c r="N389" t="s">
        <v>601</v>
      </c>
    </row>
    <row r="390" spans="1:14" x14ac:dyDescent="0.25">
      <c r="A390" t="s">
        <v>18</v>
      </c>
      <c r="B390" t="s">
        <v>130</v>
      </c>
      <c r="C390" t="s">
        <v>271</v>
      </c>
      <c r="D390" t="s">
        <v>424</v>
      </c>
      <c r="F390" t="s">
        <v>441</v>
      </c>
      <c r="G390" t="str">
        <f>HYPERLINK("https://ca.linkedin.com/jobs/view/junior-data-analyst-mississauga-on-at-arjo-3323264354?refId=HLoBFAX75TpfrnGGonsPwQ%3D%3D&amp;trackingId=Iw76iG2liTG7GkXTjDdi7Q%3D%3D&amp;position=14&amp;pageNum=0&amp;trk=public_jobs_jserp-result_search-card", "Job Link")</f>
        <v>Job Link</v>
      </c>
      <c r="H390" t="s">
        <v>479</v>
      </c>
      <c r="I390" t="s">
        <v>481</v>
      </c>
      <c r="J390" t="s">
        <v>486</v>
      </c>
      <c r="K390" t="s">
        <v>524</v>
      </c>
      <c r="L390" t="s">
        <v>588</v>
      </c>
      <c r="M390" t="s">
        <v>601</v>
      </c>
    </row>
    <row r="391" spans="1:14" x14ac:dyDescent="0.25">
      <c r="A391" t="s">
        <v>14</v>
      </c>
      <c r="B391" t="s">
        <v>131</v>
      </c>
      <c r="C391" t="s">
        <v>272</v>
      </c>
      <c r="D391" t="s">
        <v>424</v>
      </c>
      <c r="F391" t="s">
        <v>442</v>
      </c>
      <c r="G391" t="str">
        <f>HYPERLINK("https://ca.linkedin.com/jobs/view/data-analyst-at-westland-insurance-group-ltd-3345807760?refId=HLoBFAX75TpfrnGGonsPwQ%3D%3D&amp;trackingId=fKQ3M2JCkziFzSXXOhbmCA%3D%3D&amp;position=15&amp;pageNum=0&amp;trk=public_jobs_jserp-result_search-card", "Job Link")</f>
        <v>Job Link</v>
      </c>
      <c r="H391" t="s">
        <v>476</v>
      </c>
      <c r="I391" t="s">
        <v>481</v>
      </c>
      <c r="J391" t="s">
        <v>486</v>
      </c>
      <c r="K391" t="s">
        <v>525</v>
      </c>
      <c r="L391" t="s">
        <v>589</v>
      </c>
      <c r="M391" t="s">
        <v>618</v>
      </c>
      <c r="N391" t="s">
        <v>601</v>
      </c>
    </row>
    <row r="392" spans="1:14" x14ac:dyDescent="0.25">
      <c r="A392" t="s">
        <v>14</v>
      </c>
      <c r="B392" t="s">
        <v>132</v>
      </c>
      <c r="C392" t="s">
        <v>273</v>
      </c>
      <c r="D392" t="s">
        <v>424</v>
      </c>
      <c r="F392" t="s">
        <v>443</v>
      </c>
      <c r="G392" t="str">
        <f>HYPERLINK("https://ca.linkedin.com/jobs/view/data-analyst-at-fasken-3365947704?refId=HLoBFAX75TpfrnGGonsPwQ%3D%3D&amp;trackingId=TSmWJ%2B9DVO57K7NtkBBaIQ%3D%3D&amp;position=16&amp;pageNum=0&amp;trk=public_jobs_jserp-result_search-card", "Job Link")</f>
        <v>Job Link</v>
      </c>
      <c r="H392" t="s">
        <v>476</v>
      </c>
      <c r="I392" t="s">
        <v>481</v>
      </c>
      <c r="J392" t="s">
        <v>486</v>
      </c>
      <c r="K392" t="s">
        <v>526</v>
      </c>
      <c r="L392" t="s">
        <v>590</v>
      </c>
      <c r="M392" t="s">
        <v>618</v>
      </c>
      <c r="N392" t="s">
        <v>601</v>
      </c>
    </row>
    <row r="393" spans="1:14" x14ac:dyDescent="0.25">
      <c r="A393" t="s">
        <v>14</v>
      </c>
      <c r="B393" t="s">
        <v>133</v>
      </c>
      <c r="C393" t="s">
        <v>274</v>
      </c>
      <c r="D393" t="s">
        <v>424</v>
      </c>
      <c r="F393" t="s">
        <v>434</v>
      </c>
      <c r="G393" t="str">
        <f>HYPERLINK("https://ca.linkedin.com/jobs/view/data-analyst-at-momentum-financial-services-group-3355811523?refId=HLoBFAX75TpfrnGGonsPwQ%3D%3D&amp;trackingId=SaWCrQlKzKsJed%2FSh7pYmw%3D%3D&amp;position=17&amp;pageNum=0&amp;trk=public_jobs_jserp-result_search-card", "Job Link")</f>
        <v>Job Link</v>
      </c>
      <c r="H393" t="s">
        <v>476</v>
      </c>
      <c r="I393" t="s">
        <v>481</v>
      </c>
      <c r="J393" t="s">
        <v>486</v>
      </c>
      <c r="K393" t="s">
        <v>527</v>
      </c>
      <c r="L393" t="s">
        <v>582</v>
      </c>
      <c r="M393" t="s">
        <v>588</v>
      </c>
      <c r="N393" t="s">
        <v>601</v>
      </c>
    </row>
    <row r="394" spans="1:14" x14ac:dyDescent="0.25">
      <c r="A394" t="s">
        <v>14</v>
      </c>
      <c r="B394" t="s">
        <v>134</v>
      </c>
      <c r="C394" t="s">
        <v>275</v>
      </c>
      <c r="D394" t="s">
        <v>424</v>
      </c>
      <c r="F394" t="s">
        <v>444</v>
      </c>
      <c r="G394" t="str">
        <f>HYPERLINK("https://ca.linkedin.com/jobs/view/data-analyst-at-tes-the-employment-solution-3322589522?refId=HLoBFAX75TpfrnGGonsPwQ%3D%3D&amp;trackingId=jmUaG7TdK%2FK%2FPWetXTnfwQ%3D%3D&amp;position=18&amp;pageNum=0&amp;trk=public_jobs_jserp-result_search-card", "Job Link")</f>
        <v>Job Link</v>
      </c>
      <c r="H394" t="s">
        <v>476</v>
      </c>
      <c r="I394" t="s">
        <v>483</v>
      </c>
      <c r="J394" t="s">
        <v>486</v>
      </c>
      <c r="K394" t="s">
        <v>525</v>
      </c>
      <c r="L394" t="s">
        <v>591</v>
      </c>
      <c r="M394" t="s">
        <v>588</v>
      </c>
      <c r="N394" t="s">
        <v>601</v>
      </c>
    </row>
    <row r="395" spans="1:14" x14ac:dyDescent="0.25">
      <c r="A395" t="s">
        <v>14</v>
      </c>
      <c r="B395" t="s">
        <v>135</v>
      </c>
      <c r="C395" t="s">
        <v>276</v>
      </c>
      <c r="D395" t="s">
        <v>424</v>
      </c>
      <c r="F395" t="s">
        <v>440</v>
      </c>
      <c r="G395" t="str">
        <f>HYPERLINK("https://ca.linkedin.com/jobs/view/data-analyst-at-magna-international-3370822450?refId=HLoBFAX75TpfrnGGonsPwQ%3D%3D&amp;trackingId=zjFLhw8etPte4N%2Fb0rqkaw%3D%3D&amp;position=19&amp;pageNum=0&amp;trk=public_jobs_jserp-result_search-card", "Job Link")</f>
        <v>Job Link</v>
      </c>
      <c r="H395" t="s">
        <v>476</v>
      </c>
      <c r="I395" t="s">
        <v>481</v>
      </c>
      <c r="J395" t="s">
        <v>488</v>
      </c>
      <c r="K395" t="s">
        <v>528</v>
      </c>
      <c r="L395" t="s">
        <v>592</v>
      </c>
      <c r="M395" t="s">
        <v>588</v>
      </c>
      <c r="N395" t="s">
        <v>601</v>
      </c>
    </row>
    <row r="396" spans="1:14" x14ac:dyDescent="0.25">
      <c r="A396" t="s">
        <v>14</v>
      </c>
      <c r="B396" t="s">
        <v>128</v>
      </c>
      <c r="C396" t="s">
        <v>277</v>
      </c>
      <c r="D396" t="s">
        <v>424</v>
      </c>
      <c r="F396" t="s">
        <v>439</v>
      </c>
      <c r="G396" t="str">
        <f>HYPERLINK("https://ca.linkedin.com/jobs/view/data-analyst-at-diverse-lynx-3363374746?refId=HLoBFAX75TpfrnGGonsPwQ%3D%3D&amp;trackingId=nxA17GtWqCOcxs8H2tLC4g%3D%3D&amp;position=20&amp;pageNum=0&amp;trk=public_jobs_jserp-result_search-card", "Job Link")</f>
        <v>Job Link</v>
      </c>
      <c r="H396" t="s">
        <v>476</v>
      </c>
      <c r="I396" t="s">
        <v>481</v>
      </c>
      <c r="J396" t="s">
        <v>486</v>
      </c>
      <c r="K396" t="s">
        <v>516</v>
      </c>
      <c r="L396" t="s">
        <v>586</v>
      </c>
      <c r="M396" t="s">
        <v>617</v>
      </c>
      <c r="N396" t="s">
        <v>601</v>
      </c>
    </row>
    <row r="397" spans="1:14" x14ac:dyDescent="0.25">
      <c r="A397" t="s">
        <v>19</v>
      </c>
      <c r="B397" t="s">
        <v>136</v>
      </c>
      <c r="C397" t="s">
        <v>278</v>
      </c>
      <c r="D397" t="s">
        <v>424</v>
      </c>
      <c r="F397" t="s">
        <v>445</v>
      </c>
      <c r="G397" t="str">
        <f>HYPERLINK("https://ca.linkedin.com/jobs/view/data-analyst-operations-at-sonder-inc-3229442908?refId=HLoBFAX75TpfrnGGonsPwQ%3D%3D&amp;trackingId=MDOR39jFC%2FtdQUKDgAOHtQ%3D%3D&amp;position=21&amp;pageNum=0&amp;trk=public_jobs_jserp-result_search-card", "Job Link")</f>
        <v>Job Link</v>
      </c>
      <c r="H397" t="s">
        <v>476</v>
      </c>
      <c r="I397" t="s">
        <v>481</v>
      </c>
      <c r="J397" t="s">
        <v>486</v>
      </c>
      <c r="K397" t="s">
        <v>529</v>
      </c>
      <c r="L397" t="s">
        <v>582</v>
      </c>
      <c r="M397" t="s">
        <v>588</v>
      </c>
      <c r="N397" t="s">
        <v>601</v>
      </c>
    </row>
    <row r="398" spans="1:14" x14ac:dyDescent="0.25">
      <c r="A398" t="s">
        <v>20</v>
      </c>
      <c r="B398" t="s">
        <v>137</v>
      </c>
      <c r="C398" t="s">
        <v>279</v>
      </c>
      <c r="D398" t="s">
        <v>424</v>
      </c>
      <c r="F398" t="s">
        <v>446</v>
      </c>
      <c r="G398" t="str">
        <f>HYPERLINK("https://ca.linkedin.com/jobs/view/senior-data-analyst-at-mueller-water-products-3122544636?refId=HLoBFAX75TpfrnGGonsPwQ%3D%3D&amp;trackingId=Ebr7lj%2BbGmUEtzdeHxQvBg%3D%3D&amp;position=22&amp;pageNum=0&amp;trk=public_jobs_jserp-result_search-card", "Job Link")</f>
        <v>Job Link</v>
      </c>
      <c r="H398" t="s">
        <v>478</v>
      </c>
      <c r="I398" t="s">
        <v>481</v>
      </c>
      <c r="J398" t="s">
        <v>486</v>
      </c>
      <c r="K398" t="s">
        <v>530</v>
      </c>
      <c r="L398" t="s">
        <v>582</v>
      </c>
      <c r="M398" t="s">
        <v>588</v>
      </c>
      <c r="N398" t="s">
        <v>601</v>
      </c>
    </row>
    <row r="399" spans="1:14" x14ac:dyDescent="0.25">
      <c r="A399" t="s">
        <v>21</v>
      </c>
      <c r="B399" t="s">
        <v>138</v>
      </c>
      <c r="C399" t="s">
        <v>280</v>
      </c>
      <c r="D399" t="s">
        <v>424</v>
      </c>
      <c r="F399" t="s">
        <v>447</v>
      </c>
      <c r="G399" t="str">
        <f>HYPERLINK("https://ca.linkedin.com/jobs/view/data-entry-jr-analyst-6-month-contract-at-csl-group-ltd-3323214993?refId=HLoBFAX75TpfrnGGonsPwQ%3D%3D&amp;trackingId=TB3fl9p1uYkyVjH2IKGsgA%3D%3D&amp;position=23&amp;pageNum=0&amp;trk=public_jobs_jserp-result_search-card", "Job Link")</f>
        <v>Job Link</v>
      </c>
      <c r="H399" t="s">
        <v>476</v>
      </c>
      <c r="I399" t="s">
        <v>484</v>
      </c>
      <c r="J399" t="s">
        <v>489</v>
      </c>
      <c r="K399" t="s">
        <v>531</v>
      </c>
      <c r="L399" t="s">
        <v>593</v>
      </c>
      <c r="M399" t="s">
        <v>588</v>
      </c>
      <c r="N399" t="s">
        <v>601</v>
      </c>
    </row>
    <row r="400" spans="1:14" x14ac:dyDescent="0.25">
      <c r="A400" t="s">
        <v>22</v>
      </c>
      <c r="B400" t="s">
        <v>139</v>
      </c>
      <c r="C400" t="s">
        <v>281</v>
      </c>
      <c r="D400" t="s">
        <v>424</v>
      </c>
      <c r="F400" t="s">
        <v>435</v>
      </c>
      <c r="G400" t="str">
        <f>HYPERLINK("https://ca.linkedin.com/jobs/view/quality-data-analyst-at-lululemon-3341634874?refId=HLoBFAX75TpfrnGGonsPwQ%3D%3D&amp;trackingId=0pV%2B50263pR813TvTaG6yA%3D%3D&amp;position=24&amp;pageNum=0&amp;trk=public_jobs_jserp-result_search-card", "Job Link")</f>
        <v>Job Link</v>
      </c>
      <c r="H400" t="s">
        <v>476</v>
      </c>
      <c r="I400" t="s">
        <v>481</v>
      </c>
      <c r="J400" t="s">
        <v>486</v>
      </c>
      <c r="K400" t="s">
        <v>532</v>
      </c>
      <c r="L400" t="s">
        <v>590</v>
      </c>
      <c r="M400" t="s">
        <v>618</v>
      </c>
      <c r="N400" t="s">
        <v>601</v>
      </c>
    </row>
    <row r="401" spans="1:14" x14ac:dyDescent="0.25">
      <c r="A401" t="s">
        <v>14</v>
      </c>
      <c r="B401" t="s">
        <v>140</v>
      </c>
      <c r="C401" t="s">
        <v>282</v>
      </c>
      <c r="D401" t="s">
        <v>424</v>
      </c>
      <c r="F401" t="s">
        <v>440</v>
      </c>
      <c r="G401" t="str">
        <f>HYPERLINK("https://ca.linkedin.com/jobs/view/data-analyst-at-scotiabank-3365406993?refId=HLoBFAX75TpfrnGGonsPwQ%3D%3D&amp;trackingId=hafPoQJeWeleVp0tTtAxvg%3D%3D&amp;position=25&amp;pageNum=0&amp;trk=public_jobs_jserp-result_search-card", "Job Link")</f>
        <v>Job Link</v>
      </c>
      <c r="H401" t="s">
        <v>479</v>
      </c>
      <c r="I401" t="s">
        <v>481</v>
      </c>
      <c r="J401" t="s">
        <v>486</v>
      </c>
      <c r="K401" t="s">
        <v>533</v>
      </c>
      <c r="L401" t="s">
        <v>582</v>
      </c>
      <c r="M401" t="s">
        <v>588</v>
      </c>
      <c r="N401" t="s">
        <v>601</v>
      </c>
    </row>
    <row r="402" spans="1:14" x14ac:dyDescent="0.25">
      <c r="A402" t="s">
        <v>14</v>
      </c>
      <c r="B402" t="s">
        <v>118</v>
      </c>
      <c r="C402" t="s">
        <v>258</v>
      </c>
      <c r="D402" t="s">
        <v>424</v>
      </c>
      <c r="F402" t="s">
        <v>430</v>
      </c>
      <c r="G402" t="str">
        <f>HYPERLINK("https://ca.linkedin.com/jobs/view/data-analyst-at-axonify-3324670516?refId=eHDk7vYQ6Jqtb%2BAI%2FMx3dg%3D%3D&amp;trackingId=RyeFceND7gTBJviSzPtzfw%3D%3D&amp;position=1&amp;pageNum=0&amp;trk=public_jobs_jserp-result_search-card", "Job Link")</f>
        <v>Job Link</v>
      </c>
      <c r="H402" t="s">
        <v>476</v>
      </c>
      <c r="I402" t="s">
        <v>481</v>
      </c>
      <c r="J402" t="s">
        <v>486</v>
      </c>
      <c r="K402" t="s">
        <v>516</v>
      </c>
      <c r="L402" t="s">
        <v>581</v>
      </c>
      <c r="M402" t="s">
        <v>588</v>
      </c>
      <c r="N402" t="s">
        <v>601</v>
      </c>
    </row>
    <row r="403" spans="1:14" x14ac:dyDescent="0.25">
      <c r="A403" t="s">
        <v>14</v>
      </c>
      <c r="B403" t="s">
        <v>119</v>
      </c>
      <c r="C403" t="s">
        <v>259</v>
      </c>
      <c r="D403" t="s">
        <v>424</v>
      </c>
      <c r="F403" t="s">
        <v>431</v>
      </c>
      <c r="G403" t="str">
        <f>HYPERLINK("https://ca.linkedin.com/jobs/view/data-analyst-at-b3-systems-3361794123?refId=eHDk7vYQ6Jqtb%2BAI%2FMx3dg%3D%3D&amp;trackingId=SaY2eGrrYTnu6dcXdYb7JQ%3D%3D&amp;position=2&amp;pageNum=0&amp;trk=public_jobs_jserp-result_search-card", "Job Link")</f>
        <v>Job Link</v>
      </c>
      <c r="I403" t="s">
        <v>481</v>
      </c>
      <c r="L403" t="s">
        <v>582</v>
      </c>
      <c r="M403" t="s">
        <v>588</v>
      </c>
      <c r="N403" t="s">
        <v>601</v>
      </c>
    </row>
    <row r="404" spans="1:14" x14ac:dyDescent="0.25">
      <c r="A404" t="s">
        <v>14</v>
      </c>
      <c r="B404" t="s">
        <v>120</v>
      </c>
      <c r="C404" t="s">
        <v>260</v>
      </c>
      <c r="D404" t="s">
        <v>424</v>
      </c>
      <c r="F404" t="s">
        <v>431</v>
      </c>
      <c r="G404" t="str">
        <f>HYPERLINK("https://ca.linkedin.com/jobs/view/data-analyst-at-wood-mackenzie-3271782079?refId=eHDk7vYQ6Jqtb%2BAI%2FMx3dg%3D%3D&amp;trackingId=QbLaUPOglxnFtOUZ33EDmQ%3D%3D&amp;position=3&amp;pageNum=0&amp;trk=public_jobs_jserp-result_search-card", "Job Link")</f>
        <v>Job Link</v>
      </c>
      <c r="H404" t="s">
        <v>477</v>
      </c>
      <c r="I404" t="s">
        <v>481</v>
      </c>
      <c r="J404" t="s">
        <v>487</v>
      </c>
      <c r="K404" t="s">
        <v>517</v>
      </c>
      <c r="L404" t="s">
        <v>583</v>
      </c>
      <c r="M404" t="s">
        <v>610</v>
      </c>
      <c r="N404" t="s">
        <v>601</v>
      </c>
    </row>
    <row r="405" spans="1:14" x14ac:dyDescent="0.25">
      <c r="A405" t="s">
        <v>14</v>
      </c>
      <c r="B405" t="s">
        <v>121</v>
      </c>
      <c r="C405" t="s">
        <v>261</v>
      </c>
      <c r="D405" t="s">
        <v>424</v>
      </c>
      <c r="F405" t="s">
        <v>432</v>
      </c>
      <c r="G405" t="str">
        <f>HYPERLINK("https://ca.linkedin.com/jobs/view/data-analyst-at-loft-community-services-3364383026?refId=eHDk7vYQ6Jqtb%2BAI%2FMx3dg%3D%3D&amp;trackingId=g9OPa8UWA48QtRgu8ncCAA%3D%3D&amp;position=4&amp;pageNum=0&amp;trk=public_jobs_jserp-result_search-card", "Job Link")</f>
        <v>Job Link</v>
      </c>
      <c r="I405" t="s">
        <v>482</v>
      </c>
      <c r="L405" t="s">
        <v>582</v>
      </c>
      <c r="M405" t="s">
        <v>588</v>
      </c>
      <c r="N405" t="s">
        <v>601</v>
      </c>
    </row>
    <row r="406" spans="1:14" x14ac:dyDescent="0.25">
      <c r="A406" t="s">
        <v>14</v>
      </c>
      <c r="B406" t="s">
        <v>122</v>
      </c>
      <c r="C406" t="s">
        <v>262</v>
      </c>
      <c r="D406" t="s">
        <v>424</v>
      </c>
      <c r="F406" t="s">
        <v>433</v>
      </c>
      <c r="G406" t="str">
        <f>HYPERLINK("https://ca.linkedin.com/jobs/view/data-analyst-at-nam-info-inc-3351590976?refId=eHDk7vYQ6Jqtb%2BAI%2FMx3dg%3D%3D&amp;trackingId=US2TlKqC9K4GtyP11RvgnA%3D%3D&amp;position=5&amp;pageNum=0&amp;trk=public_jobs_jserp-result_search-card", "Job Link")</f>
        <v>Job Link</v>
      </c>
      <c r="H406" t="s">
        <v>478</v>
      </c>
      <c r="I406" t="s">
        <v>483</v>
      </c>
      <c r="J406" t="s">
        <v>486</v>
      </c>
      <c r="K406" t="s">
        <v>518</v>
      </c>
      <c r="L406" t="s">
        <v>582</v>
      </c>
      <c r="M406" t="s">
        <v>588</v>
      </c>
      <c r="N406" t="s">
        <v>601</v>
      </c>
    </row>
    <row r="407" spans="1:14" x14ac:dyDescent="0.25">
      <c r="A407" t="s">
        <v>14</v>
      </c>
      <c r="B407" t="s">
        <v>123</v>
      </c>
      <c r="C407" t="s">
        <v>263</v>
      </c>
      <c r="D407" t="s">
        <v>424</v>
      </c>
      <c r="F407" t="s">
        <v>434</v>
      </c>
      <c r="G407" t="str">
        <f>HYPERLINK("https://ca.linkedin.com/jobs/view/data-analyst-at-citi-3263096865?refId=eHDk7vYQ6Jqtb%2BAI%2FMx3dg%3D%3D&amp;trackingId=K9LZ1xda%2FtlbRLCzNGazMA%3D%3D&amp;position=6&amp;pageNum=0&amp;trk=public_jobs_jserp-result_search-card", "Job Link")</f>
        <v>Job Link</v>
      </c>
      <c r="H407" t="s">
        <v>479</v>
      </c>
      <c r="I407" t="s">
        <v>481</v>
      </c>
      <c r="J407" t="s">
        <v>486</v>
      </c>
      <c r="K407" t="s">
        <v>519</v>
      </c>
      <c r="L407" t="s">
        <v>584</v>
      </c>
      <c r="M407" t="s">
        <v>588</v>
      </c>
      <c r="N407" t="s">
        <v>601</v>
      </c>
    </row>
    <row r="408" spans="1:14" x14ac:dyDescent="0.25">
      <c r="A408" t="s">
        <v>14</v>
      </c>
      <c r="B408" t="s">
        <v>124</v>
      </c>
      <c r="C408" t="s">
        <v>264</v>
      </c>
      <c r="D408" t="s">
        <v>424</v>
      </c>
      <c r="F408" t="s">
        <v>435</v>
      </c>
      <c r="G408" t="str">
        <f>HYPERLINK("https://ca.linkedin.com/jobs/view/data-analyst-at-king-s-college-london-3335332409?refId=eHDk7vYQ6Jqtb%2BAI%2FMx3dg%3D%3D&amp;trackingId=t9lUWa0GHVxs%2BhjGXieHAA%3D%3D&amp;position=7&amp;pageNum=0&amp;trk=public_jobs_jserp-result_search-card", "Job Link")</f>
        <v>Job Link</v>
      </c>
      <c r="H408" t="s">
        <v>476</v>
      </c>
      <c r="I408" t="s">
        <v>481</v>
      </c>
      <c r="J408" t="s">
        <v>486</v>
      </c>
      <c r="K408" t="s">
        <v>520</v>
      </c>
      <c r="L408" t="s">
        <v>585</v>
      </c>
      <c r="M408" t="s">
        <v>588</v>
      </c>
      <c r="N408" t="s">
        <v>601</v>
      </c>
    </row>
    <row r="409" spans="1:14" x14ac:dyDescent="0.25">
      <c r="A409" t="s">
        <v>15</v>
      </c>
      <c r="B409" t="s">
        <v>125</v>
      </c>
      <c r="C409" t="s">
        <v>265</v>
      </c>
      <c r="D409" t="s">
        <v>424</v>
      </c>
      <c r="F409" t="s">
        <v>431</v>
      </c>
      <c r="G409" t="str">
        <f>HYPERLINK("https://ca.linkedin.com/jobs/view/data-analyst-remote-at-cognizant-microsoft-business-group-3333618510?refId=eHDk7vYQ6Jqtb%2BAI%2FMx3dg%3D%3D&amp;trackingId=PXLvZbpdSCZtz%2FAQ38YPkg%3D%3D&amp;position=8&amp;pageNum=0&amp;trk=public_jobs_jserp-result_search-card", "Job Link")</f>
        <v>Job Link</v>
      </c>
      <c r="H409" t="s">
        <v>476</v>
      </c>
      <c r="I409" t="s">
        <v>481</v>
      </c>
      <c r="J409" t="s">
        <v>486</v>
      </c>
      <c r="K409" t="s">
        <v>521</v>
      </c>
      <c r="L409" t="s">
        <v>582</v>
      </c>
      <c r="M409" t="s">
        <v>588</v>
      </c>
      <c r="N409" t="s">
        <v>601</v>
      </c>
    </row>
    <row r="410" spans="1:14" x14ac:dyDescent="0.25">
      <c r="A410" t="s">
        <v>16</v>
      </c>
      <c r="B410" t="s">
        <v>126</v>
      </c>
      <c r="C410" t="s">
        <v>266</v>
      </c>
      <c r="D410" t="s">
        <v>424</v>
      </c>
      <c r="F410" t="s">
        <v>436</v>
      </c>
      <c r="G410" t="str">
        <f>HYPERLINK("https://ca.linkedin.com/jobs/view/data-analyst-loans-at-tata-consultancy-services-3344804680?refId=eHDk7vYQ6Jqtb%2BAI%2FMx3dg%3D%3D&amp;trackingId=J3qtu2PjM1qdD4PNq9wvLQ%3D%3D&amp;position=9&amp;pageNum=0&amp;trk=public_jobs_jserp-result_search-card", "Job Link")</f>
        <v>Job Link</v>
      </c>
      <c r="H410" t="s">
        <v>477</v>
      </c>
      <c r="I410" t="s">
        <v>481</v>
      </c>
      <c r="J410" t="s">
        <v>486</v>
      </c>
      <c r="K410" t="s">
        <v>517</v>
      </c>
      <c r="L410" t="s">
        <v>584</v>
      </c>
      <c r="M410" t="s">
        <v>588</v>
      </c>
      <c r="N410" t="s">
        <v>601</v>
      </c>
    </row>
    <row r="411" spans="1:14" x14ac:dyDescent="0.25">
      <c r="A411" t="s">
        <v>14</v>
      </c>
      <c r="B411" t="s">
        <v>127</v>
      </c>
      <c r="C411" t="s">
        <v>267</v>
      </c>
      <c r="D411" t="s">
        <v>424</v>
      </c>
      <c r="F411" t="s">
        <v>437</v>
      </c>
      <c r="G411" t="str">
        <f>HYPERLINK("https://ca.linkedin.com/jobs/view/data-analyst-at-vubiquity-3365112221?refId=eHDk7vYQ6Jqtb%2BAI%2FMx3dg%3D%3D&amp;trackingId=K%2BftR9LMulV21gt%2Fbcm0Lg%3D%3D&amp;position=10&amp;pageNum=0&amp;trk=public_jobs_jserp-result_search-card", "Job Link")</f>
        <v>Job Link</v>
      </c>
      <c r="H411" t="s">
        <v>476</v>
      </c>
      <c r="I411" t="s">
        <v>481</v>
      </c>
      <c r="J411" t="s">
        <v>486</v>
      </c>
      <c r="K411" t="s">
        <v>522</v>
      </c>
      <c r="L411" t="s">
        <v>582</v>
      </c>
      <c r="M411" t="s">
        <v>588</v>
      </c>
      <c r="N411" t="s">
        <v>601</v>
      </c>
    </row>
    <row r="412" spans="1:14" x14ac:dyDescent="0.25">
      <c r="A412" t="s">
        <v>17</v>
      </c>
      <c r="B412" t="s">
        <v>123</v>
      </c>
      <c r="C412" t="s">
        <v>268</v>
      </c>
      <c r="D412" t="s">
        <v>424</v>
      </c>
      <c r="F412" t="s">
        <v>438</v>
      </c>
      <c r="G412" t="str">
        <f>HYPERLINK("https://ca.linkedin.com/jobs/view/data-analyst-developer-at-citi-3322089923?refId=eHDk7vYQ6Jqtb%2BAI%2FMx3dg%3D%3D&amp;trackingId=A0IkIov6szJ%2BwHuhkrkqYw%3D%3D&amp;position=11&amp;pageNum=0&amp;trk=public_jobs_jserp-result_search-card", "Job Link")</f>
        <v>Job Link</v>
      </c>
      <c r="H412" t="s">
        <v>479</v>
      </c>
      <c r="I412" t="s">
        <v>481</v>
      </c>
      <c r="J412" t="s">
        <v>486</v>
      </c>
      <c r="K412" t="s">
        <v>519</v>
      </c>
      <c r="L412" t="s">
        <v>584</v>
      </c>
      <c r="M412" t="s">
        <v>588</v>
      </c>
      <c r="N412" t="s">
        <v>601</v>
      </c>
    </row>
    <row r="413" spans="1:14" x14ac:dyDescent="0.25">
      <c r="A413" t="s">
        <v>14</v>
      </c>
      <c r="B413" t="s">
        <v>128</v>
      </c>
      <c r="C413" t="s">
        <v>269</v>
      </c>
      <c r="D413" t="s">
        <v>424</v>
      </c>
      <c r="F413" t="s">
        <v>439</v>
      </c>
      <c r="G413" t="str">
        <f>HYPERLINK("https://ca.linkedin.com/jobs/view/data-analyst-at-diverse-lynx-3363377240?refId=eHDk7vYQ6Jqtb%2BAI%2FMx3dg%3D%3D&amp;trackingId=gmi6ymi61oNO6w89fqfdFQ%3D%3D&amp;position=12&amp;pageNum=0&amp;trk=public_jobs_jserp-result_search-card", "Job Link")</f>
        <v>Job Link</v>
      </c>
      <c r="H413" t="s">
        <v>476</v>
      </c>
      <c r="I413" t="s">
        <v>481</v>
      </c>
      <c r="J413" t="s">
        <v>486</v>
      </c>
      <c r="K413" t="s">
        <v>516</v>
      </c>
      <c r="L413" t="s">
        <v>586</v>
      </c>
      <c r="M413" t="s">
        <v>617</v>
      </c>
      <c r="N413" t="s">
        <v>601</v>
      </c>
    </row>
    <row r="414" spans="1:14" x14ac:dyDescent="0.25">
      <c r="A414" t="s">
        <v>14</v>
      </c>
      <c r="B414" t="s">
        <v>129</v>
      </c>
      <c r="C414" t="s">
        <v>270</v>
      </c>
      <c r="D414" t="s">
        <v>424</v>
      </c>
      <c r="F414" t="s">
        <v>440</v>
      </c>
      <c r="G414" t="str">
        <f>HYPERLINK("https://ca.linkedin.com/jobs/view/data-analyst-at-agricorp-3364433441?refId=eHDk7vYQ6Jqtb%2BAI%2FMx3dg%3D%3D&amp;trackingId=PpdRkUTjHbpS2UAhrNxe%2Bw%3D%3D&amp;position=13&amp;pageNum=0&amp;trk=public_jobs_jserp-result_search-card", "Job Link")</f>
        <v>Job Link</v>
      </c>
      <c r="H414" t="s">
        <v>476</v>
      </c>
      <c r="I414" t="s">
        <v>481</v>
      </c>
      <c r="J414" t="s">
        <v>486</v>
      </c>
      <c r="K414" t="s">
        <v>523</v>
      </c>
      <c r="L414" t="s">
        <v>587</v>
      </c>
      <c r="M414" t="s">
        <v>588</v>
      </c>
      <c r="N414" t="s">
        <v>601</v>
      </c>
    </row>
    <row r="415" spans="1:14" x14ac:dyDescent="0.25">
      <c r="A415" t="s">
        <v>18</v>
      </c>
      <c r="B415" t="s">
        <v>130</v>
      </c>
      <c r="C415" t="s">
        <v>271</v>
      </c>
      <c r="D415" t="s">
        <v>424</v>
      </c>
      <c r="F415" t="s">
        <v>441</v>
      </c>
      <c r="G415" t="str">
        <f>HYPERLINK("https://ca.linkedin.com/jobs/view/junior-data-analyst-mississauga-on-at-arjo-3323264354?refId=eHDk7vYQ6Jqtb%2BAI%2FMx3dg%3D%3D&amp;trackingId=2gJX5d3%2FQi3Z%2FLTrGWEuVw%3D%3D&amp;position=14&amp;pageNum=0&amp;trk=public_jobs_jserp-result_search-card", "Job Link")</f>
        <v>Job Link</v>
      </c>
      <c r="H415" t="s">
        <v>479</v>
      </c>
      <c r="I415" t="s">
        <v>481</v>
      </c>
      <c r="J415" t="s">
        <v>486</v>
      </c>
      <c r="K415" t="s">
        <v>524</v>
      </c>
      <c r="L415" t="s">
        <v>588</v>
      </c>
      <c r="M415" t="s">
        <v>601</v>
      </c>
    </row>
    <row r="416" spans="1:14" x14ac:dyDescent="0.25">
      <c r="A416" t="s">
        <v>14</v>
      </c>
      <c r="B416" t="s">
        <v>131</v>
      </c>
      <c r="C416" t="s">
        <v>284</v>
      </c>
      <c r="D416" t="s">
        <v>424</v>
      </c>
      <c r="F416" t="s">
        <v>442</v>
      </c>
      <c r="G416" t="str">
        <f>HYPERLINK("https://ca.linkedin.com/jobs/view/data-analyst-at-westland-insurance-group-ltd-3345807760?refId=eHDk7vYQ6Jqtb%2BAI%2FMx3dg%3D%3D&amp;trackingId=x0F3LVjl39hWVfLADpG%2BOA%3D%3D&amp;position=15&amp;pageNum=0&amp;trk=public_jobs_jserp-result_search-card", "Job Link")</f>
        <v>Job Link</v>
      </c>
      <c r="L416" t="s">
        <v>589</v>
      </c>
      <c r="M416" t="s">
        <v>618</v>
      </c>
      <c r="N416" t="s">
        <v>601</v>
      </c>
    </row>
    <row r="417" spans="1:14" x14ac:dyDescent="0.25">
      <c r="A417" t="s">
        <v>14</v>
      </c>
      <c r="B417" t="s">
        <v>132</v>
      </c>
      <c r="C417" t="s">
        <v>273</v>
      </c>
      <c r="D417" t="s">
        <v>424</v>
      </c>
      <c r="F417" t="s">
        <v>443</v>
      </c>
      <c r="G417" t="str">
        <f>HYPERLINK("https://ca.linkedin.com/jobs/view/data-analyst-at-fasken-3365947704?refId=eHDk7vYQ6Jqtb%2BAI%2FMx3dg%3D%3D&amp;trackingId=2D4eaEdqgAxs8y0O0hGkJA%3D%3D&amp;position=16&amp;pageNum=0&amp;trk=public_jobs_jserp-result_search-card", "Job Link")</f>
        <v>Job Link</v>
      </c>
      <c r="H417" t="s">
        <v>476</v>
      </c>
      <c r="I417" t="s">
        <v>481</v>
      </c>
      <c r="J417" t="s">
        <v>486</v>
      </c>
      <c r="K417" t="s">
        <v>526</v>
      </c>
      <c r="L417" t="s">
        <v>590</v>
      </c>
      <c r="M417" t="s">
        <v>618</v>
      </c>
      <c r="N417" t="s">
        <v>601</v>
      </c>
    </row>
    <row r="418" spans="1:14" x14ac:dyDescent="0.25">
      <c r="A418" t="s">
        <v>14</v>
      </c>
      <c r="B418" t="s">
        <v>133</v>
      </c>
      <c r="C418" t="s">
        <v>274</v>
      </c>
      <c r="D418" t="s">
        <v>424</v>
      </c>
      <c r="F418" t="s">
        <v>434</v>
      </c>
      <c r="G418" t="str">
        <f>HYPERLINK("https://ca.linkedin.com/jobs/view/data-analyst-at-momentum-financial-services-group-3355811523?refId=eHDk7vYQ6Jqtb%2BAI%2FMx3dg%3D%3D&amp;trackingId=2zLo0m93df8e5BkSHH3hSw%3D%3D&amp;position=17&amp;pageNum=0&amp;trk=public_jobs_jserp-result_search-card", "Job Link")</f>
        <v>Job Link</v>
      </c>
      <c r="H418" t="s">
        <v>476</v>
      </c>
      <c r="I418" t="s">
        <v>481</v>
      </c>
      <c r="J418" t="s">
        <v>486</v>
      </c>
      <c r="K418" t="s">
        <v>527</v>
      </c>
      <c r="L418" t="s">
        <v>582</v>
      </c>
      <c r="M418" t="s">
        <v>588</v>
      </c>
      <c r="N418" t="s">
        <v>601</v>
      </c>
    </row>
    <row r="419" spans="1:14" x14ac:dyDescent="0.25">
      <c r="A419" t="s">
        <v>14</v>
      </c>
      <c r="B419" t="s">
        <v>134</v>
      </c>
      <c r="C419" t="s">
        <v>275</v>
      </c>
      <c r="D419" t="s">
        <v>424</v>
      </c>
      <c r="F419" t="s">
        <v>444</v>
      </c>
      <c r="G419" t="str">
        <f>HYPERLINK("https://ca.linkedin.com/jobs/view/data-analyst-at-tes-the-employment-solution-3322589522?refId=eHDk7vYQ6Jqtb%2BAI%2FMx3dg%3D%3D&amp;trackingId=NULP2cXZll5tiFcJS5vTIQ%3D%3D&amp;position=18&amp;pageNum=0&amp;trk=public_jobs_jserp-result_search-card", "Job Link")</f>
        <v>Job Link</v>
      </c>
      <c r="H419" t="s">
        <v>476</v>
      </c>
      <c r="I419" t="s">
        <v>483</v>
      </c>
      <c r="J419" t="s">
        <v>486</v>
      </c>
      <c r="K419" t="s">
        <v>525</v>
      </c>
      <c r="L419" t="s">
        <v>591</v>
      </c>
      <c r="M419" t="s">
        <v>588</v>
      </c>
      <c r="N419" t="s">
        <v>601</v>
      </c>
    </row>
    <row r="420" spans="1:14" x14ac:dyDescent="0.25">
      <c r="A420" t="s">
        <v>14</v>
      </c>
      <c r="B420" t="s">
        <v>135</v>
      </c>
      <c r="C420" t="s">
        <v>276</v>
      </c>
      <c r="D420" t="s">
        <v>424</v>
      </c>
      <c r="F420" t="s">
        <v>440</v>
      </c>
      <c r="G420" t="str">
        <f>HYPERLINK("https://ca.linkedin.com/jobs/view/data-analyst-at-magna-international-3370822450?refId=eHDk7vYQ6Jqtb%2BAI%2FMx3dg%3D%3D&amp;trackingId=ToREIYlo1Nb%2Bg%2BYLxKaHSg%3D%3D&amp;position=19&amp;pageNum=0&amp;trk=public_jobs_jserp-result_search-card", "Job Link")</f>
        <v>Job Link</v>
      </c>
      <c r="H420" t="s">
        <v>476</v>
      </c>
      <c r="I420" t="s">
        <v>481</v>
      </c>
      <c r="J420" t="s">
        <v>488</v>
      </c>
      <c r="K420" t="s">
        <v>528</v>
      </c>
      <c r="L420" t="s">
        <v>592</v>
      </c>
      <c r="M420" t="s">
        <v>588</v>
      </c>
      <c r="N420" t="s">
        <v>601</v>
      </c>
    </row>
    <row r="421" spans="1:14" x14ac:dyDescent="0.25">
      <c r="A421" t="s">
        <v>14</v>
      </c>
      <c r="B421" t="s">
        <v>128</v>
      </c>
      <c r="C421" t="s">
        <v>277</v>
      </c>
      <c r="D421" t="s">
        <v>424</v>
      </c>
      <c r="F421" t="s">
        <v>439</v>
      </c>
      <c r="G421" t="str">
        <f>HYPERLINK("https://ca.linkedin.com/jobs/view/data-analyst-at-diverse-lynx-3363374746?refId=eHDk7vYQ6Jqtb%2BAI%2FMx3dg%3D%3D&amp;trackingId=59JeC7MdsWGQewAYPjEzUA%3D%3D&amp;position=20&amp;pageNum=0&amp;trk=public_jobs_jserp-result_search-card", "Job Link")</f>
        <v>Job Link</v>
      </c>
      <c r="H421" t="s">
        <v>476</v>
      </c>
      <c r="I421" t="s">
        <v>481</v>
      </c>
      <c r="J421" t="s">
        <v>486</v>
      </c>
      <c r="K421" t="s">
        <v>516</v>
      </c>
      <c r="L421" t="s">
        <v>586</v>
      </c>
      <c r="M421" t="s">
        <v>617</v>
      </c>
      <c r="N421" t="s">
        <v>601</v>
      </c>
    </row>
    <row r="422" spans="1:14" x14ac:dyDescent="0.25">
      <c r="A422" t="s">
        <v>19</v>
      </c>
      <c r="B422" t="s">
        <v>136</v>
      </c>
      <c r="C422" t="s">
        <v>278</v>
      </c>
      <c r="D422" t="s">
        <v>424</v>
      </c>
      <c r="F422" t="s">
        <v>445</v>
      </c>
      <c r="G422" t="str">
        <f>HYPERLINK("https://ca.linkedin.com/jobs/view/data-analyst-operations-at-sonder-inc-3229442908?refId=eHDk7vYQ6Jqtb%2BAI%2FMx3dg%3D%3D&amp;trackingId=ui5VXY%2FomQ2nL2ol%2F7369Q%3D%3D&amp;position=21&amp;pageNum=0&amp;trk=public_jobs_jserp-result_search-card", "Job Link")</f>
        <v>Job Link</v>
      </c>
      <c r="H422" t="s">
        <v>476</v>
      </c>
      <c r="I422" t="s">
        <v>481</v>
      </c>
      <c r="J422" t="s">
        <v>486</v>
      </c>
      <c r="K422" t="s">
        <v>529</v>
      </c>
      <c r="L422" t="s">
        <v>582</v>
      </c>
      <c r="M422" t="s">
        <v>588</v>
      </c>
      <c r="N422" t="s">
        <v>601</v>
      </c>
    </row>
    <row r="423" spans="1:14" x14ac:dyDescent="0.25">
      <c r="A423" t="s">
        <v>20</v>
      </c>
      <c r="B423" t="s">
        <v>137</v>
      </c>
      <c r="C423" t="s">
        <v>279</v>
      </c>
      <c r="D423" t="s">
        <v>424</v>
      </c>
      <c r="F423" t="s">
        <v>446</v>
      </c>
      <c r="G423" t="str">
        <f>HYPERLINK("https://ca.linkedin.com/jobs/view/senior-data-analyst-at-mueller-water-products-3122544636?refId=eHDk7vYQ6Jqtb%2BAI%2FMx3dg%3D%3D&amp;trackingId=v6%2BJy76FaWhFSfRmtB0GTw%3D%3D&amp;position=22&amp;pageNum=0&amp;trk=public_jobs_jserp-result_search-card", "Job Link")</f>
        <v>Job Link</v>
      </c>
      <c r="H423" t="s">
        <v>478</v>
      </c>
      <c r="I423" t="s">
        <v>481</v>
      </c>
      <c r="J423" t="s">
        <v>486</v>
      </c>
      <c r="K423" t="s">
        <v>530</v>
      </c>
      <c r="L423" t="s">
        <v>582</v>
      </c>
      <c r="M423" t="s">
        <v>588</v>
      </c>
      <c r="N423" t="s">
        <v>601</v>
      </c>
    </row>
    <row r="424" spans="1:14" x14ac:dyDescent="0.25">
      <c r="A424" t="s">
        <v>21</v>
      </c>
      <c r="B424" t="s">
        <v>138</v>
      </c>
      <c r="C424" t="s">
        <v>280</v>
      </c>
      <c r="D424" t="s">
        <v>424</v>
      </c>
      <c r="F424" t="s">
        <v>447</v>
      </c>
      <c r="G424" t="str">
        <f>HYPERLINK("https://ca.linkedin.com/jobs/view/data-entry-jr-analyst-6-month-contract-at-csl-group-ltd-3323214993?refId=eHDk7vYQ6Jqtb%2BAI%2FMx3dg%3D%3D&amp;trackingId=jsiagBJ0aQuCeVJcJtpPNQ%3D%3D&amp;position=23&amp;pageNum=0&amp;trk=public_jobs_jserp-result_search-card", "Job Link")</f>
        <v>Job Link</v>
      </c>
      <c r="H424" t="s">
        <v>476</v>
      </c>
      <c r="I424" t="s">
        <v>484</v>
      </c>
      <c r="J424" t="s">
        <v>489</v>
      </c>
      <c r="K424" t="s">
        <v>531</v>
      </c>
      <c r="L424" t="s">
        <v>593</v>
      </c>
      <c r="M424" t="s">
        <v>588</v>
      </c>
      <c r="N424" t="s">
        <v>601</v>
      </c>
    </row>
    <row r="425" spans="1:14" x14ac:dyDescent="0.25">
      <c r="A425" t="s">
        <v>22</v>
      </c>
      <c r="B425" t="s">
        <v>139</v>
      </c>
      <c r="C425" t="s">
        <v>281</v>
      </c>
      <c r="D425" t="s">
        <v>424</v>
      </c>
      <c r="F425" t="s">
        <v>435</v>
      </c>
      <c r="G425" t="str">
        <f>HYPERLINK("https://ca.linkedin.com/jobs/view/quality-data-analyst-at-lululemon-3341634874?refId=eHDk7vYQ6Jqtb%2BAI%2FMx3dg%3D%3D&amp;trackingId=BUdhnrOubxZreLHp9nlJLw%3D%3D&amp;position=24&amp;pageNum=0&amp;trk=public_jobs_jserp-result_search-card", "Job Link")</f>
        <v>Job Link</v>
      </c>
      <c r="H425" t="s">
        <v>476</v>
      </c>
      <c r="I425" t="s">
        <v>481</v>
      </c>
      <c r="J425" t="s">
        <v>486</v>
      </c>
      <c r="K425" t="s">
        <v>532</v>
      </c>
      <c r="L425" t="s">
        <v>590</v>
      </c>
      <c r="M425" t="s">
        <v>618</v>
      </c>
      <c r="N425" t="s">
        <v>601</v>
      </c>
    </row>
    <row r="426" spans="1:14" x14ac:dyDescent="0.25">
      <c r="A426" t="s">
        <v>14</v>
      </c>
      <c r="B426" t="s">
        <v>140</v>
      </c>
      <c r="C426" t="s">
        <v>282</v>
      </c>
      <c r="D426" t="s">
        <v>424</v>
      </c>
      <c r="F426" t="s">
        <v>440</v>
      </c>
      <c r="G426" t="str">
        <f>HYPERLINK("https://ca.linkedin.com/jobs/view/data-analyst-at-scotiabank-3365406993?refId=eHDk7vYQ6Jqtb%2BAI%2FMx3dg%3D%3D&amp;trackingId=fs6OYaoEgb%2BtKTaE6Q3j1g%3D%3D&amp;position=25&amp;pageNum=0&amp;trk=public_jobs_jserp-result_search-card", "Job Link")</f>
        <v>Job Link</v>
      </c>
      <c r="H426" t="s">
        <v>479</v>
      </c>
      <c r="I426" t="s">
        <v>481</v>
      </c>
      <c r="J426" t="s">
        <v>486</v>
      </c>
      <c r="K426" t="s">
        <v>533</v>
      </c>
      <c r="L426" t="s">
        <v>582</v>
      </c>
      <c r="M426" t="s">
        <v>588</v>
      </c>
      <c r="N426" t="s">
        <v>601</v>
      </c>
    </row>
    <row r="427" spans="1:14" x14ac:dyDescent="0.25">
      <c r="A427" t="s">
        <v>14</v>
      </c>
      <c r="B427" t="s">
        <v>118</v>
      </c>
      <c r="C427" t="s">
        <v>258</v>
      </c>
      <c r="D427" t="s">
        <v>424</v>
      </c>
      <c r="F427" t="s">
        <v>430</v>
      </c>
      <c r="G427" t="str">
        <f>HYPERLINK("https://ca.linkedin.com/jobs/view/data-analyst-at-axonify-3324670516?refId=YDcbRnk760MpOcHhG3LYvg%3D%3D&amp;trackingId=nawHro%2BRjdtdb4TOh0ajBw%3D%3D&amp;position=1&amp;pageNum=0&amp;trk=public_jobs_jserp-result_search-card", "Job Link")</f>
        <v>Job Link</v>
      </c>
      <c r="H427" t="s">
        <v>476</v>
      </c>
      <c r="I427" t="s">
        <v>481</v>
      </c>
      <c r="J427" t="s">
        <v>486</v>
      </c>
      <c r="K427" t="s">
        <v>516</v>
      </c>
      <c r="L427" t="s">
        <v>581</v>
      </c>
      <c r="M427" t="s">
        <v>588</v>
      </c>
      <c r="N427" t="s">
        <v>601</v>
      </c>
    </row>
    <row r="428" spans="1:14" x14ac:dyDescent="0.25">
      <c r="A428" t="s">
        <v>14</v>
      </c>
      <c r="B428" t="s">
        <v>119</v>
      </c>
      <c r="C428" t="s">
        <v>259</v>
      </c>
      <c r="D428" t="s">
        <v>424</v>
      </c>
      <c r="F428" t="s">
        <v>431</v>
      </c>
      <c r="G428" t="str">
        <f>HYPERLINK("https://ca.linkedin.com/jobs/view/data-analyst-at-b3-systems-3361794123?refId=YDcbRnk760MpOcHhG3LYvg%3D%3D&amp;trackingId=9evMCDXEvScsAIOetU9t3A%3D%3D&amp;position=2&amp;pageNum=0&amp;trk=public_jobs_jserp-result_search-card", "Job Link")</f>
        <v>Job Link</v>
      </c>
      <c r="I428" t="s">
        <v>481</v>
      </c>
      <c r="L428" t="s">
        <v>582</v>
      </c>
      <c r="M428" t="s">
        <v>588</v>
      </c>
      <c r="N428" t="s">
        <v>601</v>
      </c>
    </row>
    <row r="429" spans="1:14" x14ac:dyDescent="0.25">
      <c r="A429" t="s">
        <v>14</v>
      </c>
      <c r="B429" t="s">
        <v>120</v>
      </c>
      <c r="C429" t="s">
        <v>260</v>
      </c>
      <c r="D429" t="s">
        <v>424</v>
      </c>
      <c r="F429" t="s">
        <v>431</v>
      </c>
      <c r="G429" t="str">
        <f>HYPERLINK("https://ca.linkedin.com/jobs/view/data-analyst-at-wood-mackenzie-3271782079?refId=YDcbRnk760MpOcHhG3LYvg%3D%3D&amp;trackingId=%2F4zhL0uStms3GSqdIfxX5w%3D%3D&amp;position=3&amp;pageNum=0&amp;trk=public_jobs_jserp-result_search-card", "Job Link")</f>
        <v>Job Link</v>
      </c>
      <c r="H429" t="s">
        <v>477</v>
      </c>
      <c r="I429" t="s">
        <v>481</v>
      </c>
      <c r="J429" t="s">
        <v>487</v>
      </c>
      <c r="K429" t="s">
        <v>517</v>
      </c>
      <c r="L429" t="s">
        <v>583</v>
      </c>
      <c r="M429" t="s">
        <v>610</v>
      </c>
      <c r="N429" t="s">
        <v>601</v>
      </c>
    </row>
    <row r="430" spans="1:14" x14ac:dyDescent="0.25">
      <c r="A430" t="s">
        <v>14</v>
      </c>
      <c r="B430" t="s">
        <v>121</v>
      </c>
      <c r="C430" t="s">
        <v>261</v>
      </c>
      <c r="D430" t="s">
        <v>424</v>
      </c>
      <c r="F430" t="s">
        <v>432</v>
      </c>
      <c r="G430" t="str">
        <f>HYPERLINK("https://ca.linkedin.com/jobs/view/data-analyst-at-loft-community-services-3364383026?refId=YDcbRnk760MpOcHhG3LYvg%3D%3D&amp;trackingId=yzteqj7YsD4bppGZUlAEIA%3D%3D&amp;position=4&amp;pageNum=0&amp;trk=public_jobs_jserp-result_search-card", "Job Link")</f>
        <v>Job Link</v>
      </c>
      <c r="I430" t="s">
        <v>482</v>
      </c>
      <c r="L430" t="s">
        <v>582</v>
      </c>
      <c r="M430" t="s">
        <v>588</v>
      </c>
      <c r="N430" t="s">
        <v>601</v>
      </c>
    </row>
    <row r="431" spans="1:14" x14ac:dyDescent="0.25">
      <c r="A431" t="s">
        <v>14</v>
      </c>
      <c r="B431" t="s">
        <v>122</v>
      </c>
      <c r="C431" t="s">
        <v>262</v>
      </c>
      <c r="D431" t="s">
        <v>424</v>
      </c>
      <c r="F431" t="s">
        <v>433</v>
      </c>
      <c r="G431" t="str">
        <f>HYPERLINK("https://ca.linkedin.com/jobs/view/data-analyst-at-nam-info-inc-3351590976?refId=YDcbRnk760MpOcHhG3LYvg%3D%3D&amp;trackingId=GnE%2Ff4Nvz8CnuzouM%2BGJYw%3D%3D&amp;position=5&amp;pageNum=0&amp;trk=public_jobs_jserp-result_search-card", "Job Link")</f>
        <v>Job Link</v>
      </c>
      <c r="H431" t="s">
        <v>478</v>
      </c>
      <c r="I431" t="s">
        <v>483</v>
      </c>
      <c r="J431" t="s">
        <v>486</v>
      </c>
      <c r="K431" t="s">
        <v>518</v>
      </c>
      <c r="L431" t="s">
        <v>582</v>
      </c>
      <c r="M431" t="s">
        <v>588</v>
      </c>
      <c r="N431" t="s">
        <v>601</v>
      </c>
    </row>
    <row r="432" spans="1:14" x14ac:dyDescent="0.25">
      <c r="A432" t="s">
        <v>14</v>
      </c>
      <c r="B432" t="s">
        <v>123</v>
      </c>
      <c r="C432" t="s">
        <v>263</v>
      </c>
      <c r="D432" t="s">
        <v>424</v>
      </c>
      <c r="F432" t="s">
        <v>434</v>
      </c>
      <c r="G432" t="str">
        <f>HYPERLINK("https://ca.linkedin.com/jobs/view/data-analyst-at-citi-3263096865?refId=YDcbRnk760MpOcHhG3LYvg%3D%3D&amp;trackingId=JCV3afFUsrRdYrYIuz5vBQ%3D%3D&amp;position=6&amp;pageNum=0&amp;trk=public_jobs_jserp-result_search-card", "Job Link")</f>
        <v>Job Link</v>
      </c>
      <c r="H432" t="s">
        <v>479</v>
      </c>
      <c r="I432" t="s">
        <v>481</v>
      </c>
      <c r="J432" t="s">
        <v>486</v>
      </c>
      <c r="K432" t="s">
        <v>519</v>
      </c>
      <c r="L432" t="s">
        <v>584</v>
      </c>
      <c r="M432" t="s">
        <v>588</v>
      </c>
      <c r="N432" t="s">
        <v>601</v>
      </c>
    </row>
    <row r="433" spans="1:14" x14ac:dyDescent="0.25">
      <c r="A433" t="s">
        <v>19</v>
      </c>
      <c r="B433" t="s">
        <v>136</v>
      </c>
      <c r="C433" t="s">
        <v>278</v>
      </c>
      <c r="D433" t="s">
        <v>424</v>
      </c>
      <c r="F433" t="s">
        <v>445</v>
      </c>
      <c r="G433" t="str">
        <f>HYPERLINK("https://ca.linkedin.com/jobs/view/data-analyst-operations-at-sonder-inc-3229442908?refId=YDcbRnk760MpOcHhG3LYvg%3D%3D&amp;trackingId=FqGRvmwjBxynvNmdD2ly5A%3D%3D&amp;position=7&amp;pageNum=0&amp;trk=public_jobs_jserp-result_search-card", "Job Link")</f>
        <v>Job Link</v>
      </c>
      <c r="H433" t="s">
        <v>476</v>
      </c>
      <c r="I433" t="s">
        <v>481</v>
      </c>
      <c r="J433" t="s">
        <v>486</v>
      </c>
      <c r="K433" t="s">
        <v>529</v>
      </c>
      <c r="L433" t="s">
        <v>582</v>
      </c>
      <c r="M433" t="s">
        <v>588</v>
      </c>
      <c r="N433" t="s">
        <v>601</v>
      </c>
    </row>
    <row r="434" spans="1:14" x14ac:dyDescent="0.25">
      <c r="A434" t="s">
        <v>14</v>
      </c>
      <c r="B434" t="s">
        <v>124</v>
      </c>
      <c r="C434" t="s">
        <v>264</v>
      </c>
      <c r="D434" t="s">
        <v>424</v>
      </c>
      <c r="F434" t="s">
        <v>435</v>
      </c>
      <c r="G434" t="str">
        <f>HYPERLINK("https://ca.linkedin.com/jobs/view/data-analyst-at-king-s-college-london-3335332409?refId=YDcbRnk760MpOcHhG3LYvg%3D%3D&amp;trackingId=efy6KXPaQUagi9cTo9pw4g%3D%3D&amp;position=8&amp;pageNum=0&amp;trk=public_jobs_jserp-result_search-card", "Job Link")</f>
        <v>Job Link</v>
      </c>
      <c r="H434" t="s">
        <v>476</v>
      </c>
      <c r="I434" t="s">
        <v>481</v>
      </c>
      <c r="J434" t="s">
        <v>486</v>
      </c>
      <c r="K434" t="s">
        <v>520</v>
      </c>
      <c r="L434" t="s">
        <v>585</v>
      </c>
      <c r="M434" t="s">
        <v>588</v>
      </c>
      <c r="N434" t="s">
        <v>601</v>
      </c>
    </row>
    <row r="435" spans="1:14" x14ac:dyDescent="0.25">
      <c r="A435" t="s">
        <v>15</v>
      </c>
      <c r="B435" t="s">
        <v>125</v>
      </c>
      <c r="C435" t="s">
        <v>265</v>
      </c>
      <c r="D435" t="s">
        <v>424</v>
      </c>
      <c r="F435" t="s">
        <v>431</v>
      </c>
      <c r="G435" t="str">
        <f>HYPERLINK("https://ca.linkedin.com/jobs/view/data-analyst-remote-at-cognizant-microsoft-business-group-3333618510?refId=YDcbRnk760MpOcHhG3LYvg%3D%3D&amp;trackingId=7NqwLJSsaQTT0RykJwCDtg%3D%3D&amp;position=9&amp;pageNum=0&amp;trk=public_jobs_jserp-result_search-card", "Job Link")</f>
        <v>Job Link</v>
      </c>
      <c r="H435" t="s">
        <v>476</v>
      </c>
      <c r="I435" t="s">
        <v>481</v>
      </c>
      <c r="J435" t="s">
        <v>486</v>
      </c>
      <c r="K435" t="s">
        <v>521</v>
      </c>
      <c r="L435" t="s">
        <v>582</v>
      </c>
      <c r="M435" t="s">
        <v>588</v>
      </c>
      <c r="N435" t="s">
        <v>601</v>
      </c>
    </row>
    <row r="436" spans="1:14" x14ac:dyDescent="0.25">
      <c r="A436" t="s">
        <v>16</v>
      </c>
      <c r="B436" t="s">
        <v>126</v>
      </c>
      <c r="C436" t="s">
        <v>266</v>
      </c>
      <c r="D436" t="s">
        <v>424</v>
      </c>
      <c r="F436" t="s">
        <v>436</v>
      </c>
      <c r="G436" t="str">
        <f>HYPERLINK("https://ca.linkedin.com/jobs/view/data-analyst-loans-at-tata-consultancy-services-3344804680?refId=YDcbRnk760MpOcHhG3LYvg%3D%3D&amp;trackingId=hBaOFxJALc07IMx7o32L5Q%3D%3D&amp;position=10&amp;pageNum=0&amp;trk=public_jobs_jserp-result_search-card", "Job Link")</f>
        <v>Job Link</v>
      </c>
      <c r="H436" t="s">
        <v>477</v>
      </c>
      <c r="I436" t="s">
        <v>481</v>
      </c>
      <c r="J436" t="s">
        <v>486</v>
      </c>
      <c r="K436" t="s">
        <v>517</v>
      </c>
      <c r="L436" t="s">
        <v>584</v>
      </c>
      <c r="M436" t="s">
        <v>588</v>
      </c>
      <c r="N436" t="s">
        <v>601</v>
      </c>
    </row>
    <row r="437" spans="1:14" x14ac:dyDescent="0.25">
      <c r="A437" t="s">
        <v>14</v>
      </c>
      <c r="B437" t="s">
        <v>127</v>
      </c>
      <c r="C437" t="s">
        <v>267</v>
      </c>
      <c r="D437" t="s">
        <v>424</v>
      </c>
      <c r="F437" t="s">
        <v>437</v>
      </c>
      <c r="G437" t="str">
        <f>HYPERLINK("https://ca.linkedin.com/jobs/view/data-analyst-at-vubiquity-3365112221?refId=YDcbRnk760MpOcHhG3LYvg%3D%3D&amp;trackingId=QCNmRJ012yu8JWHRJscXvg%3D%3D&amp;position=11&amp;pageNum=0&amp;trk=public_jobs_jserp-result_search-card", "Job Link")</f>
        <v>Job Link</v>
      </c>
      <c r="H437" t="s">
        <v>476</v>
      </c>
      <c r="I437" t="s">
        <v>481</v>
      </c>
      <c r="J437" t="s">
        <v>486</v>
      </c>
      <c r="K437" t="s">
        <v>522</v>
      </c>
      <c r="L437" t="s">
        <v>582</v>
      </c>
      <c r="M437" t="s">
        <v>588</v>
      </c>
      <c r="N437" t="s">
        <v>601</v>
      </c>
    </row>
    <row r="438" spans="1:14" x14ac:dyDescent="0.25">
      <c r="A438" t="s">
        <v>14</v>
      </c>
      <c r="B438" t="s">
        <v>129</v>
      </c>
      <c r="C438" t="s">
        <v>270</v>
      </c>
      <c r="D438" t="s">
        <v>424</v>
      </c>
      <c r="F438" t="s">
        <v>440</v>
      </c>
      <c r="G438" t="str">
        <f>HYPERLINK("https://ca.linkedin.com/jobs/view/data-analyst-at-agricorp-3364433441?refId=YDcbRnk760MpOcHhG3LYvg%3D%3D&amp;trackingId=joHr4xM987Sqs9NvDECy6A%3D%3D&amp;position=12&amp;pageNum=0&amp;trk=public_jobs_jserp-result_search-card", "Job Link")</f>
        <v>Job Link</v>
      </c>
      <c r="H438" t="s">
        <v>476</v>
      </c>
      <c r="I438" t="s">
        <v>481</v>
      </c>
      <c r="J438" t="s">
        <v>486</v>
      </c>
      <c r="K438" t="s">
        <v>523</v>
      </c>
      <c r="L438" t="s">
        <v>587</v>
      </c>
      <c r="M438" t="s">
        <v>588</v>
      </c>
      <c r="N438" t="s">
        <v>601</v>
      </c>
    </row>
    <row r="439" spans="1:14" x14ac:dyDescent="0.25">
      <c r="A439" t="s">
        <v>17</v>
      </c>
      <c r="B439" t="s">
        <v>123</v>
      </c>
      <c r="C439" t="s">
        <v>268</v>
      </c>
      <c r="D439" t="s">
        <v>424</v>
      </c>
      <c r="F439" t="s">
        <v>438</v>
      </c>
      <c r="G439" t="str">
        <f>HYPERLINK("https://ca.linkedin.com/jobs/view/data-analyst-developer-at-citi-3322089923?refId=YDcbRnk760MpOcHhG3LYvg%3D%3D&amp;trackingId=9YiP%2FY1BTHjeJ5Iy%2Biyrxg%3D%3D&amp;position=13&amp;pageNum=0&amp;trk=public_jobs_jserp-result_search-card", "Job Link")</f>
        <v>Job Link</v>
      </c>
      <c r="H439" t="s">
        <v>479</v>
      </c>
      <c r="I439" t="s">
        <v>481</v>
      </c>
      <c r="J439" t="s">
        <v>486</v>
      </c>
      <c r="K439" t="s">
        <v>519</v>
      </c>
      <c r="L439" t="s">
        <v>584</v>
      </c>
      <c r="M439" t="s">
        <v>588</v>
      </c>
      <c r="N439" t="s">
        <v>601</v>
      </c>
    </row>
    <row r="440" spans="1:14" x14ac:dyDescent="0.25">
      <c r="A440" t="s">
        <v>14</v>
      </c>
      <c r="B440" t="s">
        <v>128</v>
      </c>
      <c r="C440" t="s">
        <v>269</v>
      </c>
      <c r="D440" t="s">
        <v>424</v>
      </c>
      <c r="F440" t="s">
        <v>439</v>
      </c>
      <c r="G440" t="str">
        <f>HYPERLINK("https://ca.linkedin.com/jobs/view/data-analyst-at-diverse-lynx-3363377240?refId=YDcbRnk760MpOcHhG3LYvg%3D%3D&amp;trackingId=I7Jw7TpvxIDbCm3c6dwGkw%3D%3D&amp;position=14&amp;pageNum=0&amp;trk=public_jobs_jserp-result_search-card", "Job Link")</f>
        <v>Job Link</v>
      </c>
      <c r="H440" t="s">
        <v>476</v>
      </c>
      <c r="I440" t="s">
        <v>481</v>
      </c>
      <c r="J440" t="s">
        <v>486</v>
      </c>
      <c r="K440" t="s">
        <v>516</v>
      </c>
      <c r="L440" t="s">
        <v>586</v>
      </c>
      <c r="M440" t="s">
        <v>617</v>
      </c>
      <c r="N440" t="s">
        <v>601</v>
      </c>
    </row>
    <row r="441" spans="1:14" x14ac:dyDescent="0.25">
      <c r="A441" t="s">
        <v>14</v>
      </c>
      <c r="B441" t="s">
        <v>128</v>
      </c>
      <c r="C441" t="s">
        <v>277</v>
      </c>
      <c r="D441" t="s">
        <v>424</v>
      </c>
      <c r="F441" t="s">
        <v>439</v>
      </c>
      <c r="G441" t="str">
        <f>HYPERLINK("https://ca.linkedin.com/jobs/view/data-analyst-at-diverse-lynx-3363374746?refId=YDcbRnk760MpOcHhG3LYvg%3D%3D&amp;trackingId=kcOuXF6jAjFNdqh6JfUTgg%3D%3D&amp;position=15&amp;pageNum=0&amp;trk=public_jobs_jserp-result_search-card", "Job Link")</f>
        <v>Job Link</v>
      </c>
      <c r="H441" t="s">
        <v>476</v>
      </c>
      <c r="I441" t="s">
        <v>481</v>
      </c>
      <c r="J441" t="s">
        <v>486</v>
      </c>
      <c r="K441" t="s">
        <v>516</v>
      </c>
      <c r="L441" t="s">
        <v>586</v>
      </c>
      <c r="M441" t="s">
        <v>617</v>
      </c>
      <c r="N441" t="s">
        <v>601</v>
      </c>
    </row>
    <row r="442" spans="1:14" x14ac:dyDescent="0.25">
      <c r="A442" t="s">
        <v>18</v>
      </c>
      <c r="B442" t="s">
        <v>130</v>
      </c>
      <c r="C442" t="s">
        <v>271</v>
      </c>
      <c r="D442" t="s">
        <v>424</v>
      </c>
      <c r="F442" t="s">
        <v>441</v>
      </c>
      <c r="G442" t="str">
        <f>HYPERLINK("https://ca.linkedin.com/jobs/view/junior-data-analyst-mississauga-on-at-arjo-3323264354?refId=YDcbRnk760MpOcHhG3LYvg%3D%3D&amp;trackingId=PJ8Q6dOgSlrgGswG0E2%2FBQ%3D%3D&amp;position=16&amp;pageNum=0&amp;trk=public_jobs_jserp-result_search-card", "Job Link")</f>
        <v>Job Link</v>
      </c>
      <c r="H442" t="s">
        <v>479</v>
      </c>
      <c r="I442" t="s">
        <v>481</v>
      </c>
      <c r="J442" t="s">
        <v>486</v>
      </c>
      <c r="K442" t="s">
        <v>524</v>
      </c>
      <c r="L442" t="s">
        <v>588</v>
      </c>
      <c r="M442" t="s">
        <v>601</v>
      </c>
    </row>
    <row r="443" spans="1:14" x14ac:dyDescent="0.25">
      <c r="A443" t="s">
        <v>14</v>
      </c>
      <c r="B443" t="s">
        <v>131</v>
      </c>
      <c r="C443" t="s">
        <v>272</v>
      </c>
      <c r="D443" t="s">
        <v>424</v>
      </c>
      <c r="F443" t="s">
        <v>442</v>
      </c>
      <c r="G443" t="str">
        <f>HYPERLINK("https://ca.linkedin.com/jobs/view/data-analyst-at-westland-insurance-group-ltd-3345807760?refId=YDcbRnk760MpOcHhG3LYvg%3D%3D&amp;trackingId=RyT6ylnylTyYONZhwoFbIQ%3D%3D&amp;position=17&amp;pageNum=0&amp;trk=public_jobs_jserp-result_search-card", "Job Link")</f>
        <v>Job Link</v>
      </c>
      <c r="H443" t="s">
        <v>476</v>
      </c>
      <c r="I443" t="s">
        <v>481</v>
      </c>
      <c r="J443" t="s">
        <v>486</v>
      </c>
      <c r="K443" t="s">
        <v>525</v>
      </c>
      <c r="L443" t="s">
        <v>589</v>
      </c>
      <c r="M443" t="s">
        <v>618</v>
      </c>
      <c r="N443" t="s">
        <v>601</v>
      </c>
    </row>
    <row r="444" spans="1:14" x14ac:dyDescent="0.25">
      <c r="A444" t="s">
        <v>14</v>
      </c>
      <c r="B444" t="s">
        <v>132</v>
      </c>
      <c r="C444" t="s">
        <v>273</v>
      </c>
      <c r="D444" t="s">
        <v>424</v>
      </c>
      <c r="F444" t="s">
        <v>443</v>
      </c>
      <c r="G444" t="str">
        <f>HYPERLINK("https://ca.linkedin.com/jobs/view/data-analyst-at-fasken-3365947704?refId=YDcbRnk760MpOcHhG3LYvg%3D%3D&amp;trackingId=eXkSquji5q90V7NWISCvLA%3D%3D&amp;position=18&amp;pageNum=0&amp;trk=public_jobs_jserp-result_search-card", "Job Link")</f>
        <v>Job Link</v>
      </c>
      <c r="H444" t="s">
        <v>476</v>
      </c>
      <c r="I444" t="s">
        <v>481</v>
      </c>
      <c r="J444" t="s">
        <v>486</v>
      </c>
      <c r="K444" t="s">
        <v>526</v>
      </c>
      <c r="L444" t="s">
        <v>590</v>
      </c>
      <c r="M444" t="s">
        <v>618</v>
      </c>
      <c r="N444" t="s">
        <v>601</v>
      </c>
    </row>
    <row r="445" spans="1:14" x14ac:dyDescent="0.25">
      <c r="A445" t="s">
        <v>14</v>
      </c>
      <c r="B445" t="s">
        <v>133</v>
      </c>
      <c r="C445" t="s">
        <v>274</v>
      </c>
      <c r="D445" t="s">
        <v>424</v>
      </c>
      <c r="F445" t="s">
        <v>434</v>
      </c>
      <c r="G445" t="str">
        <f>HYPERLINK("https://ca.linkedin.com/jobs/view/data-analyst-at-momentum-financial-services-group-3355811523?refId=YDcbRnk760MpOcHhG3LYvg%3D%3D&amp;trackingId=1ug5bWgOp2yy5w0oW%2FdBlA%3D%3D&amp;position=19&amp;pageNum=0&amp;trk=public_jobs_jserp-result_search-card", "Job Link")</f>
        <v>Job Link</v>
      </c>
      <c r="H445" t="s">
        <v>476</v>
      </c>
      <c r="I445" t="s">
        <v>481</v>
      </c>
      <c r="J445" t="s">
        <v>486</v>
      </c>
      <c r="K445" t="s">
        <v>527</v>
      </c>
      <c r="L445" t="s">
        <v>582</v>
      </c>
      <c r="M445" t="s">
        <v>588</v>
      </c>
      <c r="N445" t="s">
        <v>601</v>
      </c>
    </row>
    <row r="446" spans="1:14" x14ac:dyDescent="0.25">
      <c r="A446" t="s">
        <v>14</v>
      </c>
      <c r="B446" t="s">
        <v>134</v>
      </c>
      <c r="C446" t="s">
        <v>275</v>
      </c>
      <c r="D446" t="s">
        <v>424</v>
      </c>
      <c r="F446" t="s">
        <v>444</v>
      </c>
      <c r="G446" t="str">
        <f>HYPERLINK("https://ca.linkedin.com/jobs/view/data-analyst-at-tes-the-employment-solution-3322589522?refId=YDcbRnk760MpOcHhG3LYvg%3D%3D&amp;trackingId=Tl7LZ%2B6Gt7aK3dMToVz3QQ%3D%3D&amp;position=20&amp;pageNum=0&amp;trk=public_jobs_jserp-result_search-card", "Job Link")</f>
        <v>Job Link</v>
      </c>
      <c r="H446" t="s">
        <v>476</v>
      </c>
      <c r="I446" t="s">
        <v>483</v>
      </c>
      <c r="J446" t="s">
        <v>486</v>
      </c>
      <c r="K446" t="s">
        <v>525</v>
      </c>
      <c r="L446" t="s">
        <v>591</v>
      </c>
      <c r="M446" t="s">
        <v>588</v>
      </c>
      <c r="N446" t="s">
        <v>601</v>
      </c>
    </row>
    <row r="447" spans="1:14" x14ac:dyDescent="0.25">
      <c r="A447" t="s">
        <v>14</v>
      </c>
      <c r="B447" t="s">
        <v>135</v>
      </c>
      <c r="C447" t="s">
        <v>276</v>
      </c>
      <c r="D447" t="s">
        <v>424</v>
      </c>
      <c r="F447" t="s">
        <v>440</v>
      </c>
      <c r="G447" t="str">
        <f>HYPERLINK("https://ca.linkedin.com/jobs/view/data-analyst-at-magna-international-3370822450?refId=YDcbRnk760MpOcHhG3LYvg%3D%3D&amp;trackingId=xOV%2B%2B9Xuzk3fV%2FQfqxY64w%3D%3D&amp;position=21&amp;pageNum=0&amp;trk=public_jobs_jserp-result_search-card", "Job Link")</f>
        <v>Job Link</v>
      </c>
      <c r="H447" t="s">
        <v>476</v>
      </c>
      <c r="I447" t="s">
        <v>481</v>
      </c>
      <c r="J447" t="s">
        <v>488</v>
      </c>
      <c r="K447" t="s">
        <v>528</v>
      </c>
      <c r="L447" t="s">
        <v>592</v>
      </c>
      <c r="M447" t="s">
        <v>588</v>
      </c>
      <c r="N447" t="s">
        <v>601</v>
      </c>
    </row>
    <row r="448" spans="1:14" x14ac:dyDescent="0.25">
      <c r="A448" t="s">
        <v>20</v>
      </c>
      <c r="B448" t="s">
        <v>137</v>
      </c>
      <c r="C448" t="s">
        <v>279</v>
      </c>
      <c r="D448" t="s">
        <v>424</v>
      </c>
      <c r="F448" t="s">
        <v>446</v>
      </c>
      <c r="G448" t="str">
        <f>HYPERLINK("https://ca.linkedin.com/jobs/view/senior-data-analyst-at-mueller-water-products-3122544636?refId=YDcbRnk760MpOcHhG3LYvg%3D%3D&amp;trackingId=Oed1lpBoxEHKTNLS0EpdsQ%3D%3D&amp;position=22&amp;pageNum=0&amp;trk=public_jobs_jserp-result_search-card", "Job Link")</f>
        <v>Job Link</v>
      </c>
      <c r="H448" t="s">
        <v>478</v>
      </c>
      <c r="I448" t="s">
        <v>481</v>
      </c>
      <c r="J448" t="s">
        <v>486</v>
      </c>
      <c r="K448" t="s">
        <v>530</v>
      </c>
      <c r="L448" t="s">
        <v>582</v>
      </c>
      <c r="M448" t="s">
        <v>588</v>
      </c>
      <c r="N448" t="s">
        <v>601</v>
      </c>
    </row>
    <row r="449" spans="1:14" x14ac:dyDescent="0.25">
      <c r="A449" t="s">
        <v>21</v>
      </c>
      <c r="B449" t="s">
        <v>138</v>
      </c>
      <c r="C449" t="s">
        <v>280</v>
      </c>
      <c r="D449" t="s">
        <v>424</v>
      </c>
      <c r="F449" t="s">
        <v>447</v>
      </c>
      <c r="G449" t="str">
        <f>HYPERLINK("https://ca.linkedin.com/jobs/view/data-entry-jr-analyst-6-month-contract-at-csl-group-ltd-3323214993?refId=YDcbRnk760MpOcHhG3LYvg%3D%3D&amp;trackingId=K0AUSx0ygn8NG3y1Z1Gi2w%3D%3D&amp;position=23&amp;pageNum=0&amp;trk=public_jobs_jserp-result_search-card", "Job Link")</f>
        <v>Job Link</v>
      </c>
      <c r="H449" t="s">
        <v>476</v>
      </c>
      <c r="I449" t="s">
        <v>484</v>
      </c>
      <c r="J449" t="s">
        <v>489</v>
      </c>
      <c r="K449" t="s">
        <v>531</v>
      </c>
      <c r="L449" t="s">
        <v>593</v>
      </c>
      <c r="M449" t="s">
        <v>588</v>
      </c>
      <c r="N449" t="s">
        <v>601</v>
      </c>
    </row>
    <row r="450" spans="1:14" x14ac:dyDescent="0.25">
      <c r="A450" t="s">
        <v>14</v>
      </c>
      <c r="B450" t="s">
        <v>140</v>
      </c>
      <c r="C450" t="s">
        <v>282</v>
      </c>
      <c r="D450" t="s">
        <v>424</v>
      </c>
      <c r="F450" t="s">
        <v>440</v>
      </c>
      <c r="G450" t="str">
        <f>HYPERLINK("https://ca.linkedin.com/jobs/view/data-analyst-at-scotiabank-3365406993?refId=YDcbRnk760MpOcHhG3LYvg%3D%3D&amp;trackingId=ArpbfixatLpBC9xUvovtDA%3D%3D&amp;position=24&amp;pageNum=0&amp;trk=public_jobs_jserp-result_search-card", "Job Link")</f>
        <v>Job Link</v>
      </c>
      <c r="H450" t="s">
        <v>479</v>
      </c>
      <c r="I450" t="s">
        <v>481</v>
      </c>
      <c r="J450" t="s">
        <v>486</v>
      </c>
      <c r="K450" t="s">
        <v>533</v>
      </c>
      <c r="L450" t="s">
        <v>582</v>
      </c>
      <c r="M450" t="s">
        <v>588</v>
      </c>
      <c r="N450" t="s">
        <v>601</v>
      </c>
    </row>
    <row r="451" spans="1:14" x14ac:dyDescent="0.25">
      <c r="A451" t="s">
        <v>22</v>
      </c>
      <c r="B451" t="s">
        <v>139</v>
      </c>
      <c r="C451" t="s">
        <v>281</v>
      </c>
      <c r="D451" t="s">
        <v>424</v>
      </c>
      <c r="F451" t="s">
        <v>435</v>
      </c>
      <c r="G451" t="str">
        <f>HYPERLINK("https://ca.linkedin.com/jobs/view/quality-data-analyst-at-lululemon-3341634874?refId=YDcbRnk760MpOcHhG3LYvg%3D%3D&amp;trackingId=twAK63UPjuDS%2Boi%2F890N4g%3D%3D&amp;position=25&amp;pageNum=0&amp;trk=public_jobs_jserp-result_search-card", "Job Link")</f>
        <v>Job Link</v>
      </c>
      <c r="H451" t="s">
        <v>476</v>
      </c>
      <c r="I451" t="s">
        <v>481</v>
      </c>
      <c r="J451" t="s">
        <v>486</v>
      </c>
      <c r="K451" t="s">
        <v>532</v>
      </c>
      <c r="L451" t="s">
        <v>590</v>
      </c>
      <c r="M451" t="s">
        <v>618</v>
      </c>
      <c r="N451" t="s">
        <v>601</v>
      </c>
    </row>
    <row r="452" spans="1:14" x14ac:dyDescent="0.25">
      <c r="A452" t="s">
        <v>14</v>
      </c>
      <c r="B452" t="s">
        <v>118</v>
      </c>
      <c r="C452" t="s">
        <v>258</v>
      </c>
      <c r="D452" t="s">
        <v>424</v>
      </c>
      <c r="F452" t="s">
        <v>430</v>
      </c>
      <c r="G452" t="str">
        <f>HYPERLINK("https://ca.linkedin.com/jobs/view/data-analyst-at-axonify-3324670516?refId=1M73sn%2FVEFErcZUNXCp7Ug%3D%3D&amp;trackingId=ZT49CP7H7kBRJt%2F6SylMyA%3D%3D&amp;position=1&amp;pageNum=0&amp;trk=public_jobs_jserp-result_search-card", "Job Link")</f>
        <v>Job Link</v>
      </c>
      <c r="H452" t="s">
        <v>476</v>
      </c>
      <c r="I452" t="s">
        <v>481</v>
      </c>
      <c r="J452" t="s">
        <v>486</v>
      </c>
      <c r="K452" t="s">
        <v>516</v>
      </c>
      <c r="L452" t="s">
        <v>581</v>
      </c>
      <c r="M452" t="s">
        <v>588</v>
      </c>
      <c r="N452" t="s">
        <v>601</v>
      </c>
    </row>
    <row r="453" spans="1:14" x14ac:dyDescent="0.25">
      <c r="A453" t="s">
        <v>14</v>
      </c>
      <c r="B453" t="s">
        <v>119</v>
      </c>
      <c r="C453" t="s">
        <v>259</v>
      </c>
      <c r="D453" t="s">
        <v>424</v>
      </c>
      <c r="F453" t="s">
        <v>431</v>
      </c>
      <c r="G453" t="str">
        <f>HYPERLINK("https://ca.linkedin.com/jobs/view/data-analyst-at-b3-systems-3361794123?refId=1M73sn%2FVEFErcZUNXCp7Ug%3D%3D&amp;trackingId=XgiSlMLxjJbZvLPoG8EZMg%3D%3D&amp;position=2&amp;pageNum=0&amp;trk=public_jobs_jserp-result_search-card", "Job Link")</f>
        <v>Job Link</v>
      </c>
      <c r="I453" t="s">
        <v>481</v>
      </c>
      <c r="L453" t="s">
        <v>582</v>
      </c>
      <c r="M453" t="s">
        <v>588</v>
      </c>
      <c r="N453" t="s">
        <v>601</v>
      </c>
    </row>
    <row r="454" spans="1:14" x14ac:dyDescent="0.25">
      <c r="A454" t="s">
        <v>14</v>
      </c>
      <c r="B454" t="s">
        <v>120</v>
      </c>
      <c r="C454" t="s">
        <v>260</v>
      </c>
      <c r="D454" t="s">
        <v>424</v>
      </c>
      <c r="F454" t="s">
        <v>431</v>
      </c>
      <c r="G454" t="str">
        <f>HYPERLINK("https://ca.linkedin.com/jobs/view/data-analyst-at-wood-mackenzie-3271782079?refId=1M73sn%2FVEFErcZUNXCp7Ug%3D%3D&amp;trackingId=50Z2pF3UOHAsBuAG9c9cBw%3D%3D&amp;position=3&amp;pageNum=0&amp;trk=public_jobs_jserp-result_search-card", "Job Link")</f>
        <v>Job Link</v>
      </c>
      <c r="H454" t="s">
        <v>477</v>
      </c>
      <c r="I454" t="s">
        <v>481</v>
      </c>
      <c r="J454" t="s">
        <v>487</v>
      </c>
      <c r="K454" t="s">
        <v>517</v>
      </c>
      <c r="L454" t="s">
        <v>583</v>
      </c>
      <c r="M454" t="s">
        <v>610</v>
      </c>
      <c r="N454" t="s">
        <v>601</v>
      </c>
    </row>
    <row r="455" spans="1:14" x14ac:dyDescent="0.25">
      <c r="A455" t="s">
        <v>14</v>
      </c>
      <c r="B455" t="s">
        <v>121</v>
      </c>
      <c r="C455" t="s">
        <v>261</v>
      </c>
      <c r="D455" t="s">
        <v>424</v>
      </c>
      <c r="F455" t="s">
        <v>432</v>
      </c>
      <c r="G455" t="str">
        <f>HYPERLINK("https://ca.linkedin.com/jobs/view/data-analyst-at-loft-community-services-3364383026?refId=1M73sn%2FVEFErcZUNXCp7Ug%3D%3D&amp;trackingId=GZ84bYyJ7eGZhAKe6dy5Gg%3D%3D&amp;position=4&amp;pageNum=0&amp;trk=public_jobs_jserp-result_search-card", "Job Link")</f>
        <v>Job Link</v>
      </c>
      <c r="I455" t="s">
        <v>482</v>
      </c>
      <c r="L455" t="s">
        <v>582</v>
      </c>
      <c r="M455" t="s">
        <v>588</v>
      </c>
      <c r="N455" t="s">
        <v>601</v>
      </c>
    </row>
    <row r="456" spans="1:14" x14ac:dyDescent="0.25">
      <c r="A456" t="s">
        <v>14</v>
      </c>
      <c r="B456" t="s">
        <v>122</v>
      </c>
      <c r="C456" t="s">
        <v>262</v>
      </c>
      <c r="D456" t="s">
        <v>424</v>
      </c>
      <c r="F456" t="s">
        <v>433</v>
      </c>
      <c r="G456" t="str">
        <f>HYPERLINK("https://ca.linkedin.com/jobs/view/data-analyst-at-nam-info-inc-3351590976?refId=1M73sn%2FVEFErcZUNXCp7Ug%3D%3D&amp;trackingId=xGN%2FuahX3B%2BbmyzcS3%2F7VA%3D%3D&amp;position=5&amp;pageNum=0&amp;trk=public_jobs_jserp-result_search-card", "Job Link")</f>
        <v>Job Link</v>
      </c>
      <c r="H456" t="s">
        <v>478</v>
      </c>
      <c r="I456" t="s">
        <v>483</v>
      </c>
      <c r="J456" t="s">
        <v>486</v>
      </c>
      <c r="K456" t="s">
        <v>518</v>
      </c>
      <c r="L456" t="s">
        <v>582</v>
      </c>
      <c r="M456" t="s">
        <v>588</v>
      </c>
      <c r="N456" t="s">
        <v>601</v>
      </c>
    </row>
    <row r="457" spans="1:14" x14ac:dyDescent="0.25">
      <c r="A457" t="s">
        <v>14</v>
      </c>
      <c r="B457" t="s">
        <v>123</v>
      </c>
      <c r="C457" t="s">
        <v>263</v>
      </c>
      <c r="D457" t="s">
        <v>424</v>
      </c>
      <c r="F457" t="s">
        <v>434</v>
      </c>
      <c r="G457" t="str">
        <f>HYPERLINK("https://ca.linkedin.com/jobs/view/data-analyst-at-citi-3263096865?refId=1M73sn%2FVEFErcZUNXCp7Ug%3D%3D&amp;trackingId=hMUaVOoNp4z2TAHepVD1CA%3D%3D&amp;position=6&amp;pageNum=0&amp;trk=public_jobs_jserp-result_search-card", "Job Link")</f>
        <v>Job Link</v>
      </c>
      <c r="H457" t="s">
        <v>479</v>
      </c>
      <c r="I457" t="s">
        <v>481</v>
      </c>
      <c r="J457" t="s">
        <v>486</v>
      </c>
      <c r="K457" t="s">
        <v>519</v>
      </c>
      <c r="L457" t="s">
        <v>584</v>
      </c>
      <c r="M457" t="s">
        <v>588</v>
      </c>
      <c r="N457" t="s">
        <v>601</v>
      </c>
    </row>
    <row r="458" spans="1:14" x14ac:dyDescent="0.25">
      <c r="A458" t="s">
        <v>14</v>
      </c>
      <c r="B458" t="s">
        <v>124</v>
      </c>
      <c r="C458" t="s">
        <v>264</v>
      </c>
      <c r="D458" t="s">
        <v>424</v>
      </c>
      <c r="F458" t="s">
        <v>435</v>
      </c>
      <c r="G458" t="str">
        <f>HYPERLINK("https://ca.linkedin.com/jobs/view/data-analyst-at-king-s-college-london-3335332409?refId=1M73sn%2FVEFErcZUNXCp7Ug%3D%3D&amp;trackingId=1Y7iqiJSOYGx0nCRoDNkDg%3D%3D&amp;position=7&amp;pageNum=0&amp;trk=public_jobs_jserp-result_search-card", "Job Link")</f>
        <v>Job Link</v>
      </c>
      <c r="H458" t="s">
        <v>476</v>
      </c>
      <c r="I458" t="s">
        <v>481</v>
      </c>
      <c r="J458" t="s">
        <v>486</v>
      </c>
      <c r="K458" t="s">
        <v>520</v>
      </c>
      <c r="L458" t="s">
        <v>585</v>
      </c>
      <c r="M458" t="s">
        <v>588</v>
      </c>
      <c r="N458" t="s">
        <v>601</v>
      </c>
    </row>
    <row r="459" spans="1:14" x14ac:dyDescent="0.25">
      <c r="A459" t="s">
        <v>15</v>
      </c>
      <c r="B459" t="s">
        <v>125</v>
      </c>
      <c r="C459" t="s">
        <v>265</v>
      </c>
      <c r="D459" t="s">
        <v>424</v>
      </c>
      <c r="F459" t="s">
        <v>431</v>
      </c>
      <c r="G459" t="str">
        <f>HYPERLINK("https://ca.linkedin.com/jobs/view/data-analyst-remote-at-cognizant-microsoft-business-group-3333618510?refId=1M73sn%2FVEFErcZUNXCp7Ug%3D%3D&amp;trackingId=X1RRz7PwhZE1%2BOLbx%2F6uGA%3D%3D&amp;position=8&amp;pageNum=0&amp;trk=public_jobs_jserp-result_search-card", "Job Link")</f>
        <v>Job Link</v>
      </c>
      <c r="H459" t="s">
        <v>476</v>
      </c>
      <c r="I459" t="s">
        <v>481</v>
      </c>
      <c r="J459" t="s">
        <v>486</v>
      </c>
      <c r="K459" t="s">
        <v>521</v>
      </c>
      <c r="L459" t="s">
        <v>582</v>
      </c>
      <c r="M459" t="s">
        <v>588</v>
      </c>
      <c r="N459" t="s">
        <v>601</v>
      </c>
    </row>
    <row r="460" spans="1:14" x14ac:dyDescent="0.25">
      <c r="A460" t="s">
        <v>16</v>
      </c>
      <c r="B460" t="s">
        <v>126</v>
      </c>
      <c r="C460" t="s">
        <v>266</v>
      </c>
      <c r="D460" t="s">
        <v>424</v>
      </c>
      <c r="F460" t="s">
        <v>436</v>
      </c>
      <c r="G460" t="str">
        <f>HYPERLINK("https://ca.linkedin.com/jobs/view/data-analyst-loans-at-tata-consultancy-services-3344804680?refId=1M73sn%2FVEFErcZUNXCp7Ug%3D%3D&amp;trackingId=3dpR6HPbAgfyniUC17M%2FwA%3D%3D&amp;position=9&amp;pageNum=0&amp;trk=public_jobs_jserp-result_search-card", "Job Link")</f>
        <v>Job Link</v>
      </c>
      <c r="H460" t="s">
        <v>477</v>
      </c>
      <c r="I460" t="s">
        <v>481</v>
      </c>
      <c r="J460" t="s">
        <v>486</v>
      </c>
      <c r="K460" t="s">
        <v>517</v>
      </c>
      <c r="L460" t="s">
        <v>584</v>
      </c>
      <c r="M460" t="s">
        <v>588</v>
      </c>
      <c r="N460" t="s">
        <v>601</v>
      </c>
    </row>
    <row r="461" spans="1:14" x14ac:dyDescent="0.25">
      <c r="A461" t="s">
        <v>14</v>
      </c>
      <c r="B461" t="s">
        <v>127</v>
      </c>
      <c r="C461" t="s">
        <v>284</v>
      </c>
      <c r="D461" t="s">
        <v>424</v>
      </c>
      <c r="F461" t="s">
        <v>437</v>
      </c>
      <c r="G461" t="str">
        <f>HYPERLINK("https://ca.linkedin.com/jobs/view/data-analyst-at-vubiquity-3365112221?refId=1M73sn%2FVEFErcZUNXCp7Ug%3D%3D&amp;trackingId=O3h3eViIXVhnw8sqPkqLug%3D%3D&amp;position=10&amp;pageNum=0&amp;trk=public_jobs_jserp-result_search-card", "Job Link")</f>
        <v>Job Link</v>
      </c>
      <c r="L461" t="s">
        <v>582</v>
      </c>
      <c r="M461" t="s">
        <v>588</v>
      </c>
      <c r="N461" t="s">
        <v>601</v>
      </c>
    </row>
    <row r="462" spans="1:14" x14ac:dyDescent="0.25">
      <c r="A462" t="s">
        <v>17</v>
      </c>
      <c r="B462" t="s">
        <v>123</v>
      </c>
      <c r="C462" t="s">
        <v>268</v>
      </c>
      <c r="D462" t="s">
        <v>424</v>
      </c>
      <c r="F462" t="s">
        <v>438</v>
      </c>
      <c r="G462" t="str">
        <f>HYPERLINK("https://ca.linkedin.com/jobs/view/data-analyst-developer-at-citi-3322089923?refId=1M73sn%2FVEFErcZUNXCp7Ug%3D%3D&amp;trackingId=Hf5Cdd%2BTPTHgndyVboJf8w%3D%3D&amp;position=11&amp;pageNum=0&amp;trk=public_jobs_jserp-result_search-card", "Job Link")</f>
        <v>Job Link</v>
      </c>
      <c r="H462" t="s">
        <v>479</v>
      </c>
      <c r="I462" t="s">
        <v>481</v>
      </c>
      <c r="J462" t="s">
        <v>486</v>
      </c>
      <c r="K462" t="s">
        <v>519</v>
      </c>
      <c r="L462" t="s">
        <v>584</v>
      </c>
      <c r="M462" t="s">
        <v>588</v>
      </c>
      <c r="N462" t="s">
        <v>601</v>
      </c>
    </row>
    <row r="463" spans="1:14" x14ac:dyDescent="0.25">
      <c r="A463" t="s">
        <v>14</v>
      </c>
      <c r="B463" t="s">
        <v>128</v>
      </c>
      <c r="C463" t="s">
        <v>284</v>
      </c>
      <c r="D463" t="s">
        <v>424</v>
      </c>
      <c r="F463" t="s">
        <v>439</v>
      </c>
      <c r="G463" t="str">
        <f>HYPERLINK("https://ca.linkedin.com/jobs/view/data-analyst-at-diverse-lynx-3363377240?refId=1M73sn%2FVEFErcZUNXCp7Ug%3D%3D&amp;trackingId=qsafiN0enk2yHpFCZAmKwg%3D%3D&amp;position=12&amp;pageNum=0&amp;trk=public_jobs_jserp-result_search-card", "Job Link")</f>
        <v>Job Link</v>
      </c>
      <c r="L463" t="s">
        <v>586</v>
      </c>
      <c r="M463" t="s">
        <v>617</v>
      </c>
      <c r="N463" t="s">
        <v>601</v>
      </c>
    </row>
    <row r="464" spans="1:14" x14ac:dyDescent="0.25">
      <c r="A464" t="s">
        <v>14</v>
      </c>
      <c r="B464" t="s">
        <v>129</v>
      </c>
      <c r="C464" t="s">
        <v>270</v>
      </c>
      <c r="D464" t="s">
        <v>424</v>
      </c>
      <c r="F464" t="s">
        <v>440</v>
      </c>
      <c r="G464" t="str">
        <f>HYPERLINK("https://ca.linkedin.com/jobs/view/data-analyst-at-agricorp-3364433441?refId=1M73sn%2FVEFErcZUNXCp7Ug%3D%3D&amp;trackingId=mDfp7CSSNCvGdArmGW4kwg%3D%3D&amp;position=13&amp;pageNum=0&amp;trk=public_jobs_jserp-result_search-card", "Job Link")</f>
        <v>Job Link</v>
      </c>
      <c r="H464" t="s">
        <v>476</v>
      </c>
      <c r="I464" t="s">
        <v>481</v>
      </c>
      <c r="J464" t="s">
        <v>486</v>
      </c>
      <c r="K464" t="s">
        <v>523</v>
      </c>
      <c r="L464" t="s">
        <v>587</v>
      </c>
      <c r="M464" t="s">
        <v>588</v>
      </c>
      <c r="N464" t="s">
        <v>601</v>
      </c>
    </row>
    <row r="465" spans="1:14" x14ac:dyDescent="0.25">
      <c r="A465" t="s">
        <v>18</v>
      </c>
      <c r="B465" t="s">
        <v>130</v>
      </c>
      <c r="C465" t="s">
        <v>271</v>
      </c>
      <c r="D465" t="s">
        <v>424</v>
      </c>
      <c r="F465" t="s">
        <v>441</v>
      </c>
      <c r="G465" t="str">
        <f>HYPERLINK("https://ca.linkedin.com/jobs/view/junior-data-analyst-mississauga-on-at-arjo-3323264354?refId=1M73sn%2FVEFErcZUNXCp7Ug%3D%3D&amp;trackingId=l%2BfZv2c%2BCu%2BD1JxhgO8tLw%3D%3D&amp;position=14&amp;pageNum=0&amp;trk=public_jobs_jserp-result_search-card", "Job Link")</f>
        <v>Job Link</v>
      </c>
      <c r="H465" t="s">
        <v>479</v>
      </c>
      <c r="I465" t="s">
        <v>481</v>
      </c>
      <c r="J465" t="s">
        <v>486</v>
      </c>
      <c r="K465" t="s">
        <v>524</v>
      </c>
      <c r="L465" t="s">
        <v>588</v>
      </c>
      <c r="M465" t="s">
        <v>601</v>
      </c>
    </row>
    <row r="466" spans="1:14" x14ac:dyDescent="0.25">
      <c r="A466" t="s">
        <v>14</v>
      </c>
      <c r="B466" t="s">
        <v>131</v>
      </c>
      <c r="C466" t="s">
        <v>272</v>
      </c>
      <c r="D466" t="s">
        <v>424</v>
      </c>
      <c r="F466" t="s">
        <v>442</v>
      </c>
      <c r="G466" t="str">
        <f>HYPERLINK("https://ca.linkedin.com/jobs/view/data-analyst-at-westland-insurance-group-ltd-3345807760?refId=1M73sn%2FVEFErcZUNXCp7Ug%3D%3D&amp;trackingId=eMqXA67rAi8huTCZ23lVJg%3D%3D&amp;position=15&amp;pageNum=0&amp;trk=public_jobs_jserp-result_search-card", "Job Link")</f>
        <v>Job Link</v>
      </c>
      <c r="H466" t="s">
        <v>476</v>
      </c>
      <c r="I466" t="s">
        <v>481</v>
      </c>
      <c r="J466" t="s">
        <v>486</v>
      </c>
      <c r="K466" t="s">
        <v>525</v>
      </c>
      <c r="L466" t="s">
        <v>589</v>
      </c>
      <c r="M466" t="s">
        <v>618</v>
      </c>
      <c r="N466" t="s">
        <v>601</v>
      </c>
    </row>
    <row r="467" spans="1:14" x14ac:dyDescent="0.25">
      <c r="A467" t="s">
        <v>14</v>
      </c>
      <c r="B467" t="s">
        <v>132</v>
      </c>
      <c r="C467" t="s">
        <v>273</v>
      </c>
      <c r="D467" t="s">
        <v>424</v>
      </c>
      <c r="F467" t="s">
        <v>443</v>
      </c>
      <c r="G467" t="str">
        <f>HYPERLINK("https://ca.linkedin.com/jobs/view/data-analyst-at-fasken-3365947704?refId=1M73sn%2FVEFErcZUNXCp7Ug%3D%3D&amp;trackingId=yDWmoEzYuqIOKiWwZBpVYQ%3D%3D&amp;position=16&amp;pageNum=0&amp;trk=public_jobs_jserp-result_search-card", "Job Link")</f>
        <v>Job Link</v>
      </c>
      <c r="H467" t="s">
        <v>476</v>
      </c>
      <c r="I467" t="s">
        <v>481</v>
      </c>
      <c r="J467" t="s">
        <v>486</v>
      </c>
      <c r="K467" t="s">
        <v>526</v>
      </c>
      <c r="L467" t="s">
        <v>590</v>
      </c>
      <c r="M467" t="s">
        <v>618</v>
      </c>
      <c r="N467" t="s">
        <v>601</v>
      </c>
    </row>
    <row r="468" spans="1:14" x14ac:dyDescent="0.25">
      <c r="A468" t="s">
        <v>14</v>
      </c>
      <c r="B468" t="s">
        <v>133</v>
      </c>
      <c r="C468" t="s">
        <v>274</v>
      </c>
      <c r="D468" t="s">
        <v>424</v>
      </c>
      <c r="F468" t="s">
        <v>434</v>
      </c>
      <c r="G468" t="str">
        <f>HYPERLINK("https://ca.linkedin.com/jobs/view/data-analyst-at-momentum-financial-services-group-3355811523?refId=1M73sn%2FVEFErcZUNXCp7Ug%3D%3D&amp;trackingId=uEO8iuDEyAgHegmc9BKVBQ%3D%3D&amp;position=17&amp;pageNum=0&amp;trk=public_jobs_jserp-result_search-card", "Job Link")</f>
        <v>Job Link</v>
      </c>
      <c r="H468" t="s">
        <v>476</v>
      </c>
      <c r="I468" t="s">
        <v>481</v>
      </c>
      <c r="J468" t="s">
        <v>486</v>
      </c>
      <c r="K468" t="s">
        <v>527</v>
      </c>
      <c r="L468" t="s">
        <v>582</v>
      </c>
      <c r="M468" t="s">
        <v>588</v>
      </c>
      <c r="N468" t="s">
        <v>601</v>
      </c>
    </row>
    <row r="469" spans="1:14" x14ac:dyDescent="0.25">
      <c r="A469" t="s">
        <v>14</v>
      </c>
      <c r="B469" t="s">
        <v>134</v>
      </c>
      <c r="C469" t="s">
        <v>275</v>
      </c>
      <c r="D469" t="s">
        <v>424</v>
      </c>
      <c r="F469" t="s">
        <v>444</v>
      </c>
      <c r="G469" t="str">
        <f>HYPERLINK("https://ca.linkedin.com/jobs/view/data-analyst-at-tes-the-employment-solution-3322589522?refId=1M73sn%2FVEFErcZUNXCp7Ug%3D%3D&amp;trackingId=aVmYeokiufQ57591lJnl6w%3D%3D&amp;position=18&amp;pageNum=0&amp;trk=public_jobs_jserp-result_search-card", "Job Link")</f>
        <v>Job Link</v>
      </c>
      <c r="H469" t="s">
        <v>476</v>
      </c>
      <c r="I469" t="s">
        <v>483</v>
      </c>
      <c r="J469" t="s">
        <v>486</v>
      </c>
      <c r="K469" t="s">
        <v>525</v>
      </c>
      <c r="L469" t="s">
        <v>591</v>
      </c>
      <c r="M469" t="s">
        <v>588</v>
      </c>
      <c r="N469" t="s">
        <v>601</v>
      </c>
    </row>
    <row r="470" spans="1:14" x14ac:dyDescent="0.25">
      <c r="A470" t="s">
        <v>14</v>
      </c>
      <c r="B470" t="s">
        <v>135</v>
      </c>
      <c r="C470" t="s">
        <v>276</v>
      </c>
      <c r="D470" t="s">
        <v>424</v>
      </c>
      <c r="F470" t="s">
        <v>440</v>
      </c>
      <c r="G470" t="str">
        <f>HYPERLINK("https://ca.linkedin.com/jobs/view/data-analyst-at-magna-international-3370822450?refId=1M73sn%2FVEFErcZUNXCp7Ug%3D%3D&amp;trackingId=AOMvYRK5zEhpXKGFOVTz8w%3D%3D&amp;position=19&amp;pageNum=0&amp;trk=public_jobs_jserp-result_search-card", "Job Link")</f>
        <v>Job Link</v>
      </c>
      <c r="H470" t="s">
        <v>476</v>
      </c>
      <c r="I470" t="s">
        <v>481</v>
      </c>
      <c r="J470" t="s">
        <v>488</v>
      </c>
      <c r="K470" t="s">
        <v>528</v>
      </c>
      <c r="L470" t="s">
        <v>592</v>
      </c>
      <c r="M470" t="s">
        <v>588</v>
      </c>
      <c r="N470" t="s">
        <v>601</v>
      </c>
    </row>
    <row r="471" spans="1:14" x14ac:dyDescent="0.25">
      <c r="A471" t="s">
        <v>14</v>
      </c>
      <c r="B471" t="s">
        <v>128</v>
      </c>
      <c r="C471" t="s">
        <v>277</v>
      </c>
      <c r="D471" t="s">
        <v>424</v>
      </c>
      <c r="F471" t="s">
        <v>439</v>
      </c>
      <c r="G471" t="str">
        <f>HYPERLINK("https://ca.linkedin.com/jobs/view/data-analyst-at-diverse-lynx-3363374746?refId=1M73sn%2FVEFErcZUNXCp7Ug%3D%3D&amp;trackingId=cMRjnBpYCnQu1PzyxlRKvQ%3D%3D&amp;position=20&amp;pageNum=0&amp;trk=public_jobs_jserp-result_search-card", "Job Link")</f>
        <v>Job Link</v>
      </c>
      <c r="H471" t="s">
        <v>476</v>
      </c>
      <c r="I471" t="s">
        <v>481</v>
      </c>
      <c r="J471" t="s">
        <v>486</v>
      </c>
      <c r="K471" t="s">
        <v>516</v>
      </c>
      <c r="L471" t="s">
        <v>586</v>
      </c>
      <c r="M471" t="s">
        <v>617</v>
      </c>
      <c r="N471" t="s">
        <v>601</v>
      </c>
    </row>
    <row r="472" spans="1:14" x14ac:dyDescent="0.25">
      <c r="A472" t="s">
        <v>19</v>
      </c>
      <c r="B472" t="s">
        <v>136</v>
      </c>
      <c r="C472" t="s">
        <v>278</v>
      </c>
      <c r="D472" t="s">
        <v>424</v>
      </c>
      <c r="F472" t="s">
        <v>445</v>
      </c>
      <c r="G472" t="str">
        <f>HYPERLINK("https://ca.linkedin.com/jobs/view/data-analyst-operations-at-sonder-inc-3229442908?refId=1M73sn%2FVEFErcZUNXCp7Ug%3D%3D&amp;trackingId=R9ISTjsjXQcf9H%2B6d%2B8V9Q%3D%3D&amp;position=21&amp;pageNum=0&amp;trk=public_jobs_jserp-result_search-card", "Job Link")</f>
        <v>Job Link</v>
      </c>
      <c r="H472" t="s">
        <v>476</v>
      </c>
      <c r="I472" t="s">
        <v>481</v>
      </c>
      <c r="J472" t="s">
        <v>486</v>
      </c>
      <c r="K472" t="s">
        <v>529</v>
      </c>
      <c r="L472" t="s">
        <v>582</v>
      </c>
      <c r="M472" t="s">
        <v>588</v>
      </c>
      <c r="N472" t="s">
        <v>601</v>
      </c>
    </row>
    <row r="473" spans="1:14" x14ac:dyDescent="0.25">
      <c r="A473" t="s">
        <v>20</v>
      </c>
      <c r="B473" t="s">
        <v>137</v>
      </c>
      <c r="C473" t="s">
        <v>279</v>
      </c>
      <c r="D473" t="s">
        <v>424</v>
      </c>
      <c r="F473" t="s">
        <v>446</v>
      </c>
      <c r="G473" t="str">
        <f>HYPERLINK("https://ca.linkedin.com/jobs/view/senior-data-analyst-at-mueller-water-products-3122544636?refId=1M73sn%2FVEFErcZUNXCp7Ug%3D%3D&amp;trackingId=Xdcx8y6sBCggooG9eR6XdQ%3D%3D&amp;position=22&amp;pageNum=0&amp;trk=public_jobs_jserp-result_search-card", "Job Link")</f>
        <v>Job Link</v>
      </c>
      <c r="H473" t="s">
        <v>478</v>
      </c>
      <c r="I473" t="s">
        <v>481</v>
      </c>
      <c r="J473" t="s">
        <v>486</v>
      </c>
      <c r="K473" t="s">
        <v>530</v>
      </c>
      <c r="L473" t="s">
        <v>582</v>
      </c>
      <c r="M473" t="s">
        <v>588</v>
      </c>
      <c r="N473" t="s">
        <v>601</v>
      </c>
    </row>
    <row r="474" spans="1:14" x14ac:dyDescent="0.25">
      <c r="A474" t="s">
        <v>21</v>
      </c>
      <c r="B474" t="s">
        <v>138</v>
      </c>
      <c r="C474" t="s">
        <v>280</v>
      </c>
      <c r="D474" t="s">
        <v>424</v>
      </c>
      <c r="F474" t="s">
        <v>447</v>
      </c>
      <c r="G474" t="str">
        <f>HYPERLINK("https://ca.linkedin.com/jobs/view/data-entry-jr-analyst-6-month-contract-at-csl-group-ltd-3323214993?refId=1M73sn%2FVEFErcZUNXCp7Ug%3D%3D&amp;trackingId=qZks2KdL5YFIDvI4cF914w%3D%3D&amp;position=23&amp;pageNum=0&amp;trk=public_jobs_jserp-result_search-card", "Job Link")</f>
        <v>Job Link</v>
      </c>
      <c r="H474" t="s">
        <v>476</v>
      </c>
      <c r="I474" t="s">
        <v>484</v>
      </c>
      <c r="J474" t="s">
        <v>489</v>
      </c>
      <c r="K474" t="s">
        <v>531</v>
      </c>
      <c r="L474" t="s">
        <v>593</v>
      </c>
      <c r="M474" t="s">
        <v>588</v>
      </c>
      <c r="N474" t="s">
        <v>601</v>
      </c>
    </row>
    <row r="475" spans="1:14" x14ac:dyDescent="0.25">
      <c r="A475" t="s">
        <v>22</v>
      </c>
      <c r="B475" t="s">
        <v>139</v>
      </c>
      <c r="C475" t="s">
        <v>281</v>
      </c>
      <c r="D475" t="s">
        <v>424</v>
      </c>
      <c r="F475" t="s">
        <v>435</v>
      </c>
      <c r="G475" t="str">
        <f>HYPERLINK("https://ca.linkedin.com/jobs/view/quality-data-analyst-at-lululemon-3341634874?refId=1M73sn%2FVEFErcZUNXCp7Ug%3D%3D&amp;trackingId=QYo6KzRDUazjXrBggzVHSw%3D%3D&amp;position=24&amp;pageNum=0&amp;trk=public_jobs_jserp-result_search-card", "Job Link")</f>
        <v>Job Link</v>
      </c>
      <c r="H475" t="s">
        <v>476</v>
      </c>
      <c r="I475" t="s">
        <v>481</v>
      </c>
      <c r="J475" t="s">
        <v>486</v>
      </c>
      <c r="K475" t="s">
        <v>532</v>
      </c>
      <c r="L475" t="s">
        <v>590</v>
      </c>
      <c r="M475" t="s">
        <v>618</v>
      </c>
      <c r="N475" t="s">
        <v>601</v>
      </c>
    </row>
    <row r="476" spans="1:14" x14ac:dyDescent="0.25">
      <c r="A476" t="s">
        <v>14</v>
      </c>
      <c r="B476" t="s">
        <v>140</v>
      </c>
      <c r="C476" t="s">
        <v>282</v>
      </c>
      <c r="D476" t="s">
        <v>424</v>
      </c>
      <c r="F476" t="s">
        <v>440</v>
      </c>
      <c r="G476" t="str">
        <f>HYPERLINK("https://ca.linkedin.com/jobs/view/data-analyst-at-scotiabank-3365406993?refId=1M73sn%2FVEFErcZUNXCp7Ug%3D%3D&amp;trackingId=tXvUebS4Y%2F0R66hUifECOw%3D%3D&amp;position=25&amp;pageNum=0&amp;trk=public_jobs_jserp-result_search-card", "Job Link")</f>
        <v>Job Link</v>
      </c>
      <c r="H476" t="s">
        <v>479</v>
      </c>
      <c r="I476" t="s">
        <v>481</v>
      </c>
      <c r="J476" t="s">
        <v>486</v>
      </c>
      <c r="K476" t="s">
        <v>533</v>
      </c>
      <c r="L476" t="s">
        <v>582</v>
      </c>
      <c r="M476" t="s">
        <v>588</v>
      </c>
      <c r="N476" t="s">
        <v>601</v>
      </c>
    </row>
    <row r="477" spans="1:14" x14ac:dyDescent="0.25">
      <c r="A477" t="s">
        <v>14</v>
      </c>
      <c r="B477" t="s">
        <v>118</v>
      </c>
      <c r="C477" t="s">
        <v>258</v>
      </c>
      <c r="D477" t="s">
        <v>424</v>
      </c>
      <c r="F477" t="s">
        <v>430</v>
      </c>
      <c r="G477" t="str">
        <f>HYPERLINK("https://ca.linkedin.com/jobs/view/data-analyst-at-axonify-3324670516?refId=HZR%2B480t4J293NoIHlC%2B%2BA%3D%3D&amp;trackingId=9I4lxZSJWA8wsgq6MFzm3Q%3D%3D&amp;position=1&amp;pageNum=0&amp;trk=public_jobs_jserp-result_search-card", "Job Link")</f>
        <v>Job Link</v>
      </c>
      <c r="H477" t="s">
        <v>476</v>
      </c>
      <c r="I477" t="s">
        <v>481</v>
      </c>
      <c r="J477" t="s">
        <v>486</v>
      </c>
      <c r="K477" t="s">
        <v>516</v>
      </c>
      <c r="L477" t="s">
        <v>581</v>
      </c>
      <c r="M477" t="s">
        <v>588</v>
      </c>
      <c r="N477" t="s">
        <v>601</v>
      </c>
    </row>
    <row r="478" spans="1:14" x14ac:dyDescent="0.25">
      <c r="A478" t="s">
        <v>14</v>
      </c>
      <c r="B478" t="s">
        <v>119</v>
      </c>
      <c r="C478" t="s">
        <v>259</v>
      </c>
      <c r="D478" t="s">
        <v>424</v>
      </c>
      <c r="F478" t="s">
        <v>431</v>
      </c>
      <c r="G478" t="str">
        <f>HYPERLINK("https://ca.linkedin.com/jobs/view/data-analyst-at-b3-systems-3361794123?refId=HZR%2B480t4J293NoIHlC%2B%2BA%3D%3D&amp;trackingId=6ss%2FoRsBc3wNer5k3gKHbw%3D%3D&amp;position=2&amp;pageNum=0&amp;trk=public_jobs_jserp-result_search-card", "Job Link")</f>
        <v>Job Link</v>
      </c>
      <c r="I478" t="s">
        <v>481</v>
      </c>
      <c r="L478" t="s">
        <v>582</v>
      </c>
      <c r="M478" t="s">
        <v>588</v>
      </c>
      <c r="N478" t="s">
        <v>601</v>
      </c>
    </row>
    <row r="479" spans="1:14" x14ac:dyDescent="0.25">
      <c r="A479" t="s">
        <v>14</v>
      </c>
      <c r="B479" t="s">
        <v>120</v>
      </c>
      <c r="C479" t="s">
        <v>260</v>
      </c>
      <c r="D479" t="s">
        <v>424</v>
      </c>
      <c r="F479" t="s">
        <v>431</v>
      </c>
      <c r="G479" t="str">
        <f>HYPERLINK("https://ca.linkedin.com/jobs/view/data-analyst-at-wood-mackenzie-3271782079?refId=HZR%2B480t4J293NoIHlC%2B%2BA%3D%3D&amp;trackingId=GG1nzPn%2BVJMyXhWdwjihyg%3D%3D&amp;position=3&amp;pageNum=0&amp;trk=public_jobs_jserp-result_search-card", "Job Link")</f>
        <v>Job Link</v>
      </c>
      <c r="H479" t="s">
        <v>477</v>
      </c>
      <c r="I479" t="s">
        <v>481</v>
      </c>
      <c r="J479" t="s">
        <v>487</v>
      </c>
      <c r="K479" t="s">
        <v>517</v>
      </c>
      <c r="L479" t="s">
        <v>583</v>
      </c>
      <c r="M479" t="s">
        <v>610</v>
      </c>
      <c r="N479" t="s">
        <v>601</v>
      </c>
    </row>
    <row r="480" spans="1:14" x14ac:dyDescent="0.25">
      <c r="A480" t="s">
        <v>14</v>
      </c>
      <c r="B480" t="s">
        <v>121</v>
      </c>
      <c r="C480" t="s">
        <v>261</v>
      </c>
      <c r="D480" t="s">
        <v>424</v>
      </c>
      <c r="F480" t="s">
        <v>432</v>
      </c>
      <c r="G480" t="str">
        <f>HYPERLINK("https://ca.linkedin.com/jobs/view/data-analyst-at-loft-community-services-3364383026?refId=HZR%2B480t4J293NoIHlC%2B%2BA%3D%3D&amp;trackingId=rgoogm5BxLYwOJxgqJtuUA%3D%3D&amp;position=4&amp;pageNum=0&amp;trk=public_jobs_jserp-result_search-card", "Job Link")</f>
        <v>Job Link</v>
      </c>
      <c r="I480" t="s">
        <v>482</v>
      </c>
      <c r="L480" t="s">
        <v>582</v>
      </c>
      <c r="M480" t="s">
        <v>588</v>
      </c>
      <c r="N480" t="s">
        <v>601</v>
      </c>
    </row>
    <row r="481" spans="1:14" x14ac:dyDescent="0.25">
      <c r="A481" t="s">
        <v>14</v>
      </c>
      <c r="B481" t="s">
        <v>122</v>
      </c>
      <c r="C481" t="s">
        <v>262</v>
      </c>
      <c r="D481" t="s">
        <v>424</v>
      </c>
      <c r="F481" t="s">
        <v>433</v>
      </c>
      <c r="G481" t="str">
        <f>HYPERLINK("https://ca.linkedin.com/jobs/view/data-analyst-at-nam-info-inc-3351590976?refId=HZR%2B480t4J293NoIHlC%2B%2BA%3D%3D&amp;trackingId=a1bXienrKoUKR3t9vUMayQ%3D%3D&amp;position=5&amp;pageNum=0&amp;trk=public_jobs_jserp-result_search-card", "Job Link")</f>
        <v>Job Link</v>
      </c>
      <c r="H481" t="s">
        <v>478</v>
      </c>
      <c r="I481" t="s">
        <v>483</v>
      </c>
      <c r="J481" t="s">
        <v>486</v>
      </c>
      <c r="K481" t="s">
        <v>518</v>
      </c>
      <c r="L481" t="s">
        <v>582</v>
      </c>
      <c r="M481" t="s">
        <v>588</v>
      </c>
      <c r="N481" t="s">
        <v>601</v>
      </c>
    </row>
    <row r="482" spans="1:14" x14ac:dyDescent="0.25">
      <c r="A482" t="s">
        <v>14</v>
      </c>
      <c r="B482" t="s">
        <v>123</v>
      </c>
      <c r="C482" t="s">
        <v>263</v>
      </c>
      <c r="D482" t="s">
        <v>424</v>
      </c>
      <c r="F482" t="s">
        <v>434</v>
      </c>
      <c r="G482" t="str">
        <f>HYPERLINK("https://ca.linkedin.com/jobs/view/data-analyst-at-citi-3263096865?refId=HZR%2B480t4J293NoIHlC%2B%2BA%3D%3D&amp;trackingId=vd414Iw%2FDDAs9dGV7i2Qlw%3D%3D&amp;position=6&amp;pageNum=0&amp;trk=public_jobs_jserp-result_search-card", "Job Link")</f>
        <v>Job Link</v>
      </c>
      <c r="H482" t="s">
        <v>479</v>
      </c>
      <c r="I482" t="s">
        <v>481</v>
      </c>
      <c r="J482" t="s">
        <v>486</v>
      </c>
      <c r="K482" t="s">
        <v>519</v>
      </c>
      <c r="L482" t="s">
        <v>584</v>
      </c>
      <c r="M482" t="s">
        <v>588</v>
      </c>
      <c r="N482" t="s">
        <v>601</v>
      </c>
    </row>
    <row r="483" spans="1:14" x14ac:dyDescent="0.25">
      <c r="A483" t="s">
        <v>14</v>
      </c>
      <c r="B483" t="s">
        <v>124</v>
      </c>
      <c r="C483" t="s">
        <v>264</v>
      </c>
      <c r="D483" t="s">
        <v>424</v>
      </c>
      <c r="F483" t="s">
        <v>435</v>
      </c>
      <c r="G483" t="str">
        <f>HYPERLINK("https://ca.linkedin.com/jobs/view/data-analyst-at-king-s-college-london-3335332409?refId=HZR%2B480t4J293NoIHlC%2B%2BA%3D%3D&amp;trackingId=AQFQu9dasM58V4OREgWeuA%3D%3D&amp;position=7&amp;pageNum=0&amp;trk=public_jobs_jserp-result_search-card", "Job Link")</f>
        <v>Job Link</v>
      </c>
      <c r="H483" t="s">
        <v>476</v>
      </c>
      <c r="I483" t="s">
        <v>481</v>
      </c>
      <c r="J483" t="s">
        <v>486</v>
      </c>
      <c r="K483" t="s">
        <v>520</v>
      </c>
      <c r="L483" t="s">
        <v>585</v>
      </c>
      <c r="M483" t="s">
        <v>588</v>
      </c>
      <c r="N483" t="s">
        <v>601</v>
      </c>
    </row>
    <row r="484" spans="1:14" x14ac:dyDescent="0.25">
      <c r="A484" t="s">
        <v>15</v>
      </c>
      <c r="B484" t="s">
        <v>125</v>
      </c>
      <c r="C484" t="s">
        <v>265</v>
      </c>
      <c r="D484" t="s">
        <v>424</v>
      </c>
      <c r="F484" t="s">
        <v>431</v>
      </c>
      <c r="G484" t="str">
        <f>HYPERLINK("https://ca.linkedin.com/jobs/view/data-analyst-remote-at-cognizant-microsoft-business-group-3333618510?refId=HZR%2B480t4J293NoIHlC%2B%2BA%3D%3D&amp;trackingId=am2rJNn2NwCgDNKED3hH2Q%3D%3D&amp;position=8&amp;pageNum=0&amp;trk=public_jobs_jserp-result_search-card", "Job Link")</f>
        <v>Job Link</v>
      </c>
      <c r="H484" t="s">
        <v>476</v>
      </c>
      <c r="I484" t="s">
        <v>481</v>
      </c>
      <c r="J484" t="s">
        <v>486</v>
      </c>
      <c r="K484" t="s">
        <v>521</v>
      </c>
      <c r="L484" t="s">
        <v>582</v>
      </c>
      <c r="M484" t="s">
        <v>588</v>
      </c>
      <c r="N484" t="s">
        <v>601</v>
      </c>
    </row>
    <row r="485" spans="1:14" x14ac:dyDescent="0.25">
      <c r="A485" t="s">
        <v>16</v>
      </c>
      <c r="B485" t="s">
        <v>126</v>
      </c>
      <c r="C485" t="s">
        <v>266</v>
      </c>
      <c r="D485" t="s">
        <v>424</v>
      </c>
      <c r="F485" t="s">
        <v>436</v>
      </c>
      <c r="G485" t="str">
        <f>HYPERLINK("https://ca.linkedin.com/jobs/view/data-analyst-loans-at-tata-consultancy-services-3344804680?refId=HZR%2B480t4J293NoIHlC%2B%2BA%3D%3D&amp;trackingId=LsiCnj74r8OZrQWI8dQkbQ%3D%3D&amp;position=9&amp;pageNum=0&amp;trk=public_jobs_jserp-result_search-card", "Job Link")</f>
        <v>Job Link</v>
      </c>
      <c r="H485" t="s">
        <v>477</v>
      </c>
      <c r="I485" t="s">
        <v>481</v>
      </c>
      <c r="J485" t="s">
        <v>486</v>
      </c>
      <c r="K485" t="s">
        <v>517</v>
      </c>
      <c r="L485" t="s">
        <v>584</v>
      </c>
      <c r="M485" t="s">
        <v>588</v>
      </c>
      <c r="N485" t="s">
        <v>601</v>
      </c>
    </row>
    <row r="486" spans="1:14" x14ac:dyDescent="0.25">
      <c r="A486" t="s">
        <v>14</v>
      </c>
      <c r="B486" t="s">
        <v>127</v>
      </c>
      <c r="C486" t="s">
        <v>267</v>
      </c>
      <c r="D486" t="s">
        <v>424</v>
      </c>
      <c r="F486" t="s">
        <v>437</v>
      </c>
      <c r="G486" t="str">
        <f>HYPERLINK("https://ca.linkedin.com/jobs/view/data-analyst-at-vubiquity-3365112221?refId=HZR%2B480t4J293NoIHlC%2B%2BA%3D%3D&amp;trackingId=hoRB1UwlywTabv8GHxa2Fg%3D%3D&amp;position=10&amp;pageNum=0&amp;trk=public_jobs_jserp-result_search-card", "Job Link")</f>
        <v>Job Link</v>
      </c>
      <c r="H486" t="s">
        <v>476</v>
      </c>
      <c r="I486" t="s">
        <v>481</v>
      </c>
      <c r="J486" t="s">
        <v>486</v>
      </c>
      <c r="K486" t="s">
        <v>522</v>
      </c>
      <c r="L486" t="s">
        <v>582</v>
      </c>
      <c r="M486" t="s">
        <v>588</v>
      </c>
      <c r="N486" t="s">
        <v>601</v>
      </c>
    </row>
    <row r="487" spans="1:14" x14ac:dyDescent="0.25">
      <c r="A487" t="s">
        <v>17</v>
      </c>
      <c r="B487" t="s">
        <v>123</v>
      </c>
      <c r="C487" t="s">
        <v>268</v>
      </c>
      <c r="D487" t="s">
        <v>424</v>
      </c>
      <c r="F487" t="s">
        <v>438</v>
      </c>
      <c r="G487" t="str">
        <f>HYPERLINK("https://ca.linkedin.com/jobs/view/data-analyst-developer-at-citi-3322089923?refId=HZR%2B480t4J293NoIHlC%2B%2BA%3D%3D&amp;trackingId=iIffx%2BOdR8vbVR3HRCwr%2Fw%3D%3D&amp;position=11&amp;pageNum=0&amp;trk=public_jobs_jserp-result_search-card", "Job Link")</f>
        <v>Job Link</v>
      </c>
      <c r="H487" t="s">
        <v>479</v>
      </c>
      <c r="I487" t="s">
        <v>481</v>
      </c>
      <c r="J487" t="s">
        <v>486</v>
      </c>
      <c r="K487" t="s">
        <v>519</v>
      </c>
      <c r="L487" t="s">
        <v>584</v>
      </c>
      <c r="M487" t="s">
        <v>588</v>
      </c>
      <c r="N487" t="s">
        <v>601</v>
      </c>
    </row>
    <row r="488" spans="1:14" x14ac:dyDescent="0.25">
      <c r="A488" t="s">
        <v>14</v>
      </c>
      <c r="B488" t="s">
        <v>128</v>
      </c>
      <c r="C488" t="s">
        <v>269</v>
      </c>
      <c r="D488" t="s">
        <v>424</v>
      </c>
      <c r="F488" t="s">
        <v>439</v>
      </c>
      <c r="G488" t="str">
        <f>HYPERLINK("https://ca.linkedin.com/jobs/view/data-analyst-at-diverse-lynx-3363377240?refId=HZR%2B480t4J293NoIHlC%2B%2BA%3D%3D&amp;trackingId=5Cvt7c4TT0g8cuxh31hiig%3D%3D&amp;position=12&amp;pageNum=0&amp;trk=public_jobs_jserp-result_search-card", "Job Link")</f>
        <v>Job Link</v>
      </c>
      <c r="H488" t="s">
        <v>476</v>
      </c>
      <c r="I488" t="s">
        <v>481</v>
      </c>
      <c r="J488" t="s">
        <v>486</v>
      </c>
      <c r="K488" t="s">
        <v>516</v>
      </c>
      <c r="L488" t="s">
        <v>586</v>
      </c>
      <c r="M488" t="s">
        <v>617</v>
      </c>
      <c r="N488" t="s">
        <v>601</v>
      </c>
    </row>
    <row r="489" spans="1:14" x14ac:dyDescent="0.25">
      <c r="A489" t="s">
        <v>14</v>
      </c>
      <c r="B489" t="s">
        <v>129</v>
      </c>
      <c r="C489" t="s">
        <v>270</v>
      </c>
      <c r="D489" t="s">
        <v>424</v>
      </c>
      <c r="F489" t="s">
        <v>440</v>
      </c>
      <c r="G489" t="str">
        <f>HYPERLINK("https://ca.linkedin.com/jobs/view/data-analyst-at-agricorp-3364433441?refId=HZR%2B480t4J293NoIHlC%2B%2BA%3D%3D&amp;trackingId=OLjthSH0ALli03fMEMD%2BRA%3D%3D&amp;position=13&amp;pageNum=0&amp;trk=public_jobs_jserp-result_search-card", "Job Link")</f>
        <v>Job Link</v>
      </c>
      <c r="H489" t="s">
        <v>476</v>
      </c>
      <c r="I489" t="s">
        <v>481</v>
      </c>
      <c r="J489" t="s">
        <v>486</v>
      </c>
      <c r="K489" t="s">
        <v>523</v>
      </c>
      <c r="L489" t="s">
        <v>587</v>
      </c>
      <c r="M489" t="s">
        <v>588</v>
      </c>
      <c r="N489" t="s">
        <v>601</v>
      </c>
    </row>
    <row r="490" spans="1:14" x14ac:dyDescent="0.25">
      <c r="A490" t="s">
        <v>18</v>
      </c>
      <c r="B490" t="s">
        <v>130</v>
      </c>
      <c r="C490" t="s">
        <v>271</v>
      </c>
      <c r="D490" t="s">
        <v>424</v>
      </c>
      <c r="F490" t="s">
        <v>441</v>
      </c>
      <c r="G490" t="str">
        <f>HYPERLINK("https://ca.linkedin.com/jobs/view/junior-data-analyst-mississauga-on-at-arjo-3323264354?refId=HZR%2B480t4J293NoIHlC%2B%2BA%3D%3D&amp;trackingId=dThCOMjdzlkxiKhael1hlg%3D%3D&amp;position=14&amp;pageNum=0&amp;trk=public_jobs_jserp-result_search-card", "Job Link")</f>
        <v>Job Link</v>
      </c>
      <c r="H490" t="s">
        <v>479</v>
      </c>
      <c r="I490" t="s">
        <v>481</v>
      </c>
      <c r="J490" t="s">
        <v>486</v>
      </c>
      <c r="K490" t="s">
        <v>524</v>
      </c>
      <c r="L490" t="s">
        <v>588</v>
      </c>
      <c r="M490" t="s">
        <v>601</v>
      </c>
    </row>
    <row r="491" spans="1:14" x14ac:dyDescent="0.25">
      <c r="A491" t="s">
        <v>14</v>
      </c>
      <c r="B491" t="s">
        <v>131</v>
      </c>
      <c r="C491" t="s">
        <v>272</v>
      </c>
      <c r="D491" t="s">
        <v>424</v>
      </c>
      <c r="F491" t="s">
        <v>442</v>
      </c>
      <c r="G491" t="str">
        <f>HYPERLINK("https://ca.linkedin.com/jobs/view/data-analyst-at-westland-insurance-group-ltd-3345807760?refId=HZR%2B480t4J293NoIHlC%2B%2BA%3D%3D&amp;trackingId=h8iE1vsqd8g86XQQy%2FYxrQ%3D%3D&amp;position=15&amp;pageNum=0&amp;trk=public_jobs_jserp-result_search-card", "Job Link")</f>
        <v>Job Link</v>
      </c>
      <c r="H491" t="s">
        <v>476</v>
      </c>
      <c r="I491" t="s">
        <v>481</v>
      </c>
      <c r="J491" t="s">
        <v>486</v>
      </c>
      <c r="K491" t="s">
        <v>525</v>
      </c>
      <c r="L491" t="s">
        <v>589</v>
      </c>
      <c r="M491" t="s">
        <v>618</v>
      </c>
      <c r="N491" t="s">
        <v>601</v>
      </c>
    </row>
    <row r="492" spans="1:14" x14ac:dyDescent="0.25">
      <c r="A492" t="s">
        <v>14</v>
      </c>
      <c r="B492" t="s">
        <v>132</v>
      </c>
      <c r="C492" t="s">
        <v>273</v>
      </c>
      <c r="D492" t="s">
        <v>424</v>
      </c>
      <c r="F492" t="s">
        <v>443</v>
      </c>
      <c r="G492" t="str">
        <f>HYPERLINK("https://ca.linkedin.com/jobs/view/data-analyst-at-fasken-3365947704?refId=HZR%2B480t4J293NoIHlC%2B%2BA%3D%3D&amp;trackingId=DT0mTsNh7pmPaZGPEafxhA%3D%3D&amp;position=16&amp;pageNum=0&amp;trk=public_jobs_jserp-result_search-card", "Job Link")</f>
        <v>Job Link</v>
      </c>
      <c r="H492" t="s">
        <v>476</v>
      </c>
      <c r="I492" t="s">
        <v>481</v>
      </c>
      <c r="J492" t="s">
        <v>486</v>
      </c>
      <c r="K492" t="s">
        <v>526</v>
      </c>
      <c r="L492" t="s">
        <v>590</v>
      </c>
      <c r="M492" t="s">
        <v>618</v>
      </c>
      <c r="N492" t="s">
        <v>601</v>
      </c>
    </row>
    <row r="493" spans="1:14" x14ac:dyDescent="0.25">
      <c r="A493" t="s">
        <v>14</v>
      </c>
      <c r="B493" t="s">
        <v>133</v>
      </c>
      <c r="C493" t="s">
        <v>274</v>
      </c>
      <c r="D493" t="s">
        <v>424</v>
      </c>
      <c r="F493" t="s">
        <v>434</v>
      </c>
      <c r="G493" t="str">
        <f>HYPERLINK("https://ca.linkedin.com/jobs/view/data-analyst-at-momentum-financial-services-group-3355811523?refId=HZR%2B480t4J293NoIHlC%2B%2BA%3D%3D&amp;trackingId=AslwduazBrjuNMNFaKGtWA%3D%3D&amp;position=17&amp;pageNum=0&amp;trk=public_jobs_jserp-result_search-card", "Job Link")</f>
        <v>Job Link</v>
      </c>
      <c r="H493" t="s">
        <v>476</v>
      </c>
      <c r="I493" t="s">
        <v>481</v>
      </c>
      <c r="J493" t="s">
        <v>486</v>
      </c>
      <c r="K493" t="s">
        <v>527</v>
      </c>
      <c r="L493" t="s">
        <v>582</v>
      </c>
      <c r="M493" t="s">
        <v>588</v>
      </c>
      <c r="N493" t="s">
        <v>601</v>
      </c>
    </row>
    <row r="494" spans="1:14" x14ac:dyDescent="0.25">
      <c r="A494" t="s">
        <v>14</v>
      </c>
      <c r="B494" t="s">
        <v>134</v>
      </c>
      <c r="C494" t="s">
        <v>275</v>
      </c>
      <c r="D494" t="s">
        <v>424</v>
      </c>
      <c r="F494" t="s">
        <v>444</v>
      </c>
      <c r="G494" t="str">
        <f>HYPERLINK("https://ca.linkedin.com/jobs/view/data-analyst-at-tes-the-employment-solution-3322589522?refId=HZR%2B480t4J293NoIHlC%2B%2BA%3D%3D&amp;trackingId=ieL8eGqynh9mnZpLxlZ1dg%3D%3D&amp;position=18&amp;pageNum=0&amp;trk=public_jobs_jserp-result_search-card", "Job Link")</f>
        <v>Job Link</v>
      </c>
      <c r="H494" t="s">
        <v>476</v>
      </c>
      <c r="I494" t="s">
        <v>483</v>
      </c>
      <c r="J494" t="s">
        <v>486</v>
      </c>
      <c r="K494" t="s">
        <v>525</v>
      </c>
      <c r="L494" t="s">
        <v>591</v>
      </c>
      <c r="M494" t="s">
        <v>588</v>
      </c>
      <c r="N494" t="s">
        <v>601</v>
      </c>
    </row>
    <row r="495" spans="1:14" x14ac:dyDescent="0.25">
      <c r="A495" t="s">
        <v>14</v>
      </c>
      <c r="B495" t="s">
        <v>135</v>
      </c>
      <c r="C495" t="s">
        <v>276</v>
      </c>
      <c r="D495" t="s">
        <v>424</v>
      </c>
      <c r="F495" t="s">
        <v>440</v>
      </c>
      <c r="G495" t="str">
        <f>HYPERLINK("https://ca.linkedin.com/jobs/view/data-analyst-at-magna-international-3370822450?refId=HZR%2B480t4J293NoIHlC%2B%2BA%3D%3D&amp;trackingId=3wp2rfZUQ3RQAhIzkTKWJQ%3D%3D&amp;position=19&amp;pageNum=0&amp;trk=public_jobs_jserp-result_search-card", "Job Link")</f>
        <v>Job Link</v>
      </c>
      <c r="H495" t="s">
        <v>476</v>
      </c>
      <c r="I495" t="s">
        <v>481</v>
      </c>
      <c r="J495" t="s">
        <v>488</v>
      </c>
      <c r="K495" t="s">
        <v>528</v>
      </c>
      <c r="L495" t="s">
        <v>592</v>
      </c>
      <c r="M495" t="s">
        <v>588</v>
      </c>
      <c r="N495" t="s">
        <v>601</v>
      </c>
    </row>
    <row r="496" spans="1:14" x14ac:dyDescent="0.25">
      <c r="A496" t="s">
        <v>14</v>
      </c>
      <c r="B496" t="s">
        <v>128</v>
      </c>
      <c r="C496" t="s">
        <v>277</v>
      </c>
      <c r="D496" t="s">
        <v>424</v>
      </c>
      <c r="F496" t="s">
        <v>439</v>
      </c>
      <c r="G496" t="str">
        <f>HYPERLINK("https://ca.linkedin.com/jobs/view/data-analyst-at-diverse-lynx-3363374746?refId=HZR%2B480t4J293NoIHlC%2B%2BA%3D%3D&amp;trackingId=QQznj%2FxFXahLXyOQ4vZJnQ%3D%3D&amp;position=20&amp;pageNum=0&amp;trk=public_jobs_jserp-result_search-card", "Job Link")</f>
        <v>Job Link</v>
      </c>
      <c r="H496" t="s">
        <v>476</v>
      </c>
      <c r="I496" t="s">
        <v>481</v>
      </c>
      <c r="J496" t="s">
        <v>486</v>
      </c>
      <c r="K496" t="s">
        <v>516</v>
      </c>
      <c r="L496" t="s">
        <v>586</v>
      </c>
      <c r="M496" t="s">
        <v>617</v>
      </c>
      <c r="N496" t="s">
        <v>601</v>
      </c>
    </row>
    <row r="497" spans="1:14" x14ac:dyDescent="0.25">
      <c r="A497" t="s">
        <v>19</v>
      </c>
      <c r="B497" t="s">
        <v>136</v>
      </c>
      <c r="C497" t="s">
        <v>278</v>
      </c>
      <c r="D497" t="s">
        <v>424</v>
      </c>
      <c r="F497" t="s">
        <v>445</v>
      </c>
      <c r="G497" t="str">
        <f>HYPERLINK("https://ca.linkedin.com/jobs/view/data-analyst-operations-at-sonder-inc-3229442908?refId=HZR%2B480t4J293NoIHlC%2B%2BA%3D%3D&amp;trackingId=ELVPn2DRvLw72iawyRhOpw%3D%3D&amp;position=21&amp;pageNum=0&amp;trk=public_jobs_jserp-result_search-card", "Job Link")</f>
        <v>Job Link</v>
      </c>
      <c r="H497" t="s">
        <v>476</v>
      </c>
      <c r="I497" t="s">
        <v>481</v>
      </c>
      <c r="J497" t="s">
        <v>486</v>
      </c>
      <c r="K497" t="s">
        <v>529</v>
      </c>
      <c r="L497" t="s">
        <v>582</v>
      </c>
      <c r="M497" t="s">
        <v>588</v>
      </c>
      <c r="N497" t="s">
        <v>601</v>
      </c>
    </row>
    <row r="498" spans="1:14" x14ac:dyDescent="0.25">
      <c r="A498" t="s">
        <v>20</v>
      </c>
      <c r="B498" t="s">
        <v>137</v>
      </c>
      <c r="C498" t="s">
        <v>279</v>
      </c>
      <c r="D498" t="s">
        <v>424</v>
      </c>
      <c r="F498" t="s">
        <v>446</v>
      </c>
      <c r="G498" t="str">
        <f>HYPERLINK("https://ca.linkedin.com/jobs/view/senior-data-analyst-at-mueller-water-products-3122544636?refId=HZR%2B480t4J293NoIHlC%2B%2BA%3D%3D&amp;trackingId=uM%2BeZrcor8Oc6x5Rug3bUA%3D%3D&amp;position=22&amp;pageNum=0&amp;trk=public_jobs_jserp-result_search-card", "Job Link")</f>
        <v>Job Link</v>
      </c>
      <c r="H498" t="s">
        <v>478</v>
      </c>
      <c r="I498" t="s">
        <v>481</v>
      </c>
      <c r="J498" t="s">
        <v>486</v>
      </c>
      <c r="K498" t="s">
        <v>530</v>
      </c>
      <c r="L498" t="s">
        <v>582</v>
      </c>
      <c r="M498" t="s">
        <v>588</v>
      </c>
      <c r="N498" t="s">
        <v>601</v>
      </c>
    </row>
    <row r="499" spans="1:14" x14ac:dyDescent="0.25">
      <c r="A499" t="s">
        <v>21</v>
      </c>
      <c r="B499" t="s">
        <v>138</v>
      </c>
      <c r="C499" t="s">
        <v>280</v>
      </c>
      <c r="D499" t="s">
        <v>424</v>
      </c>
      <c r="F499" t="s">
        <v>447</v>
      </c>
      <c r="G499" t="str">
        <f>HYPERLINK("https://ca.linkedin.com/jobs/view/data-entry-jr-analyst-6-month-contract-at-csl-group-ltd-3323214993?refId=HZR%2B480t4J293NoIHlC%2B%2BA%3D%3D&amp;trackingId=Q%2BP%2BOVIoUZitFX%2FLfO8X4w%3D%3D&amp;position=23&amp;pageNum=0&amp;trk=public_jobs_jserp-result_search-card", "Job Link")</f>
        <v>Job Link</v>
      </c>
      <c r="H499" t="s">
        <v>476</v>
      </c>
      <c r="I499" t="s">
        <v>484</v>
      </c>
      <c r="J499" t="s">
        <v>489</v>
      </c>
      <c r="K499" t="s">
        <v>531</v>
      </c>
      <c r="L499" t="s">
        <v>593</v>
      </c>
      <c r="M499" t="s">
        <v>588</v>
      </c>
      <c r="N499" t="s">
        <v>601</v>
      </c>
    </row>
    <row r="500" spans="1:14" x14ac:dyDescent="0.25">
      <c r="A500" t="s">
        <v>22</v>
      </c>
      <c r="B500" t="s">
        <v>139</v>
      </c>
      <c r="C500" t="s">
        <v>281</v>
      </c>
      <c r="D500" t="s">
        <v>424</v>
      </c>
      <c r="F500" t="s">
        <v>435</v>
      </c>
      <c r="G500" t="str">
        <f>HYPERLINK("https://ca.linkedin.com/jobs/view/quality-data-analyst-at-lululemon-3341634874?refId=HZR%2B480t4J293NoIHlC%2B%2BA%3D%3D&amp;trackingId=DTRZeqBuZaRjKFgtTggcxw%3D%3D&amp;position=24&amp;pageNum=0&amp;trk=public_jobs_jserp-result_search-card", "Job Link")</f>
        <v>Job Link</v>
      </c>
      <c r="H500" t="s">
        <v>476</v>
      </c>
      <c r="I500" t="s">
        <v>481</v>
      </c>
      <c r="J500" t="s">
        <v>486</v>
      </c>
      <c r="K500" t="s">
        <v>532</v>
      </c>
      <c r="L500" t="s">
        <v>590</v>
      </c>
      <c r="M500" t="s">
        <v>618</v>
      </c>
      <c r="N500" t="s">
        <v>601</v>
      </c>
    </row>
    <row r="501" spans="1:14" x14ac:dyDescent="0.25">
      <c r="A501" t="s">
        <v>14</v>
      </c>
      <c r="B501" t="s">
        <v>140</v>
      </c>
      <c r="C501" t="s">
        <v>282</v>
      </c>
      <c r="D501" t="s">
        <v>424</v>
      </c>
      <c r="F501" t="s">
        <v>440</v>
      </c>
      <c r="G501" t="str">
        <f>HYPERLINK("https://ca.linkedin.com/jobs/view/data-analyst-at-scotiabank-3365406993?refId=HZR%2B480t4J293NoIHlC%2B%2BA%3D%3D&amp;trackingId=Le5zPwg8%2BHObNEKMEWgj3Q%3D%3D&amp;position=25&amp;pageNum=0&amp;trk=public_jobs_jserp-result_search-card", "Job Link")</f>
        <v>Job Link</v>
      </c>
      <c r="H501" t="s">
        <v>479</v>
      </c>
      <c r="I501" t="s">
        <v>481</v>
      </c>
      <c r="J501" t="s">
        <v>486</v>
      </c>
      <c r="K501" t="s">
        <v>533</v>
      </c>
      <c r="L501" t="s">
        <v>582</v>
      </c>
      <c r="M501" t="s">
        <v>588</v>
      </c>
      <c r="N501" t="s">
        <v>601</v>
      </c>
    </row>
    <row r="502" spans="1:14" x14ac:dyDescent="0.25">
      <c r="A502" t="s">
        <v>14</v>
      </c>
      <c r="B502" t="s">
        <v>118</v>
      </c>
      <c r="C502" t="s">
        <v>258</v>
      </c>
      <c r="D502" t="s">
        <v>424</v>
      </c>
      <c r="F502" t="s">
        <v>430</v>
      </c>
      <c r="G502" t="str">
        <f>HYPERLINK("https://ca.linkedin.com/jobs/view/data-analyst-at-axonify-3324670516?refId=dHBB2tAYZSl9xrln1mEGDQ%3D%3D&amp;trackingId=et4uYzn6gkYgs3thi2cKUw%3D%3D&amp;position=1&amp;pageNum=0&amp;trk=public_jobs_jserp-result_search-card", "Job Link")</f>
        <v>Job Link</v>
      </c>
      <c r="H502" t="s">
        <v>476</v>
      </c>
      <c r="I502" t="s">
        <v>481</v>
      </c>
      <c r="J502" t="s">
        <v>486</v>
      </c>
      <c r="K502" t="s">
        <v>516</v>
      </c>
      <c r="L502" t="s">
        <v>581</v>
      </c>
      <c r="M502" t="s">
        <v>588</v>
      </c>
      <c r="N502" t="s">
        <v>601</v>
      </c>
    </row>
    <row r="503" spans="1:14" x14ac:dyDescent="0.25">
      <c r="A503" t="s">
        <v>14</v>
      </c>
      <c r="B503" t="s">
        <v>119</v>
      </c>
      <c r="C503" t="s">
        <v>259</v>
      </c>
      <c r="D503" t="s">
        <v>424</v>
      </c>
      <c r="F503" t="s">
        <v>431</v>
      </c>
      <c r="G503" t="str">
        <f>HYPERLINK("https://ca.linkedin.com/jobs/view/data-analyst-at-b3-systems-3361794123?refId=dHBB2tAYZSl9xrln1mEGDQ%3D%3D&amp;trackingId=2ndZClRKa43IZOGOMWFktQ%3D%3D&amp;position=2&amp;pageNum=0&amp;trk=public_jobs_jserp-result_search-card", "Job Link")</f>
        <v>Job Link</v>
      </c>
      <c r="I503" t="s">
        <v>481</v>
      </c>
      <c r="L503" t="s">
        <v>582</v>
      </c>
      <c r="M503" t="s">
        <v>588</v>
      </c>
      <c r="N503" t="s">
        <v>601</v>
      </c>
    </row>
    <row r="504" spans="1:14" x14ac:dyDescent="0.25">
      <c r="A504" t="s">
        <v>14</v>
      </c>
      <c r="B504" t="s">
        <v>120</v>
      </c>
      <c r="C504" t="s">
        <v>260</v>
      </c>
      <c r="D504" t="s">
        <v>424</v>
      </c>
      <c r="F504" t="s">
        <v>431</v>
      </c>
      <c r="G504" t="str">
        <f>HYPERLINK("https://ca.linkedin.com/jobs/view/data-analyst-at-wood-mackenzie-3271782079?refId=dHBB2tAYZSl9xrln1mEGDQ%3D%3D&amp;trackingId=Y8%2FUXnBiy4M2I4aMKKREAg%3D%3D&amp;position=3&amp;pageNum=0&amp;trk=public_jobs_jserp-result_search-card", "Job Link")</f>
        <v>Job Link</v>
      </c>
      <c r="H504" t="s">
        <v>477</v>
      </c>
      <c r="I504" t="s">
        <v>481</v>
      </c>
      <c r="J504" t="s">
        <v>487</v>
      </c>
      <c r="K504" t="s">
        <v>517</v>
      </c>
      <c r="L504" t="s">
        <v>583</v>
      </c>
      <c r="M504" t="s">
        <v>610</v>
      </c>
      <c r="N504" t="s">
        <v>601</v>
      </c>
    </row>
    <row r="505" spans="1:14" x14ac:dyDescent="0.25">
      <c r="A505" t="s">
        <v>14</v>
      </c>
      <c r="B505" t="s">
        <v>121</v>
      </c>
      <c r="C505" t="s">
        <v>261</v>
      </c>
      <c r="D505" t="s">
        <v>424</v>
      </c>
      <c r="F505" t="s">
        <v>432</v>
      </c>
      <c r="G505" t="str">
        <f>HYPERLINK("https://ca.linkedin.com/jobs/view/data-analyst-at-loft-community-services-3364383026?refId=dHBB2tAYZSl9xrln1mEGDQ%3D%3D&amp;trackingId=vWMxO61ssK6mSXHtKWtC%2FQ%3D%3D&amp;position=4&amp;pageNum=0&amp;trk=public_jobs_jserp-result_search-card", "Job Link")</f>
        <v>Job Link</v>
      </c>
      <c r="I505" t="s">
        <v>482</v>
      </c>
      <c r="L505" t="s">
        <v>582</v>
      </c>
      <c r="M505" t="s">
        <v>588</v>
      </c>
      <c r="N505" t="s">
        <v>601</v>
      </c>
    </row>
    <row r="506" spans="1:14" x14ac:dyDescent="0.25">
      <c r="A506" t="s">
        <v>14</v>
      </c>
      <c r="B506" t="s">
        <v>122</v>
      </c>
      <c r="C506" t="s">
        <v>262</v>
      </c>
      <c r="D506" t="s">
        <v>424</v>
      </c>
      <c r="F506" t="s">
        <v>433</v>
      </c>
      <c r="G506" t="str">
        <f>HYPERLINK("https://ca.linkedin.com/jobs/view/data-analyst-at-nam-info-inc-3351590976?refId=dHBB2tAYZSl9xrln1mEGDQ%3D%3D&amp;trackingId=JiLtL0ccOGlC%2BfE7NXr8ew%3D%3D&amp;position=5&amp;pageNum=0&amp;trk=public_jobs_jserp-result_search-card", "Job Link")</f>
        <v>Job Link</v>
      </c>
      <c r="H506" t="s">
        <v>478</v>
      </c>
      <c r="I506" t="s">
        <v>483</v>
      </c>
      <c r="J506" t="s">
        <v>486</v>
      </c>
      <c r="K506" t="s">
        <v>518</v>
      </c>
      <c r="L506" t="s">
        <v>582</v>
      </c>
      <c r="M506" t="s">
        <v>588</v>
      </c>
      <c r="N506" t="s">
        <v>601</v>
      </c>
    </row>
    <row r="507" spans="1:14" x14ac:dyDescent="0.25">
      <c r="A507" t="s">
        <v>14</v>
      </c>
      <c r="B507" t="s">
        <v>123</v>
      </c>
      <c r="C507" t="s">
        <v>263</v>
      </c>
      <c r="D507" t="s">
        <v>424</v>
      </c>
      <c r="F507" t="s">
        <v>434</v>
      </c>
      <c r="G507" t="str">
        <f>HYPERLINK("https://ca.linkedin.com/jobs/view/data-analyst-at-citi-3263096865?refId=dHBB2tAYZSl9xrln1mEGDQ%3D%3D&amp;trackingId=8F0R3Mw42a2ZACky3jlskQ%3D%3D&amp;position=6&amp;pageNum=0&amp;trk=public_jobs_jserp-result_search-card", "Job Link")</f>
        <v>Job Link</v>
      </c>
      <c r="H507" t="s">
        <v>479</v>
      </c>
      <c r="I507" t="s">
        <v>481</v>
      </c>
      <c r="J507" t="s">
        <v>486</v>
      </c>
      <c r="K507" t="s">
        <v>519</v>
      </c>
      <c r="L507" t="s">
        <v>584</v>
      </c>
      <c r="M507" t="s">
        <v>588</v>
      </c>
      <c r="N507" t="s">
        <v>601</v>
      </c>
    </row>
    <row r="508" spans="1:14" x14ac:dyDescent="0.25">
      <c r="A508" t="s">
        <v>19</v>
      </c>
      <c r="B508" t="s">
        <v>136</v>
      </c>
      <c r="C508" t="s">
        <v>284</v>
      </c>
      <c r="D508" t="s">
        <v>424</v>
      </c>
      <c r="F508" t="s">
        <v>445</v>
      </c>
      <c r="G508" t="str">
        <f>HYPERLINK("https://ca.linkedin.com/jobs/view/data-analyst-operations-at-sonder-inc-3229442908?refId=dHBB2tAYZSl9xrln1mEGDQ%3D%3D&amp;trackingId=5dXdHnkl6ogcgzi0inKM7w%3D%3D&amp;position=7&amp;pageNum=0&amp;trk=public_jobs_jserp-result_search-card", "Job Link")</f>
        <v>Job Link</v>
      </c>
      <c r="L508" t="s">
        <v>582</v>
      </c>
      <c r="M508" t="s">
        <v>588</v>
      </c>
      <c r="N508" t="s">
        <v>601</v>
      </c>
    </row>
    <row r="509" spans="1:14" x14ac:dyDescent="0.25">
      <c r="A509" t="s">
        <v>14</v>
      </c>
      <c r="B509" t="s">
        <v>124</v>
      </c>
      <c r="C509" t="s">
        <v>264</v>
      </c>
      <c r="D509" t="s">
        <v>424</v>
      </c>
      <c r="F509" t="s">
        <v>435</v>
      </c>
      <c r="G509" t="str">
        <f>HYPERLINK("https://ca.linkedin.com/jobs/view/data-analyst-at-king-s-college-london-3335332409?refId=dHBB2tAYZSl9xrln1mEGDQ%3D%3D&amp;trackingId=9V0E2FYV%2BlTXEc4D81YhiQ%3D%3D&amp;position=8&amp;pageNum=0&amp;trk=public_jobs_jserp-result_search-card", "Job Link")</f>
        <v>Job Link</v>
      </c>
      <c r="H509" t="s">
        <v>476</v>
      </c>
      <c r="I509" t="s">
        <v>481</v>
      </c>
      <c r="J509" t="s">
        <v>486</v>
      </c>
      <c r="K509" t="s">
        <v>520</v>
      </c>
      <c r="L509" t="s">
        <v>585</v>
      </c>
      <c r="M509" t="s">
        <v>588</v>
      </c>
      <c r="N509" t="s">
        <v>601</v>
      </c>
    </row>
    <row r="510" spans="1:14" x14ac:dyDescent="0.25">
      <c r="A510" t="s">
        <v>15</v>
      </c>
      <c r="B510" t="s">
        <v>125</v>
      </c>
      <c r="C510" t="s">
        <v>265</v>
      </c>
      <c r="D510" t="s">
        <v>424</v>
      </c>
      <c r="F510" t="s">
        <v>431</v>
      </c>
      <c r="G510" t="str">
        <f>HYPERLINK("https://ca.linkedin.com/jobs/view/data-analyst-remote-at-cognizant-microsoft-business-group-3333618510?refId=dHBB2tAYZSl9xrln1mEGDQ%3D%3D&amp;trackingId=OOXLsD5Ze4xAa4rLPtxc6Q%3D%3D&amp;position=9&amp;pageNum=0&amp;trk=public_jobs_jserp-result_search-card", "Job Link")</f>
        <v>Job Link</v>
      </c>
      <c r="H510" t="s">
        <v>476</v>
      </c>
      <c r="I510" t="s">
        <v>481</v>
      </c>
      <c r="J510" t="s">
        <v>486</v>
      </c>
      <c r="K510" t="s">
        <v>521</v>
      </c>
      <c r="L510" t="s">
        <v>582</v>
      </c>
      <c r="M510" t="s">
        <v>588</v>
      </c>
      <c r="N510" t="s">
        <v>601</v>
      </c>
    </row>
    <row r="511" spans="1:14" x14ac:dyDescent="0.25">
      <c r="A511" t="s">
        <v>16</v>
      </c>
      <c r="B511" t="s">
        <v>126</v>
      </c>
      <c r="C511" t="s">
        <v>266</v>
      </c>
      <c r="D511" t="s">
        <v>424</v>
      </c>
      <c r="F511" t="s">
        <v>436</v>
      </c>
      <c r="G511" t="str">
        <f>HYPERLINK("https://ca.linkedin.com/jobs/view/data-analyst-loans-at-tata-consultancy-services-3344804680?refId=dHBB2tAYZSl9xrln1mEGDQ%3D%3D&amp;trackingId=cW2vBFsoWEk0P1gIu4WQ5A%3D%3D&amp;position=10&amp;pageNum=0&amp;trk=public_jobs_jserp-result_search-card", "Job Link")</f>
        <v>Job Link</v>
      </c>
      <c r="H511" t="s">
        <v>477</v>
      </c>
      <c r="I511" t="s">
        <v>481</v>
      </c>
      <c r="J511" t="s">
        <v>486</v>
      </c>
      <c r="K511" t="s">
        <v>517</v>
      </c>
      <c r="L511" t="s">
        <v>584</v>
      </c>
      <c r="M511" t="s">
        <v>588</v>
      </c>
      <c r="N511" t="s">
        <v>601</v>
      </c>
    </row>
    <row r="512" spans="1:14" x14ac:dyDescent="0.25">
      <c r="A512" t="s">
        <v>14</v>
      </c>
      <c r="B512" t="s">
        <v>127</v>
      </c>
      <c r="C512" t="s">
        <v>267</v>
      </c>
      <c r="D512" t="s">
        <v>424</v>
      </c>
      <c r="F512" t="s">
        <v>437</v>
      </c>
      <c r="G512" t="str">
        <f>HYPERLINK("https://ca.linkedin.com/jobs/view/data-analyst-at-vubiquity-3365112221?refId=dHBB2tAYZSl9xrln1mEGDQ%3D%3D&amp;trackingId=RLSI3pBy6pVK72%2BkN77wRw%3D%3D&amp;position=11&amp;pageNum=0&amp;trk=public_jobs_jserp-result_search-card", "Job Link")</f>
        <v>Job Link</v>
      </c>
      <c r="H512" t="s">
        <v>476</v>
      </c>
      <c r="I512" t="s">
        <v>481</v>
      </c>
      <c r="J512" t="s">
        <v>486</v>
      </c>
      <c r="K512" t="s">
        <v>522</v>
      </c>
      <c r="L512" t="s">
        <v>582</v>
      </c>
      <c r="M512" t="s">
        <v>588</v>
      </c>
      <c r="N512" t="s">
        <v>601</v>
      </c>
    </row>
    <row r="513" spans="1:14" x14ac:dyDescent="0.25">
      <c r="A513" t="s">
        <v>14</v>
      </c>
      <c r="B513" t="s">
        <v>129</v>
      </c>
      <c r="C513" t="s">
        <v>270</v>
      </c>
      <c r="D513" t="s">
        <v>424</v>
      </c>
      <c r="F513" t="s">
        <v>440</v>
      </c>
      <c r="G513" t="str">
        <f>HYPERLINK("https://ca.linkedin.com/jobs/view/data-analyst-at-agricorp-3364433441?refId=dHBB2tAYZSl9xrln1mEGDQ%3D%3D&amp;trackingId=7INB41emG14JR%2BjrQU1hfg%3D%3D&amp;position=12&amp;pageNum=0&amp;trk=public_jobs_jserp-result_search-card", "Job Link")</f>
        <v>Job Link</v>
      </c>
      <c r="H513" t="s">
        <v>476</v>
      </c>
      <c r="I513" t="s">
        <v>481</v>
      </c>
      <c r="J513" t="s">
        <v>486</v>
      </c>
      <c r="K513" t="s">
        <v>523</v>
      </c>
      <c r="L513" t="s">
        <v>587</v>
      </c>
      <c r="M513" t="s">
        <v>588</v>
      </c>
      <c r="N513" t="s">
        <v>601</v>
      </c>
    </row>
    <row r="514" spans="1:14" x14ac:dyDescent="0.25">
      <c r="A514" t="s">
        <v>17</v>
      </c>
      <c r="B514" t="s">
        <v>123</v>
      </c>
      <c r="C514" t="s">
        <v>268</v>
      </c>
      <c r="D514" t="s">
        <v>424</v>
      </c>
      <c r="F514" t="s">
        <v>438</v>
      </c>
      <c r="G514" t="str">
        <f>HYPERLINK("https://ca.linkedin.com/jobs/view/data-analyst-developer-at-citi-3322089923?refId=dHBB2tAYZSl9xrln1mEGDQ%3D%3D&amp;trackingId=XsiZSlWHY0UXFuL4hNY98w%3D%3D&amp;position=13&amp;pageNum=0&amp;trk=public_jobs_jserp-result_search-card", "Job Link")</f>
        <v>Job Link</v>
      </c>
      <c r="H514" t="s">
        <v>479</v>
      </c>
      <c r="I514" t="s">
        <v>481</v>
      </c>
      <c r="J514" t="s">
        <v>486</v>
      </c>
      <c r="K514" t="s">
        <v>519</v>
      </c>
      <c r="L514" t="s">
        <v>584</v>
      </c>
      <c r="M514" t="s">
        <v>588</v>
      </c>
      <c r="N514" t="s">
        <v>601</v>
      </c>
    </row>
    <row r="515" spans="1:14" x14ac:dyDescent="0.25">
      <c r="A515" t="s">
        <v>14</v>
      </c>
      <c r="B515" t="s">
        <v>128</v>
      </c>
      <c r="C515" t="s">
        <v>269</v>
      </c>
      <c r="D515" t="s">
        <v>424</v>
      </c>
      <c r="F515" t="s">
        <v>439</v>
      </c>
      <c r="G515" t="str">
        <f>HYPERLINK("https://ca.linkedin.com/jobs/view/data-analyst-at-diverse-lynx-3363377240?refId=dHBB2tAYZSl9xrln1mEGDQ%3D%3D&amp;trackingId=JMTDeS76G6beAeBN%2BSJDmw%3D%3D&amp;position=14&amp;pageNum=0&amp;trk=public_jobs_jserp-result_search-card", "Job Link")</f>
        <v>Job Link</v>
      </c>
      <c r="H515" t="s">
        <v>476</v>
      </c>
      <c r="I515" t="s">
        <v>481</v>
      </c>
      <c r="J515" t="s">
        <v>486</v>
      </c>
      <c r="K515" t="s">
        <v>516</v>
      </c>
      <c r="L515" t="s">
        <v>586</v>
      </c>
      <c r="M515" t="s">
        <v>617</v>
      </c>
      <c r="N515" t="s">
        <v>601</v>
      </c>
    </row>
    <row r="516" spans="1:14" x14ac:dyDescent="0.25">
      <c r="A516" t="s">
        <v>14</v>
      </c>
      <c r="B516" t="s">
        <v>128</v>
      </c>
      <c r="C516" t="s">
        <v>277</v>
      </c>
      <c r="D516" t="s">
        <v>424</v>
      </c>
      <c r="F516" t="s">
        <v>439</v>
      </c>
      <c r="G516" t="str">
        <f>HYPERLINK("https://ca.linkedin.com/jobs/view/data-analyst-at-diverse-lynx-3363374746?refId=dHBB2tAYZSl9xrln1mEGDQ%3D%3D&amp;trackingId=fBi5cMzmovQourRkcIFpVQ%3D%3D&amp;position=15&amp;pageNum=0&amp;trk=public_jobs_jserp-result_search-card", "Job Link")</f>
        <v>Job Link</v>
      </c>
      <c r="H516" t="s">
        <v>476</v>
      </c>
      <c r="I516" t="s">
        <v>481</v>
      </c>
      <c r="J516" t="s">
        <v>486</v>
      </c>
      <c r="K516" t="s">
        <v>516</v>
      </c>
      <c r="L516" t="s">
        <v>586</v>
      </c>
      <c r="M516" t="s">
        <v>617</v>
      </c>
      <c r="N516" t="s">
        <v>601</v>
      </c>
    </row>
    <row r="517" spans="1:14" x14ac:dyDescent="0.25">
      <c r="A517" t="s">
        <v>18</v>
      </c>
      <c r="B517" t="s">
        <v>130</v>
      </c>
      <c r="C517" t="s">
        <v>271</v>
      </c>
      <c r="D517" t="s">
        <v>424</v>
      </c>
      <c r="F517" t="s">
        <v>441</v>
      </c>
      <c r="G517" t="str">
        <f>HYPERLINK("https://ca.linkedin.com/jobs/view/junior-data-analyst-mississauga-on-at-arjo-3323264354?refId=dHBB2tAYZSl9xrln1mEGDQ%3D%3D&amp;trackingId=Vpya6elR6IluMDhTAR%2BCvQ%3D%3D&amp;position=16&amp;pageNum=0&amp;trk=public_jobs_jserp-result_search-card", "Job Link")</f>
        <v>Job Link</v>
      </c>
      <c r="H517" t="s">
        <v>479</v>
      </c>
      <c r="I517" t="s">
        <v>481</v>
      </c>
      <c r="J517" t="s">
        <v>486</v>
      </c>
      <c r="K517" t="s">
        <v>524</v>
      </c>
      <c r="L517" t="s">
        <v>588</v>
      </c>
      <c r="M517" t="s">
        <v>601</v>
      </c>
    </row>
    <row r="518" spans="1:14" x14ac:dyDescent="0.25">
      <c r="A518" t="s">
        <v>14</v>
      </c>
      <c r="B518" t="s">
        <v>131</v>
      </c>
      <c r="C518" t="s">
        <v>272</v>
      </c>
      <c r="D518" t="s">
        <v>424</v>
      </c>
      <c r="F518" t="s">
        <v>442</v>
      </c>
      <c r="G518" t="str">
        <f>HYPERLINK("https://ca.linkedin.com/jobs/view/data-analyst-at-westland-insurance-group-ltd-3345807760?refId=dHBB2tAYZSl9xrln1mEGDQ%3D%3D&amp;trackingId=sKNwac8%2FpSs2HcArBu8hVw%3D%3D&amp;position=17&amp;pageNum=0&amp;trk=public_jobs_jserp-result_search-card", "Job Link")</f>
        <v>Job Link</v>
      </c>
      <c r="H518" t="s">
        <v>476</v>
      </c>
      <c r="I518" t="s">
        <v>481</v>
      </c>
      <c r="J518" t="s">
        <v>486</v>
      </c>
      <c r="K518" t="s">
        <v>525</v>
      </c>
      <c r="L518" t="s">
        <v>589</v>
      </c>
      <c r="M518" t="s">
        <v>618</v>
      </c>
      <c r="N518" t="s">
        <v>601</v>
      </c>
    </row>
    <row r="519" spans="1:14" x14ac:dyDescent="0.25">
      <c r="A519" t="s">
        <v>14</v>
      </c>
      <c r="B519" t="s">
        <v>132</v>
      </c>
      <c r="C519" t="s">
        <v>273</v>
      </c>
      <c r="D519" t="s">
        <v>424</v>
      </c>
      <c r="F519" t="s">
        <v>443</v>
      </c>
      <c r="G519" t="str">
        <f>HYPERLINK("https://ca.linkedin.com/jobs/view/data-analyst-at-fasken-3365947704?refId=dHBB2tAYZSl9xrln1mEGDQ%3D%3D&amp;trackingId=ZSCGzn34XkSt4D81ojhJtQ%3D%3D&amp;position=18&amp;pageNum=0&amp;trk=public_jobs_jserp-result_search-card", "Job Link")</f>
        <v>Job Link</v>
      </c>
      <c r="H519" t="s">
        <v>476</v>
      </c>
      <c r="I519" t="s">
        <v>481</v>
      </c>
      <c r="J519" t="s">
        <v>486</v>
      </c>
      <c r="K519" t="s">
        <v>526</v>
      </c>
      <c r="L519" t="s">
        <v>590</v>
      </c>
      <c r="M519" t="s">
        <v>618</v>
      </c>
      <c r="N519" t="s">
        <v>601</v>
      </c>
    </row>
    <row r="520" spans="1:14" x14ac:dyDescent="0.25">
      <c r="A520" t="s">
        <v>14</v>
      </c>
      <c r="B520" t="s">
        <v>133</v>
      </c>
      <c r="C520" t="s">
        <v>274</v>
      </c>
      <c r="D520" t="s">
        <v>424</v>
      </c>
      <c r="F520" t="s">
        <v>434</v>
      </c>
      <c r="G520" t="str">
        <f>HYPERLINK("https://ca.linkedin.com/jobs/view/data-analyst-at-momentum-financial-services-group-3355811523?refId=dHBB2tAYZSl9xrln1mEGDQ%3D%3D&amp;trackingId=vZAx4EqAEfm%2BajIq0fB7EQ%3D%3D&amp;position=19&amp;pageNum=0&amp;trk=public_jobs_jserp-result_search-card", "Job Link")</f>
        <v>Job Link</v>
      </c>
      <c r="H520" t="s">
        <v>476</v>
      </c>
      <c r="I520" t="s">
        <v>481</v>
      </c>
      <c r="J520" t="s">
        <v>486</v>
      </c>
      <c r="K520" t="s">
        <v>527</v>
      </c>
      <c r="L520" t="s">
        <v>582</v>
      </c>
      <c r="M520" t="s">
        <v>588</v>
      </c>
      <c r="N520" t="s">
        <v>601</v>
      </c>
    </row>
    <row r="521" spans="1:14" x14ac:dyDescent="0.25">
      <c r="A521" t="s">
        <v>14</v>
      </c>
      <c r="B521" t="s">
        <v>134</v>
      </c>
      <c r="C521" t="s">
        <v>275</v>
      </c>
      <c r="D521" t="s">
        <v>424</v>
      </c>
      <c r="F521" t="s">
        <v>444</v>
      </c>
      <c r="G521" t="str">
        <f>HYPERLINK("https://ca.linkedin.com/jobs/view/data-analyst-at-tes-the-employment-solution-3322589522?refId=dHBB2tAYZSl9xrln1mEGDQ%3D%3D&amp;trackingId=pqP9N%2B%2FDlfe%2BuRlfuVzXSA%3D%3D&amp;position=20&amp;pageNum=0&amp;trk=public_jobs_jserp-result_search-card", "Job Link")</f>
        <v>Job Link</v>
      </c>
      <c r="H521" t="s">
        <v>476</v>
      </c>
      <c r="I521" t="s">
        <v>483</v>
      </c>
      <c r="J521" t="s">
        <v>486</v>
      </c>
      <c r="K521" t="s">
        <v>525</v>
      </c>
      <c r="L521" t="s">
        <v>591</v>
      </c>
      <c r="M521" t="s">
        <v>588</v>
      </c>
      <c r="N521" t="s">
        <v>601</v>
      </c>
    </row>
    <row r="522" spans="1:14" x14ac:dyDescent="0.25">
      <c r="A522" t="s">
        <v>14</v>
      </c>
      <c r="B522" t="s">
        <v>135</v>
      </c>
      <c r="C522" t="s">
        <v>276</v>
      </c>
      <c r="D522" t="s">
        <v>424</v>
      </c>
      <c r="F522" t="s">
        <v>440</v>
      </c>
      <c r="G522" t="str">
        <f>HYPERLINK("https://ca.linkedin.com/jobs/view/data-analyst-at-magna-international-3370822450?refId=dHBB2tAYZSl9xrln1mEGDQ%3D%3D&amp;trackingId=K9Pu%2BKNmuo%2BgeDgWxP4psA%3D%3D&amp;position=21&amp;pageNum=0&amp;trk=public_jobs_jserp-result_search-card", "Job Link")</f>
        <v>Job Link</v>
      </c>
      <c r="H522" t="s">
        <v>476</v>
      </c>
      <c r="I522" t="s">
        <v>481</v>
      </c>
      <c r="J522" t="s">
        <v>488</v>
      </c>
      <c r="K522" t="s">
        <v>528</v>
      </c>
      <c r="L522" t="s">
        <v>592</v>
      </c>
      <c r="M522" t="s">
        <v>588</v>
      </c>
      <c r="N522" t="s">
        <v>601</v>
      </c>
    </row>
    <row r="523" spans="1:14" x14ac:dyDescent="0.25">
      <c r="A523" t="s">
        <v>20</v>
      </c>
      <c r="B523" t="s">
        <v>137</v>
      </c>
      <c r="C523" t="s">
        <v>279</v>
      </c>
      <c r="D523" t="s">
        <v>424</v>
      </c>
      <c r="F523" t="s">
        <v>446</v>
      </c>
      <c r="G523" t="str">
        <f>HYPERLINK("https://ca.linkedin.com/jobs/view/senior-data-analyst-at-mueller-water-products-3122544636?refId=dHBB2tAYZSl9xrln1mEGDQ%3D%3D&amp;trackingId=BBLRdMfcNtmh2QO96gbf6w%3D%3D&amp;position=22&amp;pageNum=0&amp;trk=public_jobs_jserp-result_search-card", "Job Link")</f>
        <v>Job Link</v>
      </c>
      <c r="H523" t="s">
        <v>478</v>
      </c>
      <c r="I523" t="s">
        <v>481</v>
      </c>
      <c r="J523" t="s">
        <v>486</v>
      </c>
      <c r="K523" t="s">
        <v>530</v>
      </c>
      <c r="L523" t="s">
        <v>582</v>
      </c>
      <c r="M523" t="s">
        <v>588</v>
      </c>
      <c r="N523" t="s">
        <v>601</v>
      </c>
    </row>
    <row r="524" spans="1:14" x14ac:dyDescent="0.25">
      <c r="A524" t="s">
        <v>21</v>
      </c>
      <c r="B524" t="s">
        <v>138</v>
      </c>
      <c r="C524" t="s">
        <v>280</v>
      </c>
      <c r="D524" t="s">
        <v>424</v>
      </c>
      <c r="F524" t="s">
        <v>447</v>
      </c>
      <c r="G524" t="str">
        <f>HYPERLINK("https://ca.linkedin.com/jobs/view/data-entry-jr-analyst-6-month-contract-at-csl-group-ltd-3323214993?refId=dHBB2tAYZSl9xrln1mEGDQ%3D%3D&amp;trackingId=xl9W%2FTtsVpsS5fbVXqIfcQ%3D%3D&amp;position=23&amp;pageNum=0&amp;trk=public_jobs_jserp-result_search-card", "Job Link")</f>
        <v>Job Link</v>
      </c>
      <c r="H524" t="s">
        <v>476</v>
      </c>
      <c r="I524" t="s">
        <v>484</v>
      </c>
      <c r="J524" t="s">
        <v>489</v>
      </c>
      <c r="K524" t="s">
        <v>531</v>
      </c>
      <c r="L524" t="s">
        <v>593</v>
      </c>
      <c r="M524" t="s">
        <v>588</v>
      </c>
      <c r="N524" t="s">
        <v>601</v>
      </c>
    </row>
    <row r="525" spans="1:14" x14ac:dyDescent="0.25">
      <c r="A525" t="s">
        <v>14</v>
      </c>
      <c r="B525" t="s">
        <v>140</v>
      </c>
      <c r="C525" t="s">
        <v>282</v>
      </c>
      <c r="D525" t="s">
        <v>424</v>
      </c>
      <c r="F525" t="s">
        <v>440</v>
      </c>
      <c r="G525" t="str">
        <f>HYPERLINK("https://ca.linkedin.com/jobs/view/data-analyst-at-scotiabank-3365406993?refId=dHBB2tAYZSl9xrln1mEGDQ%3D%3D&amp;trackingId=JXF8iyUJ5LWQ%2F4FSmfIG1Q%3D%3D&amp;position=24&amp;pageNum=0&amp;trk=public_jobs_jserp-result_search-card", "Job Link")</f>
        <v>Job Link</v>
      </c>
      <c r="H525" t="s">
        <v>479</v>
      </c>
      <c r="I525" t="s">
        <v>481</v>
      </c>
      <c r="J525" t="s">
        <v>486</v>
      </c>
      <c r="K525" t="s">
        <v>533</v>
      </c>
      <c r="L525" t="s">
        <v>582</v>
      </c>
      <c r="M525" t="s">
        <v>588</v>
      </c>
      <c r="N525" t="s">
        <v>601</v>
      </c>
    </row>
    <row r="526" spans="1:14" x14ac:dyDescent="0.25">
      <c r="A526" t="s">
        <v>22</v>
      </c>
      <c r="B526" t="s">
        <v>139</v>
      </c>
      <c r="C526" t="s">
        <v>281</v>
      </c>
      <c r="D526" t="s">
        <v>424</v>
      </c>
      <c r="F526" t="s">
        <v>435</v>
      </c>
      <c r="G526" t="str">
        <f>HYPERLINK("https://ca.linkedin.com/jobs/view/quality-data-analyst-at-lululemon-3341634874?refId=dHBB2tAYZSl9xrln1mEGDQ%3D%3D&amp;trackingId=diOT9rmZpfCqzdUrBqWtWQ%3D%3D&amp;position=25&amp;pageNum=0&amp;trk=public_jobs_jserp-result_search-card", "Job Link")</f>
        <v>Job Link</v>
      </c>
      <c r="H526" t="s">
        <v>476</v>
      </c>
      <c r="I526" t="s">
        <v>481</v>
      </c>
      <c r="J526" t="s">
        <v>486</v>
      </c>
      <c r="K526" t="s">
        <v>532</v>
      </c>
      <c r="L526" t="s">
        <v>590</v>
      </c>
      <c r="M526" t="s">
        <v>618</v>
      </c>
      <c r="N526" t="s">
        <v>601</v>
      </c>
    </row>
    <row r="527" spans="1:14" x14ac:dyDescent="0.25">
      <c r="A527" t="s">
        <v>14</v>
      </c>
      <c r="B527" t="s">
        <v>118</v>
      </c>
      <c r="C527" t="s">
        <v>258</v>
      </c>
      <c r="D527" t="s">
        <v>424</v>
      </c>
      <c r="F527" t="s">
        <v>430</v>
      </c>
      <c r="G527" t="str">
        <f>HYPERLINK("https://ca.linkedin.com/jobs/view/data-analyst-at-axonify-3324670516?refId=ZgzKtggyKEGUD%2B68vjXsKA%3D%3D&amp;trackingId=eq4cGaPHJTdea7p27st2vw%3D%3D&amp;position=1&amp;pageNum=0&amp;trk=public_jobs_jserp-result_search-card", "Job Link")</f>
        <v>Job Link</v>
      </c>
      <c r="H527" t="s">
        <v>476</v>
      </c>
      <c r="I527" t="s">
        <v>481</v>
      </c>
      <c r="J527" t="s">
        <v>486</v>
      </c>
      <c r="K527" t="s">
        <v>516</v>
      </c>
      <c r="L527" t="s">
        <v>581</v>
      </c>
      <c r="M527" t="s">
        <v>588</v>
      </c>
      <c r="N527" t="s">
        <v>601</v>
      </c>
    </row>
    <row r="528" spans="1:14" x14ac:dyDescent="0.25">
      <c r="A528" t="s">
        <v>14</v>
      </c>
      <c r="B528" t="s">
        <v>119</v>
      </c>
      <c r="C528" t="s">
        <v>259</v>
      </c>
      <c r="D528" t="s">
        <v>424</v>
      </c>
      <c r="F528" t="s">
        <v>431</v>
      </c>
      <c r="G528" t="str">
        <f>HYPERLINK("https://ca.linkedin.com/jobs/view/data-analyst-at-b3-systems-3361794123?refId=ZgzKtggyKEGUD%2B68vjXsKA%3D%3D&amp;trackingId=249nFtnifFEf5q1r8wW0UQ%3D%3D&amp;position=2&amp;pageNum=0&amp;trk=public_jobs_jserp-result_search-card", "Job Link")</f>
        <v>Job Link</v>
      </c>
      <c r="I528" t="s">
        <v>481</v>
      </c>
      <c r="L528" t="s">
        <v>582</v>
      </c>
      <c r="M528" t="s">
        <v>588</v>
      </c>
      <c r="N528" t="s">
        <v>601</v>
      </c>
    </row>
    <row r="529" spans="1:14" x14ac:dyDescent="0.25">
      <c r="A529" t="s">
        <v>14</v>
      </c>
      <c r="B529" t="s">
        <v>120</v>
      </c>
      <c r="C529" t="s">
        <v>260</v>
      </c>
      <c r="D529" t="s">
        <v>424</v>
      </c>
      <c r="F529" t="s">
        <v>431</v>
      </c>
      <c r="G529" t="str">
        <f>HYPERLINK("https://ca.linkedin.com/jobs/view/data-analyst-at-wood-mackenzie-3271782079?refId=ZgzKtggyKEGUD%2B68vjXsKA%3D%3D&amp;trackingId=lT5i7RL5g%2FmDmCi%2B1rBA0g%3D%3D&amp;position=3&amp;pageNum=0&amp;trk=public_jobs_jserp-result_search-card", "Job Link")</f>
        <v>Job Link</v>
      </c>
      <c r="H529" t="s">
        <v>477</v>
      </c>
      <c r="I529" t="s">
        <v>481</v>
      </c>
      <c r="J529" t="s">
        <v>487</v>
      </c>
      <c r="K529" t="s">
        <v>517</v>
      </c>
      <c r="L529" t="s">
        <v>583</v>
      </c>
      <c r="M529" t="s">
        <v>610</v>
      </c>
      <c r="N529" t="s">
        <v>601</v>
      </c>
    </row>
    <row r="530" spans="1:14" x14ac:dyDescent="0.25">
      <c r="A530" t="s">
        <v>14</v>
      </c>
      <c r="B530" t="s">
        <v>121</v>
      </c>
      <c r="C530" t="s">
        <v>261</v>
      </c>
      <c r="D530" t="s">
        <v>424</v>
      </c>
      <c r="F530" t="s">
        <v>432</v>
      </c>
      <c r="G530" t="str">
        <f>HYPERLINK("https://ca.linkedin.com/jobs/view/data-analyst-at-loft-community-services-3364383026?refId=ZgzKtggyKEGUD%2B68vjXsKA%3D%3D&amp;trackingId=6Dgx7vmYXXFODhREbwNQfw%3D%3D&amp;position=4&amp;pageNum=0&amp;trk=public_jobs_jserp-result_search-card", "Job Link")</f>
        <v>Job Link</v>
      </c>
      <c r="I530" t="s">
        <v>482</v>
      </c>
      <c r="L530" t="s">
        <v>582</v>
      </c>
      <c r="M530" t="s">
        <v>588</v>
      </c>
      <c r="N530" t="s">
        <v>601</v>
      </c>
    </row>
    <row r="531" spans="1:14" x14ac:dyDescent="0.25">
      <c r="A531" t="s">
        <v>14</v>
      </c>
      <c r="B531" t="s">
        <v>122</v>
      </c>
      <c r="C531" t="s">
        <v>262</v>
      </c>
      <c r="D531" t="s">
        <v>424</v>
      </c>
      <c r="F531" t="s">
        <v>433</v>
      </c>
      <c r="G531" t="str">
        <f>HYPERLINK("https://ca.linkedin.com/jobs/view/data-analyst-at-nam-info-inc-3351590976?refId=ZgzKtggyKEGUD%2B68vjXsKA%3D%3D&amp;trackingId=D1UBl4SkmS1kJswX2znsRw%3D%3D&amp;position=5&amp;pageNum=0&amp;trk=public_jobs_jserp-result_search-card", "Job Link")</f>
        <v>Job Link</v>
      </c>
      <c r="H531" t="s">
        <v>478</v>
      </c>
      <c r="I531" t="s">
        <v>483</v>
      </c>
      <c r="J531" t="s">
        <v>486</v>
      </c>
      <c r="K531" t="s">
        <v>518</v>
      </c>
      <c r="L531" t="s">
        <v>582</v>
      </c>
      <c r="M531" t="s">
        <v>588</v>
      </c>
      <c r="N531" t="s">
        <v>601</v>
      </c>
    </row>
    <row r="532" spans="1:14" x14ac:dyDescent="0.25">
      <c r="A532" t="s">
        <v>14</v>
      </c>
      <c r="B532" t="s">
        <v>123</v>
      </c>
      <c r="C532" t="s">
        <v>263</v>
      </c>
      <c r="D532" t="s">
        <v>424</v>
      </c>
      <c r="F532" t="s">
        <v>434</v>
      </c>
      <c r="G532" t="str">
        <f>HYPERLINK("https://ca.linkedin.com/jobs/view/data-analyst-at-citi-3263096865?refId=ZgzKtggyKEGUD%2B68vjXsKA%3D%3D&amp;trackingId=V%2FotyLnllrn2cf92uK73wg%3D%3D&amp;position=6&amp;pageNum=0&amp;trk=public_jobs_jserp-result_search-card", "Job Link")</f>
        <v>Job Link</v>
      </c>
      <c r="H532" t="s">
        <v>479</v>
      </c>
      <c r="I532" t="s">
        <v>481</v>
      </c>
      <c r="J532" t="s">
        <v>486</v>
      </c>
      <c r="K532" t="s">
        <v>519</v>
      </c>
      <c r="L532" t="s">
        <v>584</v>
      </c>
      <c r="M532" t="s">
        <v>588</v>
      </c>
      <c r="N532" t="s">
        <v>601</v>
      </c>
    </row>
    <row r="533" spans="1:14" x14ac:dyDescent="0.25">
      <c r="A533" t="s">
        <v>14</v>
      </c>
      <c r="B533" t="s">
        <v>124</v>
      </c>
      <c r="C533" t="s">
        <v>264</v>
      </c>
      <c r="D533" t="s">
        <v>424</v>
      </c>
      <c r="F533" t="s">
        <v>435</v>
      </c>
      <c r="G533" t="str">
        <f>HYPERLINK("https://ca.linkedin.com/jobs/view/data-analyst-at-king-s-college-london-3335332409?refId=ZgzKtggyKEGUD%2B68vjXsKA%3D%3D&amp;trackingId=HaVV41Ec6KypN8EoCOIDSQ%3D%3D&amp;position=7&amp;pageNum=0&amp;trk=public_jobs_jserp-result_search-card", "Job Link")</f>
        <v>Job Link</v>
      </c>
      <c r="H533" t="s">
        <v>476</v>
      </c>
      <c r="I533" t="s">
        <v>481</v>
      </c>
      <c r="J533" t="s">
        <v>486</v>
      </c>
      <c r="K533" t="s">
        <v>520</v>
      </c>
      <c r="L533" t="s">
        <v>585</v>
      </c>
      <c r="M533" t="s">
        <v>588</v>
      </c>
      <c r="N533" t="s">
        <v>601</v>
      </c>
    </row>
    <row r="534" spans="1:14" x14ac:dyDescent="0.25">
      <c r="A534" t="s">
        <v>15</v>
      </c>
      <c r="B534" t="s">
        <v>125</v>
      </c>
      <c r="C534" t="s">
        <v>265</v>
      </c>
      <c r="D534" t="s">
        <v>424</v>
      </c>
      <c r="F534" t="s">
        <v>431</v>
      </c>
      <c r="G534" t="str">
        <f>HYPERLINK("https://ca.linkedin.com/jobs/view/data-analyst-remote-at-cognizant-microsoft-business-group-3333618510?refId=ZgzKtggyKEGUD%2B68vjXsKA%3D%3D&amp;trackingId=7gCBfGnFLrZa9hQd2rzmXA%3D%3D&amp;position=8&amp;pageNum=0&amp;trk=public_jobs_jserp-result_search-card", "Job Link")</f>
        <v>Job Link</v>
      </c>
      <c r="H534" t="s">
        <v>476</v>
      </c>
      <c r="I534" t="s">
        <v>481</v>
      </c>
      <c r="J534" t="s">
        <v>486</v>
      </c>
      <c r="K534" t="s">
        <v>521</v>
      </c>
      <c r="L534" t="s">
        <v>582</v>
      </c>
      <c r="M534" t="s">
        <v>588</v>
      </c>
      <c r="N534" t="s">
        <v>601</v>
      </c>
    </row>
    <row r="535" spans="1:14" x14ac:dyDescent="0.25">
      <c r="A535" t="s">
        <v>16</v>
      </c>
      <c r="B535" t="s">
        <v>126</v>
      </c>
      <c r="C535" t="s">
        <v>266</v>
      </c>
      <c r="D535" t="s">
        <v>424</v>
      </c>
      <c r="F535" t="s">
        <v>436</v>
      </c>
      <c r="G535" t="str">
        <f>HYPERLINK("https://ca.linkedin.com/jobs/view/data-analyst-loans-at-tata-consultancy-services-3344804680?refId=ZgzKtggyKEGUD%2B68vjXsKA%3D%3D&amp;trackingId=Ro28LXusxGlToPK8MaIn0w%3D%3D&amp;position=9&amp;pageNum=0&amp;trk=public_jobs_jserp-result_search-card", "Job Link")</f>
        <v>Job Link</v>
      </c>
      <c r="H535" t="s">
        <v>477</v>
      </c>
      <c r="I535" t="s">
        <v>481</v>
      </c>
      <c r="J535" t="s">
        <v>486</v>
      </c>
      <c r="K535" t="s">
        <v>517</v>
      </c>
      <c r="L535" t="s">
        <v>584</v>
      </c>
      <c r="M535" t="s">
        <v>588</v>
      </c>
      <c r="N535" t="s">
        <v>601</v>
      </c>
    </row>
    <row r="536" spans="1:14" x14ac:dyDescent="0.25">
      <c r="A536" t="s">
        <v>14</v>
      </c>
      <c r="B536" t="s">
        <v>127</v>
      </c>
      <c r="C536" t="s">
        <v>267</v>
      </c>
      <c r="D536" t="s">
        <v>424</v>
      </c>
      <c r="F536" t="s">
        <v>437</v>
      </c>
      <c r="G536" t="str">
        <f>HYPERLINK("https://ca.linkedin.com/jobs/view/data-analyst-at-vubiquity-3365112221?refId=ZgzKtggyKEGUD%2B68vjXsKA%3D%3D&amp;trackingId=DNrkZTd1LSgxZ4E%2FSa03Cw%3D%3D&amp;position=10&amp;pageNum=0&amp;trk=public_jobs_jserp-result_search-card", "Job Link")</f>
        <v>Job Link</v>
      </c>
      <c r="H536" t="s">
        <v>476</v>
      </c>
      <c r="I536" t="s">
        <v>481</v>
      </c>
      <c r="J536" t="s">
        <v>486</v>
      </c>
      <c r="K536" t="s">
        <v>522</v>
      </c>
      <c r="L536" t="s">
        <v>582</v>
      </c>
      <c r="M536" t="s">
        <v>588</v>
      </c>
      <c r="N536" t="s">
        <v>601</v>
      </c>
    </row>
    <row r="537" spans="1:14" x14ac:dyDescent="0.25">
      <c r="A537" t="s">
        <v>17</v>
      </c>
      <c r="B537" t="s">
        <v>123</v>
      </c>
      <c r="C537" t="s">
        <v>268</v>
      </c>
      <c r="D537" t="s">
        <v>424</v>
      </c>
      <c r="F537" t="s">
        <v>438</v>
      </c>
      <c r="G537" t="str">
        <f>HYPERLINK("https://ca.linkedin.com/jobs/view/data-analyst-developer-at-citi-3322089923?refId=ZgzKtggyKEGUD%2B68vjXsKA%3D%3D&amp;trackingId=P56%2F5WVHMk6x%2FmyPIvnyGg%3D%3D&amp;position=11&amp;pageNum=0&amp;trk=public_jobs_jserp-result_search-card", "Job Link")</f>
        <v>Job Link</v>
      </c>
      <c r="H537" t="s">
        <v>479</v>
      </c>
      <c r="I537" t="s">
        <v>481</v>
      </c>
      <c r="J537" t="s">
        <v>486</v>
      </c>
      <c r="K537" t="s">
        <v>519</v>
      </c>
      <c r="L537" t="s">
        <v>584</v>
      </c>
      <c r="M537" t="s">
        <v>588</v>
      </c>
      <c r="N537" t="s">
        <v>601</v>
      </c>
    </row>
    <row r="538" spans="1:14" x14ac:dyDescent="0.25">
      <c r="A538" t="s">
        <v>14</v>
      </c>
      <c r="B538" t="s">
        <v>128</v>
      </c>
      <c r="C538" t="s">
        <v>269</v>
      </c>
      <c r="D538" t="s">
        <v>424</v>
      </c>
      <c r="F538" t="s">
        <v>439</v>
      </c>
      <c r="G538" t="str">
        <f>HYPERLINK("https://ca.linkedin.com/jobs/view/data-analyst-at-diverse-lynx-3363377240?refId=ZgzKtggyKEGUD%2B68vjXsKA%3D%3D&amp;trackingId=nKZIq4BEvohVHoWonduXvA%3D%3D&amp;position=12&amp;pageNum=0&amp;trk=public_jobs_jserp-result_search-card", "Job Link")</f>
        <v>Job Link</v>
      </c>
      <c r="H538" t="s">
        <v>476</v>
      </c>
      <c r="I538" t="s">
        <v>481</v>
      </c>
      <c r="J538" t="s">
        <v>486</v>
      </c>
      <c r="K538" t="s">
        <v>516</v>
      </c>
      <c r="L538" t="s">
        <v>586</v>
      </c>
      <c r="M538" t="s">
        <v>617</v>
      </c>
      <c r="N538" t="s">
        <v>601</v>
      </c>
    </row>
    <row r="539" spans="1:14" x14ac:dyDescent="0.25">
      <c r="A539" t="s">
        <v>14</v>
      </c>
      <c r="B539" t="s">
        <v>129</v>
      </c>
      <c r="C539" t="s">
        <v>270</v>
      </c>
      <c r="D539" t="s">
        <v>424</v>
      </c>
      <c r="F539" t="s">
        <v>440</v>
      </c>
      <c r="G539" t="str">
        <f>HYPERLINK("https://ca.linkedin.com/jobs/view/data-analyst-at-agricorp-3364433441?refId=ZgzKtggyKEGUD%2B68vjXsKA%3D%3D&amp;trackingId=8jSog%2BQbOAeYr%2BbUe3b3DA%3D%3D&amp;position=13&amp;pageNum=0&amp;trk=public_jobs_jserp-result_search-card", "Job Link")</f>
        <v>Job Link</v>
      </c>
      <c r="H539" t="s">
        <v>476</v>
      </c>
      <c r="I539" t="s">
        <v>481</v>
      </c>
      <c r="J539" t="s">
        <v>486</v>
      </c>
      <c r="K539" t="s">
        <v>523</v>
      </c>
      <c r="L539" t="s">
        <v>587</v>
      </c>
      <c r="M539" t="s">
        <v>588</v>
      </c>
      <c r="N539" t="s">
        <v>601</v>
      </c>
    </row>
    <row r="540" spans="1:14" x14ac:dyDescent="0.25">
      <c r="A540" t="s">
        <v>18</v>
      </c>
      <c r="B540" t="s">
        <v>130</v>
      </c>
      <c r="C540" t="s">
        <v>271</v>
      </c>
      <c r="D540" t="s">
        <v>424</v>
      </c>
      <c r="F540" t="s">
        <v>441</v>
      </c>
      <c r="G540" t="str">
        <f>HYPERLINK("https://ca.linkedin.com/jobs/view/junior-data-analyst-mississauga-on-at-arjo-3323264354?refId=ZgzKtggyKEGUD%2B68vjXsKA%3D%3D&amp;trackingId=aaDLLbGBsN0SnkeX0fscKg%3D%3D&amp;position=14&amp;pageNum=0&amp;trk=public_jobs_jserp-result_search-card", "Job Link")</f>
        <v>Job Link</v>
      </c>
      <c r="H540" t="s">
        <v>479</v>
      </c>
      <c r="I540" t="s">
        <v>481</v>
      </c>
      <c r="J540" t="s">
        <v>486</v>
      </c>
      <c r="K540" t="s">
        <v>524</v>
      </c>
      <c r="L540" t="s">
        <v>588</v>
      </c>
      <c r="M540" t="s">
        <v>601</v>
      </c>
    </row>
    <row r="541" spans="1:14" x14ac:dyDescent="0.25">
      <c r="A541" t="s">
        <v>14</v>
      </c>
      <c r="B541" t="s">
        <v>131</v>
      </c>
      <c r="C541" t="s">
        <v>272</v>
      </c>
      <c r="D541" t="s">
        <v>424</v>
      </c>
      <c r="F541" t="s">
        <v>442</v>
      </c>
      <c r="G541" t="str">
        <f>HYPERLINK("https://ca.linkedin.com/jobs/view/data-analyst-at-westland-insurance-group-ltd-3345807760?refId=ZgzKtggyKEGUD%2B68vjXsKA%3D%3D&amp;trackingId=zd1LK4sZPAkF6Kznl8VF3Q%3D%3D&amp;position=15&amp;pageNum=0&amp;trk=public_jobs_jserp-result_search-card", "Job Link")</f>
        <v>Job Link</v>
      </c>
      <c r="H541" t="s">
        <v>476</v>
      </c>
      <c r="I541" t="s">
        <v>481</v>
      </c>
      <c r="J541" t="s">
        <v>486</v>
      </c>
      <c r="K541" t="s">
        <v>525</v>
      </c>
      <c r="L541" t="s">
        <v>589</v>
      </c>
      <c r="M541" t="s">
        <v>618</v>
      </c>
      <c r="N541" t="s">
        <v>601</v>
      </c>
    </row>
    <row r="542" spans="1:14" x14ac:dyDescent="0.25">
      <c r="A542" t="s">
        <v>14</v>
      </c>
      <c r="B542" t="s">
        <v>132</v>
      </c>
      <c r="C542" t="s">
        <v>273</v>
      </c>
      <c r="D542" t="s">
        <v>424</v>
      </c>
      <c r="F542" t="s">
        <v>443</v>
      </c>
      <c r="G542" t="str">
        <f>HYPERLINK("https://ca.linkedin.com/jobs/view/data-analyst-at-fasken-3365947704?refId=ZgzKtggyKEGUD%2B68vjXsKA%3D%3D&amp;trackingId=MPJaHoFvPfjgR7puF110xg%3D%3D&amp;position=16&amp;pageNum=0&amp;trk=public_jobs_jserp-result_search-card", "Job Link")</f>
        <v>Job Link</v>
      </c>
      <c r="H542" t="s">
        <v>476</v>
      </c>
      <c r="I542" t="s">
        <v>481</v>
      </c>
      <c r="J542" t="s">
        <v>486</v>
      </c>
      <c r="K542" t="s">
        <v>526</v>
      </c>
      <c r="L542" t="s">
        <v>590</v>
      </c>
      <c r="M542" t="s">
        <v>618</v>
      </c>
      <c r="N542" t="s">
        <v>601</v>
      </c>
    </row>
    <row r="543" spans="1:14" x14ac:dyDescent="0.25">
      <c r="A543" t="s">
        <v>14</v>
      </c>
      <c r="B543" t="s">
        <v>133</v>
      </c>
      <c r="C543" t="s">
        <v>274</v>
      </c>
      <c r="D543" t="s">
        <v>424</v>
      </c>
      <c r="F543" t="s">
        <v>434</v>
      </c>
      <c r="G543" t="str">
        <f>HYPERLINK("https://ca.linkedin.com/jobs/view/data-analyst-at-momentum-financial-services-group-3355811523?refId=ZgzKtggyKEGUD%2B68vjXsKA%3D%3D&amp;trackingId=ss3obbCguFTQhDaQVK%2BoKQ%3D%3D&amp;position=17&amp;pageNum=0&amp;trk=public_jobs_jserp-result_search-card", "Job Link")</f>
        <v>Job Link</v>
      </c>
      <c r="H543" t="s">
        <v>476</v>
      </c>
      <c r="I543" t="s">
        <v>481</v>
      </c>
      <c r="J543" t="s">
        <v>486</v>
      </c>
      <c r="K543" t="s">
        <v>527</v>
      </c>
      <c r="L543" t="s">
        <v>582</v>
      </c>
      <c r="M543" t="s">
        <v>588</v>
      </c>
      <c r="N543" t="s">
        <v>601</v>
      </c>
    </row>
    <row r="544" spans="1:14" x14ac:dyDescent="0.25">
      <c r="A544" t="s">
        <v>14</v>
      </c>
      <c r="B544" t="s">
        <v>134</v>
      </c>
      <c r="C544" t="s">
        <v>275</v>
      </c>
      <c r="D544" t="s">
        <v>424</v>
      </c>
      <c r="F544" t="s">
        <v>444</v>
      </c>
      <c r="G544" t="str">
        <f>HYPERLINK("https://ca.linkedin.com/jobs/view/data-analyst-at-tes-the-employment-solution-3322589522?refId=ZgzKtggyKEGUD%2B68vjXsKA%3D%3D&amp;trackingId=0VfyhN0tyFXqdZm3J%2FGvZA%3D%3D&amp;position=18&amp;pageNum=0&amp;trk=public_jobs_jserp-result_search-card", "Job Link")</f>
        <v>Job Link</v>
      </c>
      <c r="H544" t="s">
        <v>476</v>
      </c>
      <c r="I544" t="s">
        <v>483</v>
      </c>
      <c r="J544" t="s">
        <v>486</v>
      </c>
      <c r="K544" t="s">
        <v>525</v>
      </c>
      <c r="L544" t="s">
        <v>591</v>
      </c>
      <c r="M544" t="s">
        <v>588</v>
      </c>
      <c r="N544" t="s">
        <v>601</v>
      </c>
    </row>
    <row r="545" spans="1:14" x14ac:dyDescent="0.25">
      <c r="A545" t="s">
        <v>14</v>
      </c>
      <c r="B545" t="s">
        <v>135</v>
      </c>
      <c r="C545" t="s">
        <v>276</v>
      </c>
      <c r="D545" t="s">
        <v>424</v>
      </c>
      <c r="F545" t="s">
        <v>440</v>
      </c>
      <c r="G545" t="str">
        <f>HYPERLINK("https://ca.linkedin.com/jobs/view/data-analyst-at-magna-international-3370822450?refId=ZgzKtggyKEGUD%2B68vjXsKA%3D%3D&amp;trackingId=A3KuHdyLGpDiZiW4EykmDQ%3D%3D&amp;position=19&amp;pageNum=0&amp;trk=public_jobs_jserp-result_search-card", "Job Link")</f>
        <v>Job Link</v>
      </c>
      <c r="H545" t="s">
        <v>476</v>
      </c>
      <c r="I545" t="s">
        <v>481</v>
      </c>
      <c r="J545" t="s">
        <v>488</v>
      </c>
      <c r="K545" t="s">
        <v>528</v>
      </c>
      <c r="L545" t="s">
        <v>592</v>
      </c>
      <c r="M545" t="s">
        <v>588</v>
      </c>
      <c r="N545" t="s">
        <v>601</v>
      </c>
    </row>
    <row r="546" spans="1:14" x14ac:dyDescent="0.25">
      <c r="A546" t="s">
        <v>14</v>
      </c>
      <c r="B546" t="s">
        <v>128</v>
      </c>
      <c r="C546" t="s">
        <v>277</v>
      </c>
      <c r="D546" t="s">
        <v>424</v>
      </c>
      <c r="F546" t="s">
        <v>439</v>
      </c>
      <c r="G546" t="str">
        <f>HYPERLINK("https://ca.linkedin.com/jobs/view/data-analyst-at-diverse-lynx-3363374746?refId=ZgzKtggyKEGUD%2B68vjXsKA%3D%3D&amp;trackingId=RE9%2Fa9uEiThdPYRkhEbYLw%3D%3D&amp;position=20&amp;pageNum=0&amp;trk=public_jobs_jserp-result_search-card", "Job Link")</f>
        <v>Job Link</v>
      </c>
      <c r="H546" t="s">
        <v>476</v>
      </c>
      <c r="I546" t="s">
        <v>481</v>
      </c>
      <c r="J546" t="s">
        <v>486</v>
      </c>
      <c r="K546" t="s">
        <v>516</v>
      </c>
      <c r="L546" t="s">
        <v>586</v>
      </c>
      <c r="M546" t="s">
        <v>617</v>
      </c>
      <c r="N546" t="s">
        <v>601</v>
      </c>
    </row>
    <row r="547" spans="1:14" x14ac:dyDescent="0.25">
      <c r="A547" t="s">
        <v>19</v>
      </c>
      <c r="B547" t="s">
        <v>136</v>
      </c>
      <c r="C547" t="s">
        <v>278</v>
      </c>
      <c r="D547" t="s">
        <v>424</v>
      </c>
      <c r="F547" t="s">
        <v>445</v>
      </c>
      <c r="G547" t="str">
        <f>HYPERLINK("https://ca.linkedin.com/jobs/view/data-analyst-operations-at-sonder-inc-3229442908?refId=ZgzKtggyKEGUD%2B68vjXsKA%3D%3D&amp;trackingId=Yk7vZxIumJoJ2JS3RWdVmg%3D%3D&amp;position=21&amp;pageNum=0&amp;trk=public_jobs_jserp-result_search-card", "Job Link")</f>
        <v>Job Link</v>
      </c>
      <c r="H547" t="s">
        <v>476</v>
      </c>
      <c r="I547" t="s">
        <v>481</v>
      </c>
      <c r="J547" t="s">
        <v>486</v>
      </c>
      <c r="K547" t="s">
        <v>529</v>
      </c>
      <c r="L547" t="s">
        <v>582</v>
      </c>
      <c r="M547" t="s">
        <v>588</v>
      </c>
      <c r="N547" t="s">
        <v>601</v>
      </c>
    </row>
    <row r="548" spans="1:14" x14ac:dyDescent="0.25">
      <c r="A548" t="s">
        <v>20</v>
      </c>
      <c r="B548" t="s">
        <v>137</v>
      </c>
      <c r="C548" t="s">
        <v>279</v>
      </c>
      <c r="D548" t="s">
        <v>424</v>
      </c>
      <c r="F548" t="s">
        <v>446</v>
      </c>
      <c r="G548" t="str">
        <f>HYPERLINK("https://ca.linkedin.com/jobs/view/senior-data-analyst-at-mueller-water-products-3122544636?refId=ZgzKtggyKEGUD%2B68vjXsKA%3D%3D&amp;trackingId=UPDTGI3tfX6%2Bsh6L7GbYrQ%3D%3D&amp;position=22&amp;pageNum=0&amp;trk=public_jobs_jserp-result_search-card", "Job Link")</f>
        <v>Job Link</v>
      </c>
      <c r="H548" t="s">
        <v>478</v>
      </c>
      <c r="I548" t="s">
        <v>481</v>
      </c>
      <c r="J548" t="s">
        <v>486</v>
      </c>
      <c r="K548" t="s">
        <v>530</v>
      </c>
      <c r="L548" t="s">
        <v>582</v>
      </c>
      <c r="M548" t="s">
        <v>588</v>
      </c>
      <c r="N548" t="s">
        <v>601</v>
      </c>
    </row>
    <row r="549" spans="1:14" x14ac:dyDescent="0.25">
      <c r="A549" t="s">
        <v>21</v>
      </c>
      <c r="B549" t="s">
        <v>138</v>
      </c>
      <c r="C549" t="s">
        <v>280</v>
      </c>
      <c r="D549" t="s">
        <v>424</v>
      </c>
      <c r="F549" t="s">
        <v>447</v>
      </c>
      <c r="G549" t="str">
        <f>HYPERLINK("https://ca.linkedin.com/jobs/view/data-entry-jr-analyst-6-month-contract-at-csl-group-ltd-3323214993?refId=ZgzKtggyKEGUD%2B68vjXsKA%3D%3D&amp;trackingId=VY2Z1fzwsW5qA4L4QYjXvA%3D%3D&amp;position=23&amp;pageNum=0&amp;trk=public_jobs_jserp-result_search-card", "Job Link")</f>
        <v>Job Link</v>
      </c>
      <c r="H549" t="s">
        <v>476</v>
      </c>
      <c r="I549" t="s">
        <v>484</v>
      </c>
      <c r="J549" t="s">
        <v>489</v>
      </c>
      <c r="K549" t="s">
        <v>531</v>
      </c>
      <c r="L549" t="s">
        <v>593</v>
      </c>
      <c r="M549" t="s">
        <v>588</v>
      </c>
      <c r="N549" t="s">
        <v>601</v>
      </c>
    </row>
    <row r="550" spans="1:14" x14ac:dyDescent="0.25">
      <c r="A550" t="s">
        <v>22</v>
      </c>
      <c r="B550" t="s">
        <v>139</v>
      </c>
      <c r="C550" t="s">
        <v>281</v>
      </c>
      <c r="D550" t="s">
        <v>424</v>
      </c>
      <c r="F550" t="s">
        <v>435</v>
      </c>
      <c r="G550" t="str">
        <f>HYPERLINK("https://ca.linkedin.com/jobs/view/quality-data-analyst-at-lululemon-3341634874?refId=ZgzKtggyKEGUD%2B68vjXsKA%3D%3D&amp;trackingId=h8oPh7e3T3AUrUdGjwbpkw%3D%3D&amp;position=24&amp;pageNum=0&amp;trk=public_jobs_jserp-result_search-card", "Job Link")</f>
        <v>Job Link</v>
      </c>
      <c r="H550" t="s">
        <v>476</v>
      </c>
      <c r="I550" t="s">
        <v>481</v>
      </c>
      <c r="J550" t="s">
        <v>486</v>
      </c>
      <c r="K550" t="s">
        <v>532</v>
      </c>
      <c r="L550" t="s">
        <v>590</v>
      </c>
      <c r="M550" t="s">
        <v>618</v>
      </c>
      <c r="N550" t="s">
        <v>601</v>
      </c>
    </row>
    <row r="551" spans="1:14" x14ac:dyDescent="0.25">
      <c r="A551" t="s">
        <v>14</v>
      </c>
      <c r="B551" t="s">
        <v>140</v>
      </c>
      <c r="C551" t="s">
        <v>282</v>
      </c>
      <c r="D551" t="s">
        <v>424</v>
      </c>
      <c r="F551" t="s">
        <v>440</v>
      </c>
      <c r="G551" t="str">
        <f>HYPERLINK("https://ca.linkedin.com/jobs/view/data-analyst-at-scotiabank-3365406993?refId=ZgzKtggyKEGUD%2B68vjXsKA%3D%3D&amp;trackingId=CTXiB2Kj9h013Ibt0nz4Qw%3D%3D&amp;position=25&amp;pageNum=0&amp;trk=public_jobs_jserp-result_search-card", "Job Link")</f>
        <v>Job Link</v>
      </c>
      <c r="H551" t="s">
        <v>479</v>
      </c>
      <c r="I551" t="s">
        <v>481</v>
      </c>
      <c r="J551" t="s">
        <v>486</v>
      </c>
      <c r="K551" t="s">
        <v>533</v>
      </c>
      <c r="L551" t="s">
        <v>582</v>
      </c>
      <c r="M551" t="s">
        <v>588</v>
      </c>
      <c r="N551" t="s">
        <v>601</v>
      </c>
    </row>
    <row r="552" spans="1:14" x14ac:dyDescent="0.25">
      <c r="A552" t="s">
        <v>14</v>
      </c>
      <c r="B552" t="s">
        <v>118</v>
      </c>
      <c r="C552" t="s">
        <v>258</v>
      </c>
      <c r="D552" t="s">
        <v>424</v>
      </c>
      <c r="F552" t="s">
        <v>430</v>
      </c>
      <c r="G552" t="str">
        <f>HYPERLINK("https://ca.linkedin.com/jobs/view/data-analyst-at-axonify-3324670516?refId=D1ypsh34XCaXzbwvLyoGDg%3D%3D&amp;trackingId=PruCWxPPxyB2iEWDl%2FbDHA%3D%3D&amp;position=1&amp;pageNum=0&amp;trk=public_jobs_jserp-result_search-card", "Job Link")</f>
        <v>Job Link</v>
      </c>
      <c r="H552" t="s">
        <v>476</v>
      </c>
      <c r="I552" t="s">
        <v>481</v>
      </c>
      <c r="J552" t="s">
        <v>486</v>
      </c>
      <c r="K552" t="s">
        <v>516</v>
      </c>
      <c r="L552" t="s">
        <v>581</v>
      </c>
      <c r="M552" t="s">
        <v>588</v>
      </c>
      <c r="N552" t="s">
        <v>601</v>
      </c>
    </row>
    <row r="553" spans="1:14" x14ac:dyDescent="0.25">
      <c r="A553" t="s">
        <v>14</v>
      </c>
      <c r="B553" t="s">
        <v>119</v>
      </c>
      <c r="C553" t="s">
        <v>259</v>
      </c>
      <c r="D553" t="s">
        <v>424</v>
      </c>
      <c r="F553" t="s">
        <v>431</v>
      </c>
      <c r="G553" t="str">
        <f>HYPERLINK("https://ca.linkedin.com/jobs/view/data-analyst-at-b3-systems-3361794123?refId=D1ypsh34XCaXzbwvLyoGDg%3D%3D&amp;trackingId=KcdF2Vm8I2Jx0RZbtQEQsA%3D%3D&amp;position=2&amp;pageNum=0&amp;trk=public_jobs_jserp-result_search-card", "Job Link")</f>
        <v>Job Link</v>
      </c>
      <c r="I553" t="s">
        <v>481</v>
      </c>
      <c r="L553" t="s">
        <v>582</v>
      </c>
      <c r="M553" t="s">
        <v>588</v>
      </c>
      <c r="N553" t="s">
        <v>601</v>
      </c>
    </row>
    <row r="554" spans="1:14" x14ac:dyDescent="0.25">
      <c r="A554" t="s">
        <v>14</v>
      </c>
      <c r="B554" t="s">
        <v>120</v>
      </c>
      <c r="C554" t="s">
        <v>260</v>
      </c>
      <c r="D554" t="s">
        <v>424</v>
      </c>
      <c r="F554" t="s">
        <v>431</v>
      </c>
      <c r="G554" t="str">
        <f>HYPERLINK("https://ca.linkedin.com/jobs/view/data-analyst-at-wood-mackenzie-3271782079?refId=D1ypsh34XCaXzbwvLyoGDg%3D%3D&amp;trackingId=NCCNBCOiAvTrWHhtw9TMEw%3D%3D&amp;position=3&amp;pageNum=0&amp;trk=public_jobs_jserp-result_search-card", "Job Link")</f>
        <v>Job Link</v>
      </c>
      <c r="H554" t="s">
        <v>477</v>
      </c>
      <c r="I554" t="s">
        <v>481</v>
      </c>
      <c r="J554" t="s">
        <v>487</v>
      </c>
      <c r="K554" t="s">
        <v>517</v>
      </c>
      <c r="L554" t="s">
        <v>583</v>
      </c>
      <c r="M554" t="s">
        <v>610</v>
      </c>
      <c r="N554" t="s">
        <v>601</v>
      </c>
    </row>
    <row r="555" spans="1:14" x14ac:dyDescent="0.25">
      <c r="A555" t="s">
        <v>14</v>
      </c>
      <c r="B555" t="s">
        <v>121</v>
      </c>
      <c r="C555" t="s">
        <v>261</v>
      </c>
      <c r="D555" t="s">
        <v>424</v>
      </c>
      <c r="F555" t="s">
        <v>432</v>
      </c>
      <c r="G555" t="str">
        <f>HYPERLINK("https://ca.linkedin.com/jobs/view/data-analyst-at-loft-community-services-3364383026?refId=D1ypsh34XCaXzbwvLyoGDg%3D%3D&amp;trackingId=TT2L6lUHYBp2d4Ax5Ouu%2BA%3D%3D&amp;position=4&amp;pageNum=0&amp;trk=public_jobs_jserp-result_search-card", "Job Link")</f>
        <v>Job Link</v>
      </c>
      <c r="I555" t="s">
        <v>482</v>
      </c>
      <c r="L555" t="s">
        <v>582</v>
      </c>
      <c r="M555" t="s">
        <v>588</v>
      </c>
      <c r="N555" t="s">
        <v>601</v>
      </c>
    </row>
    <row r="556" spans="1:14" x14ac:dyDescent="0.25">
      <c r="A556" t="s">
        <v>14</v>
      </c>
      <c r="B556" t="s">
        <v>122</v>
      </c>
      <c r="C556" t="s">
        <v>262</v>
      </c>
      <c r="D556" t="s">
        <v>424</v>
      </c>
      <c r="F556" t="s">
        <v>433</v>
      </c>
      <c r="G556" t="str">
        <f>HYPERLINK("https://ca.linkedin.com/jobs/view/data-analyst-at-nam-info-inc-3351590976?refId=D1ypsh34XCaXzbwvLyoGDg%3D%3D&amp;trackingId=7TEaOZYmakZauRSlPeh4tA%3D%3D&amp;position=5&amp;pageNum=0&amp;trk=public_jobs_jserp-result_search-card", "Job Link")</f>
        <v>Job Link</v>
      </c>
      <c r="H556" t="s">
        <v>478</v>
      </c>
      <c r="I556" t="s">
        <v>483</v>
      </c>
      <c r="J556" t="s">
        <v>486</v>
      </c>
      <c r="K556" t="s">
        <v>518</v>
      </c>
      <c r="L556" t="s">
        <v>582</v>
      </c>
      <c r="M556" t="s">
        <v>588</v>
      </c>
      <c r="N556" t="s">
        <v>601</v>
      </c>
    </row>
    <row r="557" spans="1:14" x14ac:dyDescent="0.25">
      <c r="A557" t="s">
        <v>14</v>
      </c>
      <c r="B557" t="s">
        <v>123</v>
      </c>
      <c r="C557" t="s">
        <v>263</v>
      </c>
      <c r="D557" t="s">
        <v>424</v>
      </c>
      <c r="F557" t="s">
        <v>434</v>
      </c>
      <c r="G557" t="str">
        <f>HYPERLINK("https://ca.linkedin.com/jobs/view/data-analyst-at-citi-3263096865?refId=D1ypsh34XCaXzbwvLyoGDg%3D%3D&amp;trackingId=l1gQ%2BavQdIA8W1ory%2Bje3A%3D%3D&amp;position=6&amp;pageNum=0&amp;trk=public_jobs_jserp-result_search-card", "Job Link")</f>
        <v>Job Link</v>
      </c>
      <c r="H557" t="s">
        <v>479</v>
      </c>
      <c r="I557" t="s">
        <v>481</v>
      </c>
      <c r="J557" t="s">
        <v>486</v>
      </c>
      <c r="K557" t="s">
        <v>519</v>
      </c>
      <c r="L557" t="s">
        <v>584</v>
      </c>
      <c r="M557" t="s">
        <v>588</v>
      </c>
      <c r="N557" t="s">
        <v>601</v>
      </c>
    </row>
    <row r="558" spans="1:14" x14ac:dyDescent="0.25">
      <c r="A558" t="s">
        <v>14</v>
      </c>
      <c r="B558" t="s">
        <v>124</v>
      </c>
      <c r="C558" t="s">
        <v>264</v>
      </c>
      <c r="D558" t="s">
        <v>424</v>
      </c>
      <c r="F558" t="s">
        <v>435</v>
      </c>
      <c r="G558" t="str">
        <f>HYPERLINK("https://ca.linkedin.com/jobs/view/data-analyst-at-king-s-college-london-3335332409?refId=D1ypsh34XCaXzbwvLyoGDg%3D%3D&amp;trackingId=yBeZryMhsVe8U%2FAUMYaNiw%3D%3D&amp;position=7&amp;pageNum=0&amp;trk=public_jobs_jserp-result_search-card", "Job Link")</f>
        <v>Job Link</v>
      </c>
      <c r="H558" t="s">
        <v>476</v>
      </c>
      <c r="I558" t="s">
        <v>481</v>
      </c>
      <c r="J558" t="s">
        <v>486</v>
      </c>
      <c r="K558" t="s">
        <v>520</v>
      </c>
      <c r="L558" t="s">
        <v>585</v>
      </c>
      <c r="M558" t="s">
        <v>588</v>
      </c>
      <c r="N558" t="s">
        <v>601</v>
      </c>
    </row>
    <row r="559" spans="1:14" x14ac:dyDescent="0.25">
      <c r="A559" t="s">
        <v>15</v>
      </c>
      <c r="B559" t="s">
        <v>125</v>
      </c>
      <c r="C559" t="s">
        <v>265</v>
      </c>
      <c r="D559" t="s">
        <v>424</v>
      </c>
      <c r="F559" t="s">
        <v>431</v>
      </c>
      <c r="G559" t="str">
        <f>HYPERLINK("https://ca.linkedin.com/jobs/view/data-analyst-remote-at-cognizant-microsoft-business-group-3333618510?refId=D1ypsh34XCaXzbwvLyoGDg%3D%3D&amp;trackingId=%2B2JN1iGWU2evFQuo3wsC6g%3D%3D&amp;position=8&amp;pageNum=0&amp;trk=public_jobs_jserp-result_search-card", "Job Link")</f>
        <v>Job Link</v>
      </c>
      <c r="H559" t="s">
        <v>476</v>
      </c>
      <c r="I559" t="s">
        <v>481</v>
      </c>
      <c r="J559" t="s">
        <v>486</v>
      </c>
      <c r="K559" t="s">
        <v>521</v>
      </c>
      <c r="L559" t="s">
        <v>582</v>
      </c>
      <c r="M559" t="s">
        <v>588</v>
      </c>
      <c r="N559" t="s">
        <v>601</v>
      </c>
    </row>
    <row r="560" spans="1:14" x14ac:dyDescent="0.25">
      <c r="A560" t="s">
        <v>16</v>
      </c>
      <c r="B560" t="s">
        <v>126</v>
      </c>
      <c r="C560" t="s">
        <v>266</v>
      </c>
      <c r="D560" t="s">
        <v>424</v>
      </c>
      <c r="F560" t="s">
        <v>436</v>
      </c>
      <c r="G560" t="str">
        <f>HYPERLINK("https://ca.linkedin.com/jobs/view/data-analyst-loans-at-tata-consultancy-services-3344804680?refId=D1ypsh34XCaXzbwvLyoGDg%3D%3D&amp;trackingId=cJTycKi3Gn8ZsGwoqlVzlg%3D%3D&amp;position=9&amp;pageNum=0&amp;trk=public_jobs_jserp-result_search-card", "Job Link")</f>
        <v>Job Link</v>
      </c>
      <c r="H560" t="s">
        <v>477</v>
      </c>
      <c r="I560" t="s">
        <v>481</v>
      </c>
      <c r="J560" t="s">
        <v>486</v>
      </c>
      <c r="K560" t="s">
        <v>517</v>
      </c>
      <c r="L560" t="s">
        <v>584</v>
      </c>
      <c r="M560" t="s">
        <v>588</v>
      </c>
      <c r="N560" t="s">
        <v>601</v>
      </c>
    </row>
    <row r="561" spans="1:14" x14ac:dyDescent="0.25">
      <c r="A561" t="s">
        <v>14</v>
      </c>
      <c r="B561" t="s">
        <v>127</v>
      </c>
      <c r="C561" t="s">
        <v>267</v>
      </c>
      <c r="D561" t="s">
        <v>424</v>
      </c>
      <c r="F561" t="s">
        <v>437</v>
      </c>
      <c r="G561" t="str">
        <f>HYPERLINK("https://ca.linkedin.com/jobs/view/data-analyst-at-vubiquity-3365112221?refId=D1ypsh34XCaXzbwvLyoGDg%3D%3D&amp;trackingId=hr3hvRFp34uJ4BWbMxj5Cw%3D%3D&amp;position=10&amp;pageNum=0&amp;trk=public_jobs_jserp-result_search-card", "Job Link")</f>
        <v>Job Link</v>
      </c>
      <c r="H561" t="s">
        <v>476</v>
      </c>
      <c r="I561" t="s">
        <v>481</v>
      </c>
      <c r="J561" t="s">
        <v>486</v>
      </c>
      <c r="K561" t="s">
        <v>522</v>
      </c>
      <c r="L561" t="s">
        <v>582</v>
      </c>
      <c r="M561" t="s">
        <v>588</v>
      </c>
      <c r="N561" t="s">
        <v>601</v>
      </c>
    </row>
    <row r="562" spans="1:14" x14ac:dyDescent="0.25">
      <c r="A562" t="s">
        <v>17</v>
      </c>
      <c r="B562" t="s">
        <v>123</v>
      </c>
      <c r="C562" t="s">
        <v>268</v>
      </c>
      <c r="D562" t="s">
        <v>424</v>
      </c>
      <c r="F562" t="s">
        <v>438</v>
      </c>
      <c r="G562" t="str">
        <f>HYPERLINK("https://ca.linkedin.com/jobs/view/data-analyst-developer-at-citi-3322089923?refId=D1ypsh34XCaXzbwvLyoGDg%3D%3D&amp;trackingId=kIChB1vRUCCesF3n33%2Bl7w%3D%3D&amp;position=11&amp;pageNum=0&amp;trk=public_jobs_jserp-result_search-card", "Job Link")</f>
        <v>Job Link</v>
      </c>
      <c r="H562" t="s">
        <v>479</v>
      </c>
      <c r="I562" t="s">
        <v>481</v>
      </c>
      <c r="J562" t="s">
        <v>486</v>
      </c>
      <c r="K562" t="s">
        <v>519</v>
      </c>
      <c r="L562" t="s">
        <v>584</v>
      </c>
      <c r="M562" t="s">
        <v>588</v>
      </c>
      <c r="N562" t="s">
        <v>601</v>
      </c>
    </row>
    <row r="563" spans="1:14" x14ac:dyDescent="0.25">
      <c r="A563" t="s">
        <v>14</v>
      </c>
      <c r="B563" t="s">
        <v>128</v>
      </c>
      <c r="C563" t="s">
        <v>269</v>
      </c>
      <c r="D563" t="s">
        <v>424</v>
      </c>
      <c r="F563" t="s">
        <v>439</v>
      </c>
      <c r="G563" t="str">
        <f>HYPERLINK("https://ca.linkedin.com/jobs/view/data-analyst-at-diverse-lynx-3363377240?refId=D1ypsh34XCaXzbwvLyoGDg%3D%3D&amp;trackingId=RVpZrg2uZhHl%2FyuhSga1nA%3D%3D&amp;position=12&amp;pageNum=0&amp;trk=public_jobs_jserp-result_search-card", "Job Link")</f>
        <v>Job Link</v>
      </c>
      <c r="H563" t="s">
        <v>476</v>
      </c>
      <c r="I563" t="s">
        <v>481</v>
      </c>
      <c r="J563" t="s">
        <v>486</v>
      </c>
      <c r="K563" t="s">
        <v>516</v>
      </c>
      <c r="L563" t="s">
        <v>586</v>
      </c>
      <c r="M563" t="s">
        <v>617</v>
      </c>
      <c r="N563" t="s">
        <v>601</v>
      </c>
    </row>
    <row r="564" spans="1:14" x14ac:dyDescent="0.25">
      <c r="A564" t="s">
        <v>14</v>
      </c>
      <c r="B564" t="s">
        <v>129</v>
      </c>
      <c r="C564" t="s">
        <v>270</v>
      </c>
      <c r="D564" t="s">
        <v>424</v>
      </c>
      <c r="F564" t="s">
        <v>440</v>
      </c>
      <c r="G564" t="str">
        <f>HYPERLINK("https://ca.linkedin.com/jobs/view/data-analyst-at-agricorp-3364433441?refId=D1ypsh34XCaXzbwvLyoGDg%3D%3D&amp;trackingId=v8RQV5qhHvUruh%2FtONJD7g%3D%3D&amp;position=13&amp;pageNum=0&amp;trk=public_jobs_jserp-result_search-card", "Job Link")</f>
        <v>Job Link</v>
      </c>
      <c r="H564" t="s">
        <v>476</v>
      </c>
      <c r="I564" t="s">
        <v>481</v>
      </c>
      <c r="J564" t="s">
        <v>486</v>
      </c>
      <c r="K564" t="s">
        <v>523</v>
      </c>
      <c r="L564" t="s">
        <v>587</v>
      </c>
      <c r="M564" t="s">
        <v>588</v>
      </c>
      <c r="N564" t="s">
        <v>601</v>
      </c>
    </row>
    <row r="565" spans="1:14" x14ac:dyDescent="0.25">
      <c r="A565" t="s">
        <v>18</v>
      </c>
      <c r="B565" t="s">
        <v>130</v>
      </c>
      <c r="C565" t="s">
        <v>271</v>
      </c>
      <c r="D565" t="s">
        <v>424</v>
      </c>
      <c r="F565" t="s">
        <v>441</v>
      </c>
      <c r="G565" t="str">
        <f>HYPERLINK("https://ca.linkedin.com/jobs/view/junior-data-analyst-mississauga-on-at-arjo-3323264354?refId=D1ypsh34XCaXzbwvLyoGDg%3D%3D&amp;trackingId=2zn6kU9jdwLrVsffpgeVPA%3D%3D&amp;position=14&amp;pageNum=0&amp;trk=public_jobs_jserp-result_search-card", "Job Link")</f>
        <v>Job Link</v>
      </c>
      <c r="H565" t="s">
        <v>479</v>
      </c>
      <c r="I565" t="s">
        <v>481</v>
      </c>
      <c r="J565" t="s">
        <v>486</v>
      </c>
      <c r="K565" t="s">
        <v>524</v>
      </c>
      <c r="L565" t="s">
        <v>588</v>
      </c>
      <c r="M565" t="s">
        <v>601</v>
      </c>
    </row>
    <row r="566" spans="1:14" x14ac:dyDescent="0.25">
      <c r="A566" t="s">
        <v>14</v>
      </c>
      <c r="B566" t="s">
        <v>131</v>
      </c>
      <c r="C566" t="s">
        <v>272</v>
      </c>
      <c r="D566" t="s">
        <v>424</v>
      </c>
      <c r="F566" t="s">
        <v>442</v>
      </c>
      <c r="G566" t="str">
        <f>HYPERLINK("https://ca.linkedin.com/jobs/view/data-analyst-at-westland-insurance-group-ltd-3345807760?refId=D1ypsh34XCaXzbwvLyoGDg%3D%3D&amp;trackingId=4oPucsn1NSZb1WndEIVzfA%3D%3D&amp;position=15&amp;pageNum=0&amp;trk=public_jobs_jserp-result_search-card", "Job Link")</f>
        <v>Job Link</v>
      </c>
      <c r="H566" t="s">
        <v>476</v>
      </c>
      <c r="I566" t="s">
        <v>481</v>
      </c>
      <c r="J566" t="s">
        <v>486</v>
      </c>
      <c r="K566" t="s">
        <v>525</v>
      </c>
      <c r="L566" t="s">
        <v>589</v>
      </c>
      <c r="M566" t="s">
        <v>618</v>
      </c>
      <c r="N566" t="s">
        <v>601</v>
      </c>
    </row>
    <row r="567" spans="1:14" x14ac:dyDescent="0.25">
      <c r="A567" t="s">
        <v>14</v>
      </c>
      <c r="B567" t="s">
        <v>132</v>
      </c>
      <c r="C567" t="s">
        <v>273</v>
      </c>
      <c r="D567" t="s">
        <v>424</v>
      </c>
      <c r="F567" t="s">
        <v>443</v>
      </c>
      <c r="G567" t="str">
        <f>HYPERLINK("https://ca.linkedin.com/jobs/view/data-analyst-at-fasken-3365947704?refId=D1ypsh34XCaXzbwvLyoGDg%3D%3D&amp;trackingId=nO%2BjLV9eYsp3PlkSFdhxVw%3D%3D&amp;position=16&amp;pageNum=0&amp;trk=public_jobs_jserp-result_search-card", "Job Link")</f>
        <v>Job Link</v>
      </c>
      <c r="H567" t="s">
        <v>476</v>
      </c>
      <c r="I567" t="s">
        <v>481</v>
      </c>
      <c r="J567" t="s">
        <v>486</v>
      </c>
      <c r="K567" t="s">
        <v>526</v>
      </c>
      <c r="L567" t="s">
        <v>590</v>
      </c>
      <c r="M567" t="s">
        <v>618</v>
      </c>
      <c r="N567" t="s">
        <v>601</v>
      </c>
    </row>
    <row r="568" spans="1:14" x14ac:dyDescent="0.25">
      <c r="A568" t="s">
        <v>14</v>
      </c>
      <c r="B568" t="s">
        <v>133</v>
      </c>
      <c r="C568" t="s">
        <v>274</v>
      </c>
      <c r="D568" t="s">
        <v>424</v>
      </c>
      <c r="F568" t="s">
        <v>434</v>
      </c>
      <c r="G568" t="str">
        <f>HYPERLINK("https://ca.linkedin.com/jobs/view/data-analyst-at-momentum-financial-services-group-3355811523?refId=D1ypsh34XCaXzbwvLyoGDg%3D%3D&amp;trackingId=0OXAMmtQtkLKwlBdUSFNmQ%3D%3D&amp;position=17&amp;pageNum=0&amp;trk=public_jobs_jserp-result_search-card", "Job Link")</f>
        <v>Job Link</v>
      </c>
      <c r="H568" t="s">
        <v>476</v>
      </c>
      <c r="I568" t="s">
        <v>481</v>
      </c>
      <c r="J568" t="s">
        <v>486</v>
      </c>
      <c r="K568" t="s">
        <v>527</v>
      </c>
      <c r="L568" t="s">
        <v>582</v>
      </c>
      <c r="M568" t="s">
        <v>588</v>
      </c>
      <c r="N568" t="s">
        <v>601</v>
      </c>
    </row>
    <row r="569" spans="1:14" x14ac:dyDescent="0.25">
      <c r="A569" t="s">
        <v>14</v>
      </c>
      <c r="B569" t="s">
        <v>134</v>
      </c>
      <c r="C569" t="s">
        <v>275</v>
      </c>
      <c r="D569" t="s">
        <v>424</v>
      </c>
      <c r="F569" t="s">
        <v>444</v>
      </c>
      <c r="G569" t="str">
        <f>HYPERLINK("https://ca.linkedin.com/jobs/view/data-analyst-at-tes-the-employment-solution-3322589522?refId=D1ypsh34XCaXzbwvLyoGDg%3D%3D&amp;trackingId=9r1QJF%2BB45ETyefcG6RGtQ%3D%3D&amp;position=18&amp;pageNum=0&amp;trk=public_jobs_jserp-result_search-card", "Job Link")</f>
        <v>Job Link</v>
      </c>
      <c r="H569" t="s">
        <v>476</v>
      </c>
      <c r="I569" t="s">
        <v>483</v>
      </c>
      <c r="J569" t="s">
        <v>486</v>
      </c>
      <c r="K569" t="s">
        <v>525</v>
      </c>
      <c r="L569" t="s">
        <v>591</v>
      </c>
      <c r="M569" t="s">
        <v>588</v>
      </c>
      <c r="N569" t="s">
        <v>601</v>
      </c>
    </row>
    <row r="570" spans="1:14" x14ac:dyDescent="0.25">
      <c r="A570" t="s">
        <v>14</v>
      </c>
      <c r="B570" t="s">
        <v>135</v>
      </c>
      <c r="C570" t="s">
        <v>276</v>
      </c>
      <c r="D570" t="s">
        <v>424</v>
      </c>
      <c r="F570" t="s">
        <v>440</v>
      </c>
      <c r="G570" t="str">
        <f>HYPERLINK("https://ca.linkedin.com/jobs/view/data-analyst-at-magna-international-3370822450?refId=D1ypsh34XCaXzbwvLyoGDg%3D%3D&amp;trackingId=xEENmBXxbIWQuRube3JGyQ%3D%3D&amp;position=19&amp;pageNum=0&amp;trk=public_jobs_jserp-result_search-card", "Job Link")</f>
        <v>Job Link</v>
      </c>
      <c r="H570" t="s">
        <v>476</v>
      </c>
      <c r="I570" t="s">
        <v>481</v>
      </c>
      <c r="J570" t="s">
        <v>488</v>
      </c>
      <c r="K570" t="s">
        <v>528</v>
      </c>
      <c r="L570" t="s">
        <v>592</v>
      </c>
      <c r="M570" t="s">
        <v>588</v>
      </c>
      <c r="N570" t="s">
        <v>601</v>
      </c>
    </row>
    <row r="571" spans="1:14" x14ac:dyDescent="0.25">
      <c r="A571" t="s">
        <v>14</v>
      </c>
      <c r="B571" t="s">
        <v>128</v>
      </c>
      <c r="C571" t="s">
        <v>277</v>
      </c>
      <c r="D571" t="s">
        <v>424</v>
      </c>
      <c r="F571" t="s">
        <v>439</v>
      </c>
      <c r="G571" t="str">
        <f>HYPERLINK("https://ca.linkedin.com/jobs/view/data-analyst-at-diverse-lynx-3363374746?refId=D1ypsh34XCaXzbwvLyoGDg%3D%3D&amp;trackingId=v5VxgfiUUu%2BiRswdBha2LQ%3D%3D&amp;position=20&amp;pageNum=0&amp;trk=public_jobs_jserp-result_search-card", "Job Link")</f>
        <v>Job Link</v>
      </c>
      <c r="H571" t="s">
        <v>476</v>
      </c>
      <c r="I571" t="s">
        <v>481</v>
      </c>
      <c r="J571" t="s">
        <v>486</v>
      </c>
      <c r="K571" t="s">
        <v>516</v>
      </c>
      <c r="L571" t="s">
        <v>586</v>
      </c>
      <c r="M571" t="s">
        <v>617</v>
      </c>
      <c r="N571" t="s">
        <v>601</v>
      </c>
    </row>
    <row r="572" spans="1:14" x14ac:dyDescent="0.25">
      <c r="A572" t="s">
        <v>19</v>
      </c>
      <c r="B572" t="s">
        <v>136</v>
      </c>
      <c r="C572" t="s">
        <v>278</v>
      </c>
      <c r="D572" t="s">
        <v>424</v>
      </c>
      <c r="F572" t="s">
        <v>445</v>
      </c>
      <c r="G572" t="str">
        <f>HYPERLINK("https://ca.linkedin.com/jobs/view/data-analyst-operations-at-sonder-inc-3229442908?refId=D1ypsh34XCaXzbwvLyoGDg%3D%3D&amp;trackingId=t2eCG6%2FfOpP1dnmweC0boQ%3D%3D&amp;position=21&amp;pageNum=0&amp;trk=public_jobs_jserp-result_search-card", "Job Link")</f>
        <v>Job Link</v>
      </c>
      <c r="H572" t="s">
        <v>476</v>
      </c>
      <c r="I572" t="s">
        <v>481</v>
      </c>
      <c r="J572" t="s">
        <v>486</v>
      </c>
      <c r="K572" t="s">
        <v>529</v>
      </c>
      <c r="L572" t="s">
        <v>582</v>
      </c>
      <c r="M572" t="s">
        <v>588</v>
      </c>
      <c r="N572" t="s">
        <v>601</v>
      </c>
    </row>
    <row r="573" spans="1:14" x14ac:dyDescent="0.25">
      <c r="A573" t="s">
        <v>20</v>
      </c>
      <c r="B573" t="s">
        <v>137</v>
      </c>
      <c r="C573" t="s">
        <v>279</v>
      </c>
      <c r="D573" t="s">
        <v>424</v>
      </c>
      <c r="F573" t="s">
        <v>446</v>
      </c>
      <c r="G573" t="str">
        <f>HYPERLINK("https://ca.linkedin.com/jobs/view/senior-data-analyst-at-mueller-water-products-3122544636?refId=D1ypsh34XCaXzbwvLyoGDg%3D%3D&amp;trackingId=aFP9rpLp%2F16ET5h2oOxyCQ%3D%3D&amp;position=22&amp;pageNum=0&amp;trk=public_jobs_jserp-result_search-card", "Job Link")</f>
        <v>Job Link</v>
      </c>
      <c r="H573" t="s">
        <v>478</v>
      </c>
      <c r="I573" t="s">
        <v>481</v>
      </c>
      <c r="J573" t="s">
        <v>486</v>
      </c>
      <c r="K573" t="s">
        <v>530</v>
      </c>
      <c r="L573" t="s">
        <v>582</v>
      </c>
      <c r="M573" t="s">
        <v>588</v>
      </c>
      <c r="N573" t="s">
        <v>601</v>
      </c>
    </row>
    <row r="574" spans="1:14" x14ac:dyDescent="0.25">
      <c r="A574" t="s">
        <v>21</v>
      </c>
      <c r="B574" t="s">
        <v>138</v>
      </c>
      <c r="C574" t="s">
        <v>280</v>
      </c>
      <c r="D574" t="s">
        <v>424</v>
      </c>
      <c r="F574" t="s">
        <v>447</v>
      </c>
      <c r="G574" t="str">
        <f>HYPERLINK("https://ca.linkedin.com/jobs/view/data-entry-jr-analyst-6-month-contract-at-csl-group-ltd-3323214993?refId=D1ypsh34XCaXzbwvLyoGDg%3D%3D&amp;trackingId=9cjFweLmV5oTuKcqp0MuTQ%3D%3D&amp;position=23&amp;pageNum=0&amp;trk=public_jobs_jserp-result_search-card", "Job Link")</f>
        <v>Job Link</v>
      </c>
      <c r="H574" t="s">
        <v>476</v>
      </c>
      <c r="I574" t="s">
        <v>484</v>
      </c>
      <c r="J574" t="s">
        <v>489</v>
      </c>
      <c r="K574" t="s">
        <v>531</v>
      </c>
      <c r="L574" t="s">
        <v>593</v>
      </c>
      <c r="M574" t="s">
        <v>588</v>
      </c>
      <c r="N574" t="s">
        <v>601</v>
      </c>
    </row>
    <row r="575" spans="1:14" x14ac:dyDescent="0.25">
      <c r="A575" t="s">
        <v>22</v>
      </c>
      <c r="B575" t="s">
        <v>139</v>
      </c>
      <c r="C575" t="s">
        <v>281</v>
      </c>
      <c r="D575" t="s">
        <v>424</v>
      </c>
      <c r="F575" t="s">
        <v>435</v>
      </c>
      <c r="G575" t="str">
        <f>HYPERLINK("https://ca.linkedin.com/jobs/view/quality-data-analyst-at-lululemon-3341634874?refId=D1ypsh34XCaXzbwvLyoGDg%3D%3D&amp;trackingId=PLAg6s1Dpugd869YP4qjBA%3D%3D&amp;position=24&amp;pageNum=0&amp;trk=public_jobs_jserp-result_search-card", "Job Link")</f>
        <v>Job Link</v>
      </c>
      <c r="H575" t="s">
        <v>476</v>
      </c>
      <c r="I575" t="s">
        <v>481</v>
      </c>
      <c r="J575" t="s">
        <v>486</v>
      </c>
      <c r="K575" t="s">
        <v>532</v>
      </c>
      <c r="L575" t="s">
        <v>590</v>
      </c>
      <c r="M575" t="s">
        <v>618</v>
      </c>
      <c r="N575" t="s">
        <v>601</v>
      </c>
    </row>
    <row r="576" spans="1:14" x14ac:dyDescent="0.25">
      <c r="A576" t="s">
        <v>14</v>
      </c>
      <c r="B576" t="s">
        <v>140</v>
      </c>
      <c r="C576" t="s">
        <v>282</v>
      </c>
      <c r="D576" t="s">
        <v>424</v>
      </c>
      <c r="F576" t="s">
        <v>440</v>
      </c>
      <c r="G576" t="str">
        <f>HYPERLINK("https://ca.linkedin.com/jobs/view/data-analyst-at-scotiabank-3365406993?refId=D1ypsh34XCaXzbwvLyoGDg%3D%3D&amp;trackingId=Jl7WV3hJhZqmVMjCYEdToA%3D%3D&amp;position=25&amp;pageNum=0&amp;trk=public_jobs_jserp-result_search-card", "Job Link")</f>
        <v>Job Link</v>
      </c>
      <c r="H576" t="s">
        <v>479</v>
      </c>
      <c r="I576" t="s">
        <v>481</v>
      </c>
      <c r="J576" t="s">
        <v>486</v>
      </c>
      <c r="K576" t="s">
        <v>533</v>
      </c>
      <c r="L576" t="s">
        <v>582</v>
      </c>
      <c r="M576" t="s">
        <v>588</v>
      </c>
      <c r="N576" t="s">
        <v>601</v>
      </c>
    </row>
    <row r="577" spans="1:14" x14ac:dyDescent="0.25">
      <c r="A577" t="s">
        <v>14</v>
      </c>
      <c r="B577" t="s">
        <v>118</v>
      </c>
      <c r="C577" t="s">
        <v>258</v>
      </c>
      <c r="D577" t="s">
        <v>424</v>
      </c>
      <c r="F577" t="s">
        <v>430</v>
      </c>
      <c r="G577" t="str">
        <f>HYPERLINK("https://ca.linkedin.com/jobs/view/data-analyst-at-axonify-3324670516?refId=PaixyzPZJO8JXgPbNRGIfw%3D%3D&amp;trackingId=q1fDSS81a%2BEkCadxLlux5g%3D%3D&amp;position=1&amp;pageNum=0&amp;trk=public_jobs_jserp-result_search-card", "Job Link")</f>
        <v>Job Link</v>
      </c>
      <c r="H577" t="s">
        <v>476</v>
      </c>
      <c r="I577" t="s">
        <v>481</v>
      </c>
      <c r="J577" t="s">
        <v>486</v>
      </c>
      <c r="K577" t="s">
        <v>516</v>
      </c>
      <c r="L577" t="s">
        <v>581</v>
      </c>
      <c r="M577" t="s">
        <v>588</v>
      </c>
      <c r="N577" t="s">
        <v>601</v>
      </c>
    </row>
    <row r="578" spans="1:14" x14ac:dyDescent="0.25">
      <c r="A578" t="s">
        <v>14</v>
      </c>
      <c r="B578" t="s">
        <v>119</v>
      </c>
      <c r="C578" t="s">
        <v>259</v>
      </c>
      <c r="D578" t="s">
        <v>424</v>
      </c>
      <c r="F578" t="s">
        <v>431</v>
      </c>
      <c r="G578" t="str">
        <f>HYPERLINK("https://ca.linkedin.com/jobs/view/data-analyst-at-b3-systems-3361794123?refId=PaixyzPZJO8JXgPbNRGIfw%3D%3D&amp;trackingId=FUG3vmVx99gqd99O5BG3Ew%3D%3D&amp;position=2&amp;pageNum=0&amp;trk=public_jobs_jserp-result_search-card", "Job Link")</f>
        <v>Job Link</v>
      </c>
      <c r="I578" t="s">
        <v>481</v>
      </c>
      <c r="L578" t="s">
        <v>582</v>
      </c>
      <c r="M578" t="s">
        <v>588</v>
      </c>
      <c r="N578" t="s">
        <v>601</v>
      </c>
    </row>
    <row r="579" spans="1:14" x14ac:dyDescent="0.25">
      <c r="A579" t="s">
        <v>14</v>
      </c>
      <c r="B579" t="s">
        <v>120</v>
      </c>
      <c r="C579" t="s">
        <v>260</v>
      </c>
      <c r="D579" t="s">
        <v>424</v>
      </c>
      <c r="F579" t="s">
        <v>431</v>
      </c>
      <c r="G579" t="str">
        <f>HYPERLINK("https://ca.linkedin.com/jobs/view/data-analyst-at-wood-mackenzie-3271782079?refId=PaixyzPZJO8JXgPbNRGIfw%3D%3D&amp;trackingId=%2BjqLC5u8AFzPLKp7a6G4%2Fw%3D%3D&amp;position=3&amp;pageNum=0&amp;trk=public_jobs_jserp-result_search-card", "Job Link")</f>
        <v>Job Link</v>
      </c>
      <c r="H579" t="s">
        <v>477</v>
      </c>
      <c r="I579" t="s">
        <v>481</v>
      </c>
      <c r="J579" t="s">
        <v>487</v>
      </c>
      <c r="K579" t="s">
        <v>517</v>
      </c>
      <c r="L579" t="s">
        <v>583</v>
      </c>
      <c r="M579" t="s">
        <v>610</v>
      </c>
      <c r="N579" t="s">
        <v>601</v>
      </c>
    </row>
    <row r="580" spans="1:14" x14ac:dyDescent="0.25">
      <c r="A580" t="s">
        <v>14</v>
      </c>
      <c r="B580" t="s">
        <v>121</v>
      </c>
      <c r="C580" t="s">
        <v>261</v>
      </c>
      <c r="D580" t="s">
        <v>424</v>
      </c>
      <c r="F580" t="s">
        <v>432</v>
      </c>
      <c r="G580" t="str">
        <f>HYPERLINK("https://ca.linkedin.com/jobs/view/data-analyst-at-loft-community-services-3364383026?refId=PaixyzPZJO8JXgPbNRGIfw%3D%3D&amp;trackingId=vS7V7Pm4rG9p2b68c5JnqQ%3D%3D&amp;position=4&amp;pageNum=0&amp;trk=public_jobs_jserp-result_search-card", "Job Link")</f>
        <v>Job Link</v>
      </c>
      <c r="I580" t="s">
        <v>482</v>
      </c>
      <c r="L580" t="s">
        <v>582</v>
      </c>
      <c r="M580" t="s">
        <v>588</v>
      </c>
      <c r="N580" t="s">
        <v>601</v>
      </c>
    </row>
    <row r="581" spans="1:14" x14ac:dyDescent="0.25">
      <c r="A581" t="s">
        <v>14</v>
      </c>
      <c r="B581" t="s">
        <v>122</v>
      </c>
      <c r="C581" t="s">
        <v>262</v>
      </c>
      <c r="D581" t="s">
        <v>424</v>
      </c>
      <c r="F581" t="s">
        <v>433</v>
      </c>
      <c r="G581" t="str">
        <f>HYPERLINK("https://ca.linkedin.com/jobs/view/data-analyst-at-nam-info-inc-3351590976?refId=PaixyzPZJO8JXgPbNRGIfw%3D%3D&amp;trackingId=GxHnJ3F6MyxRYjfGukX6Wg%3D%3D&amp;position=5&amp;pageNum=0&amp;trk=public_jobs_jserp-result_search-card", "Job Link")</f>
        <v>Job Link</v>
      </c>
      <c r="H581" t="s">
        <v>478</v>
      </c>
      <c r="I581" t="s">
        <v>483</v>
      </c>
      <c r="J581" t="s">
        <v>486</v>
      </c>
      <c r="K581" t="s">
        <v>518</v>
      </c>
      <c r="L581" t="s">
        <v>582</v>
      </c>
      <c r="M581" t="s">
        <v>588</v>
      </c>
      <c r="N581" t="s">
        <v>601</v>
      </c>
    </row>
    <row r="582" spans="1:14" x14ac:dyDescent="0.25">
      <c r="A582" t="s">
        <v>14</v>
      </c>
      <c r="B582" t="s">
        <v>123</v>
      </c>
      <c r="C582" t="s">
        <v>263</v>
      </c>
      <c r="D582" t="s">
        <v>424</v>
      </c>
      <c r="F582" t="s">
        <v>434</v>
      </c>
      <c r="G582" t="str">
        <f>HYPERLINK("https://ca.linkedin.com/jobs/view/data-analyst-at-citi-3263096865?refId=PaixyzPZJO8JXgPbNRGIfw%3D%3D&amp;trackingId=wRG3PXFkytZ%2BY3WVndWEoA%3D%3D&amp;position=6&amp;pageNum=0&amp;trk=public_jobs_jserp-result_search-card", "Job Link")</f>
        <v>Job Link</v>
      </c>
      <c r="H582" t="s">
        <v>479</v>
      </c>
      <c r="I582" t="s">
        <v>481</v>
      </c>
      <c r="J582" t="s">
        <v>486</v>
      </c>
      <c r="K582" t="s">
        <v>519</v>
      </c>
      <c r="L582" t="s">
        <v>584</v>
      </c>
      <c r="M582" t="s">
        <v>588</v>
      </c>
      <c r="N582" t="s">
        <v>601</v>
      </c>
    </row>
    <row r="583" spans="1:14" x14ac:dyDescent="0.25">
      <c r="A583" t="s">
        <v>14</v>
      </c>
      <c r="B583" t="s">
        <v>124</v>
      </c>
      <c r="C583" t="s">
        <v>264</v>
      </c>
      <c r="D583" t="s">
        <v>424</v>
      </c>
      <c r="F583" t="s">
        <v>435</v>
      </c>
      <c r="G583" t="str">
        <f>HYPERLINK("https://ca.linkedin.com/jobs/view/data-analyst-at-king-s-college-london-3335332409?refId=PaixyzPZJO8JXgPbNRGIfw%3D%3D&amp;trackingId=aHR6LlI807fw2muyHYf3Og%3D%3D&amp;position=7&amp;pageNum=0&amp;trk=public_jobs_jserp-result_search-card", "Job Link")</f>
        <v>Job Link</v>
      </c>
      <c r="H583" t="s">
        <v>476</v>
      </c>
      <c r="I583" t="s">
        <v>481</v>
      </c>
      <c r="J583" t="s">
        <v>486</v>
      </c>
      <c r="K583" t="s">
        <v>520</v>
      </c>
      <c r="L583" t="s">
        <v>585</v>
      </c>
      <c r="M583" t="s">
        <v>588</v>
      </c>
      <c r="N583" t="s">
        <v>601</v>
      </c>
    </row>
    <row r="584" spans="1:14" x14ac:dyDescent="0.25">
      <c r="A584" t="s">
        <v>15</v>
      </c>
      <c r="B584" t="s">
        <v>125</v>
      </c>
      <c r="C584" t="s">
        <v>265</v>
      </c>
      <c r="D584" t="s">
        <v>424</v>
      </c>
      <c r="F584" t="s">
        <v>431</v>
      </c>
      <c r="G584" t="str">
        <f>HYPERLINK("https://ca.linkedin.com/jobs/view/data-analyst-remote-at-cognizant-microsoft-business-group-3333618510?refId=PaixyzPZJO8JXgPbNRGIfw%3D%3D&amp;trackingId=SEex%2Fh%2FL7oC5U3cRlqySVg%3D%3D&amp;position=8&amp;pageNum=0&amp;trk=public_jobs_jserp-result_search-card", "Job Link")</f>
        <v>Job Link</v>
      </c>
      <c r="H584" t="s">
        <v>476</v>
      </c>
      <c r="I584" t="s">
        <v>481</v>
      </c>
      <c r="J584" t="s">
        <v>486</v>
      </c>
      <c r="K584" t="s">
        <v>521</v>
      </c>
      <c r="L584" t="s">
        <v>582</v>
      </c>
      <c r="M584" t="s">
        <v>588</v>
      </c>
      <c r="N584" t="s">
        <v>601</v>
      </c>
    </row>
    <row r="585" spans="1:14" x14ac:dyDescent="0.25">
      <c r="A585" t="s">
        <v>16</v>
      </c>
      <c r="B585" t="s">
        <v>126</v>
      </c>
      <c r="C585" t="s">
        <v>266</v>
      </c>
      <c r="D585" t="s">
        <v>424</v>
      </c>
      <c r="F585" t="s">
        <v>436</v>
      </c>
      <c r="G585" t="str">
        <f>HYPERLINK("https://ca.linkedin.com/jobs/view/data-analyst-loans-at-tata-consultancy-services-3344804680?refId=PaixyzPZJO8JXgPbNRGIfw%3D%3D&amp;trackingId=biwQqalxDxcZI%2B89iJECgg%3D%3D&amp;position=9&amp;pageNum=0&amp;trk=public_jobs_jserp-result_search-card", "Job Link")</f>
        <v>Job Link</v>
      </c>
      <c r="H585" t="s">
        <v>477</v>
      </c>
      <c r="I585" t="s">
        <v>481</v>
      </c>
      <c r="J585" t="s">
        <v>486</v>
      </c>
      <c r="K585" t="s">
        <v>517</v>
      </c>
      <c r="L585" t="s">
        <v>584</v>
      </c>
      <c r="M585" t="s">
        <v>588</v>
      </c>
      <c r="N585" t="s">
        <v>601</v>
      </c>
    </row>
    <row r="586" spans="1:14" x14ac:dyDescent="0.25">
      <c r="A586" t="s">
        <v>14</v>
      </c>
      <c r="B586" t="s">
        <v>127</v>
      </c>
      <c r="C586" t="s">
        <v>267</v>
      </c>
      <c r="D586" t="s">
        <v>424</v>
      </c>
      <c r="F586" t="s">
        <v>437</v>
      </c>
      <c r="G586" t="str">
        <f>HYPERLINK("https://ca.linkedin.com/jobs/view/data-analyst-at-vubiquity-3365112221?refId=PaixyzPZJO8JXgPbNRGIfw%3D%3D&amp;trackingId=lIRwvicICwKfnewP%2BXIUgg%3D%3D&amp;position=10&amp;pageNum=0&amp;trk=public_jobs_jserp-result_search-card", "Job Link")</f>
        <v>Job Link</v>
      </c>
      <c r="H586" t="s">
        <v>476</v>
      </c>
      <c r="I586" t="s">
        <v>481</v>
      </c>
      <c r="J586" t="s">
        <v>486</v>
      </c>
      <c r="K586" t="s">
        <v>522</v>
      </c>
      <c r="L586" t="s">
        <v>582</v>
      </c>
      <c r="M586" t="s">
        <v>588</v>
      </c>
      <c r="N586" t="s">
        <v>601</v>
      </c>
    </row>
    <row r="587" spans="1:14" x14ac:dyDescent="0.25">
      <c r="A587" t="s">
        <v>17</v>
      </c>
      <c r="B587" t="s">
        <v>123</v>
      </c>
      <c r="C587" t="s">
        <v>268</v>
      </c>
      <c r="D587" t="s">
        <v>424</v>
      </c>
      <c r="F587" t="s">
        <v>438</v>
      </c>
      <c r="G587" t="str">
        <f>HYPERLINK("https://ca.linkedin.com/jobs/view/data-analyst-developer-at-citi-3322089923?refId=PaixyzPZJO8JXgPbNRGIfw%3D%3D&amp;trackingId=9gzzFMqsUwoUX6TwXF4h5g%3D%3D&amp;position=11&amp;pageNum=0&amp;trk=public_jobs_jserp-result_search-card", "Job Link")</f>
        <v>Job Link</v>
      </c>
      <c r="H587" t="s">
        <v>479</v>
      </c>
      <c r="I587" t="s">
        <v>481</v>
      </c>
      <c r="J587" t="s">
        <v>486</v>
      </c>
      <c r="K587" t="s">
        <v>519</v>
      </c>
      <c r="L587" t="s">
        <v>584</v>
      </c>
      <c r="M587" t="s">
        <v>588</v>
      </c>
      <c r="N587" t="s">
        <v>601</v>
      </c>
    </row>
    <row r="588" spans="1:14" x14ac:dyDescent="0.25">
      <c r="A588" t="s">
        <v>14</v>
      </c>
      <c r="B588" t="s">
        <v>128</v>
      </c>
      <c r="C588" t="s">
        <v>269</v>
      </c>
      <c r="D588" t="s">
        <v>424</v>
      </c>
      <c r="F588" t="s">
        <v>439</v>
      </c>
      <c r="G588" t="str">
        <f>HYPERLINK("https://ca.linkedin.com/jobs/view/data-analyst-at-diverse-lynx-3363377240?refId=PaixyzPZJO8JXgPbNRGIfw%3D%3D&amp;trackingId=oxRRsUniAufYUN14qzmqXQ%3D%3D&amp;position=12&amp;pageNum=0&amp;trk=public_jobs_jserp-result_search-card", "Job Link")</f>
        <v>Job Link</v>
      </c>
      <c r="H588" t="s">
        <v>476</v>
      </c>
      <c r="I588" t="s">
        <v>481</v>
      </c>
      <c r="J588" t="s">
        <v>486</v>
      </c>
      <c r="K588" t="s">
        <v>516</v>
      </c>
      <c r="L588" t="s">
        <v>586</v>
      </c>
      <c r="M588" t="s">
        <v>617</v>
      </c>
      <c r="N588" t="s">
        <v>601</v>
      </c>
    </row>
    <row r="589" spans="1:14" x14ac:dyDescent="0.25">
      <c r="A589" t="s">
        <v>14</v>
      </c>
      <c r="B589" t="s">
        <v>129</v>
      </c>
      <c r="C589" t="s">
        <v>270</v>
      </c>
      <c r="D589" t="s">
        <v>424</v>
      </c>
      <c r="F589" t="s">
        <v>440</v>
      </c>
      <c r="G589" t="str">
        <f>HYPERLINK("https://ca.linkedin.com/jobs/view/data-analyst-at-agricorp-3364433441?refId=PaixyzPZJO8JXgPbNRGIfw%3D%3D&amp;trackingId=wVExsu%2BiSIdukrNB%2FQuwvg%3D%3D&amp;position=13&amp;pageNum=0&amp;trk=public_jobs_jserp-result_search-card", "Job Link")</f>
        <v>Job Link</v>
      </c>
      <c r="H589" t="s">
        <v>476</v>
      </c>
      <c r="I589" t="s">
        <v>481</v>
      </c>
      <c r="J589" t="s">
        <v>486</v>
      </c>
      <c r="K589" t="s">
        <v>523</v>
      </c>
      <c r="L589" t="s">
        <v>587</v>
      </c>
      <c r="M589" t="s">
        <v>588</v>
      </c>
      <c r="N589" t="s">
        <v>601</v>
      </c>
    </row>
    <row r="590" spans="1:14" x14ac:dyDescent="0.25">
      <c r="A590" t="s">
        <v>18</v>
      </c>
      <c r="B590" t="s">
        <v>130</v>
      </c>
      <c r="C590" t="s">
        <v>271</v>
      </c>
      <c r="D590" t="s">
        <v>424</v>
      </c>
      <c r="F590" t="s">
        <v>441</v>
      </c>
      <c r="G590" t="str">
        <f>HYPERLINK("https://ca.linkedin.com/jobs/view/junior-data-analyst-mississauga-on-at-arjo-3323264354?refId=PaixyzPZJO8JXgPbNRGIfw%3D%3D&amp;trackingId=MdLpTGIyllf8gnRbED2Tow%3D%3D&amp;position=14&amp;pageNum=0&amp;trk=public_jobs_jserp-result_search-card", "Job Link")</f>
        <v>Job Link</v>
      </c>
      <c r="H590" t="s">
        <v>479</v>
      </c>
      <c r="I590" t="s">
        <v>481</v>
      </c>
      <c r="J590" t="s">
        <v>486</v>
      </c>
      <c r="K590" t="s">
        <v>524</v>
      </c>
      <c r="L590" t="s">
        <v>588</v>
      </c>
      <c r="M590" t="s">
        <v>601</v>
      </c>
    </row>
    <row r="591" spans="1:14" x14ac:dyDescent="0.25">
      <c r="A591" t="s">
        <v>14</v>
      </c>
      <c r="B591" t="s">
        <v>131</v>
      </c>
      <c r="C591" t="s">
        <v>272</v>
      </c>
      <c r="D591" t="s">
        <v>424</v>
      </c>
      <c r="F591" t="s">
        <v>442</v>
      </c>
      <c r="G591" t="str">
        <f>HYPERLINK("https://ca.linkedin.com/jobs/view/data-analyst-at-westland-insurance-group-ltd-3345807760?refId=PaixyzPZJO8JXgPbNRGIfw%3D%3D&amp;trackingId=H0PZcHxikxMWoEuvgsR9lQ%3D%3D&amp;position=15&amp;pageNum=0&amp;trk=public_jobs_jserp-result_search-card", "Job Link")</f>
        <v>Job Link</v>
      </c>
      <c r="H591" t="s">
        <v>476</v>
      </c>
      <c r="I591" t="s">
        <v>481</v>
      </c>
      <c r="J591" t="s">
        <v>486</v>
      </c>
      <c r="K591" t="s">
        <v>525</v>
      </c>
      <c r="L591" t="s">
        <v>589</v>
      </c>
      <c r="M591" t="s">
        <v>618</v>
      </c>
      <c r="N591" t="s">
        <v>601</v>
      </c>
    </row>
    <row r="592" spans="1:14" x14ac:dyDescent="0.25">
      <c r="A592" t="s">
        <v>14</v>
      </c>
      <c r="B592" t="s">
        <v>132</v>
      </c>
      <c r="C592" t="s">
        <v>273</v>
      </c>
      <c r="D592" t="s">
        <v>424</v>
      </c>
      <c r="F592" t="s">
        <v>443</v>
      </c>
      <c r="G592" t="str">
        <f>HYPERLINK("https://ca.linkedin.com/jobs/view/data-analyst-at-fasken-3365947704?refId=PaixyzPZJO8JXgPbNRGIfw%3D%3D&amp;trackingId=7d3SLl1cCGIKOzyndotTZg%3D%3D&amp;position=16&amp;pageNum=0&amp;trk=public_jobs_jserp-result_search-card", "Job Link")</f>
        <v>Job Link</v>
      </c>
      <c r="H592" t="s">
        <v>476</v>
      </c>
      <c r="I592" t="s">
        <v>481</v>
      </c>
      <c r="J592" t="s">
        <v>486</v>
      </c>
      <c r="K592" t="s">
        <v>526</v>
      </c>
      <c r="L592" t="s">
        <v>590</v>
      </c>
      <c r="M592" t="s">
        <v>618</v>
      </c>
      <c r="N592" t="s">
        <v>601</v>
      </c>
    </row>
    <row r="593" spans="1:14" x14ac:dyDescent="0.25">
      <c r="A593" t="s">
        <v>14</v>
      </c>
      <c r="B593" t="s">
        <v>133</v>
      </c>
      <c r="C593" t="s">
        <v>274</v>
      </c>
      <c r="D593" t="s">
        <v>424</v>
      </c>
      <c r="F593" t="s">
        <v>434</v>
      </c>
      <c r="G593" t="str">
        <f>HYPERLINK("https://ca.linkedin.com/jobs/view/data-analyst-at-momentum-financial-services-group-3355811523?refId=PaixyzPZJO8JXgPbNRGIfw%3D%3D&amp;trackingId=49mD813olPzEpHGZBsJHsg%3D%3D&amp;position=17&amp;pageNum=0&amp;trk=public_jobs_jserp-result_search-card", "Job Link")</f>
        <v>Job Link</v>
      </c>
      <c r="H593" t="s">
        <v>476</v>
      </c>
      <c r="I593" t="s">
        <v>481</v>
      </c>
      <c r="J593" t="s">
        <v>486</v>
      </c>
      <c r="K593" t="s">
        <v>527</v>
      </c>
      <c r="L593" t="s">
        <v>582</v>
      </c>
      <c r="M593" t="s">
        <v>588</v>
      </c>
      <c r="N593" t="s">
        <v>601</v>
      </c>
    </row>
    <row r="594" spans="1:14" x14ac:dyDescent="0.25">
      <c r="A594" t="s">
        <v>14</v>
      </c>
      <c r="B594" t="s">
        <v>134</v>
      </c>
      <c r="C594" t="s">
        <v>275</v>
      </c>
      <c r="D594" t="s">
        <v>424</v>
      </c>
      <c r="F594" t="s">
        <v>444</v>
      </c>
      <c r="G594" t="str">
        <f>HYPERLINK("https://ca.linkedin.com/jobs/view/data-analyst-at-tes-the-employment-solution-3322589522?refId=PaixyzPZJO8JXgPbNRGIfw%3D%3D&amp;trackingId=azEVz2ehsArQjwhOfdwM5A%3D%3D&amp;position=18&amp;pageNum=0&amp;trk=public_jobs_jserp-result_search-card", "Job Link")</f>
        <v>Job Link</v>
      </c>
      <c r="H594" t="s">
        <v>476</v>
      </c>
      <c r="I594" t="s">
        <v>483</v>
      </c>
      <c r="J594" t="s">
        <v>486</v>
      </c>
      <c r="K594" t="s">
        <v>525</v>
      </c>
      <c r="L594" t="s">
        <v>591</v>
      </c>
      <c r="M594" t="s">
        <v>588</v>
      </c>
      <c r="N594" t="s">
        <v>601</v>
      </c>
    </row>
    <row r="595" spans="1:14" x14ac:dyDescent="0.25">
      <c r="A595" t="s">
        <v>14</v>
      </c>
      <c r="B595" t="s">
        <v>135</v>
      </c>
      <c r="C595" t="s">
        <v>276</v>
      </c>
      <c r="D595" t="s">
        <v>424</v>
      </c>
      <c r="F595" t="s">
        <v>440</v>
      </c>
      <c r="G595" t="str">
        <f>HYPERLINK("https://ca.linkedin.com/jobs/view/data-analyst-at-magna-international-3370822450?refId=PaixyzPZJO8JXgPbNRGIfw%3D%3D&amp;trackingId=GRJ5XMINW4Cz9q56yo2Bow%3D%3D&amp;position=19&amp;pageNum=0&amp;trk=public_jobs_jserp-result_search-card", "Job Link")</f>
        <v>Job Link</v>
      </c>
      <c r="H595" t="s">
        <v>476</v>
      </c>
      <c r="I595" t="s">
        <v>481</v>
      </c>
      <c r="J595" t="s">
        <v>488</v>
      </c>
      <c r="K595" t="s">
        <v>528</v>
      </c>
      <c r="L595" t="s">
        <v>592</v>
      </c>
      <c r="M595" t="s">
        <v>588</v>
      </c>
      <c r="N595" t="s">
        <v>601</v>
      </c>
    </row>
    <row r="596" spans="1:14" x14ac:dyDescent="0.25">
      <c r="A596" t="s">
        <v>14</v>
      </c>
      <c r="B596" t="s">
        <v>128</v>
      </c>
      <c r="C596" t="s">
        <v>277</v>
      </c>
      <c r="D596" t="s">
        <v>424</v>
      </c>
      <c r="F596" t="s">
        <v>439</v>
      </c>
      <c r="G596" t="str">
        <f>HYPERLINK("https://ca.linkedin.com/jobs/view/data-analyst-at-diverse-lynx-3363374746?refId=PaixyzPZJO8JXgPbNRGIfw%3D%3D&amp;trackingId=GpMVRd7mFSCsK%2BRZWE8z8Q%3D%3D&amp;position=20&amp;pageNum=0&amp;trk=public_jobs_jserp-result_search-card", "Job Link")</f>
        <v>Job Link</v>
      </c>
      <c r="H596" t="s">
        <v>476</v>
      </c>
      <c r="I596" t="s">
        <v>481</v>
      </c>
      <c r="J596" t="s">
        <v>486</v>
      </c>
      <c r="K596" t="s">
        <v>516</v>
      </c>
      <c r="L596" t="s">
        <v>586</v>
      </c>
      <c r="M596" t="s">
        <v>617</v>
      </c>
      <c r="N596" t="s">
        <v>601</v>
      </c>
    </row>
    <row r="597" spans="1:14" x14ac:dyDescent="0.25">
      <c r="A597" t="s">
        <v>19</v>
      </c>
      <c r="B597" t="s">
        <v>136</v>
      </c>
      <c r="C597" t="s">
        <v>278</v>
      </c>
      <c r="D597" t="s">
        <v>424</v>
      </c>
      <c r="F597" t="s">
        <v>445</v>
      </c>
      <c r="G597" t="str">
        <f>HYPERLINK("https://ca.linkedin.com/jobs/view/data-analyst-operations-at-sonder-inc-3229442908?refId=PaixyzPZJO8JXgPbNRGIfw%3D%3D&amp;trackingId=Hf0oinVbhUDO5JdljllBpw%3D%3D&amp;position=21&amp;pageNum=0&amp;trk=public_jobs_jserp-result_search-card", "Job Link")</f>
        <v>Job Link</v>
      </c>
      <c r="H597" t="s">
        <v>476</v>
      </c>
      <c r="I597" t="s">
        <v>481</v>
      </c>
      <c r="J597" t="s">
        <v>486</v>
      </c>
      <c r="K597" t="s">
        <v>529</v>
      </c>
      <c r="L597" t="s">
        <v>582</v>
      </c>
      <c r="M597" t="s">
        <v>588</v>
      </c>
      <c r="N597" t="s">
        <v>601</v>
      </c>
    </row>
    <row r="598" spans="1:14" x14ac:dyDescent="0.25">
      <c r="A598" t="s">
        <v>20</v>
      </c>
      <c r="B598" t="s">
        <v>137</v>
      </c>
      <c r="C598" t="s">
        <v>279</v>
      </c>
      <c r="D598" t="s">
        <v>424</v>
      </c>
      <c r="F598" t="s">
        <v>446</v>
      </c>
      <c r="G598" t="str">
        <f>HYPERLINK("https://ca.linkedin.com/jobs/view/senior-data-analyst-at-mueller-water-products-3122544636?refId=PaixyzPZJO8JXgPbNRGIfw%3D%3D&amp;trackingId=KqZ3aWvx7OC2BhujdFUIDg%3D%3D&amp;position=22&amp;pageNum=0&amp;trk=public_jobs_jserp-result_search-card", "Job Link")</f>
        <v>Job Link</v>
      </c>
      <c r="H598" t="s">
        <v>478</v>
      </c>
      <c r="I598" t="s">
        <v>481</v>
      </c>
      <c r="J598" t="s">
        <v>486</v>
      </c>
      <c r="K598" t="s">
        <v>530</v>
      </c>
      <c r="L598" t="s">
        <v>582</v>
      </c>
      <c r="M598" t="s">
        <v>588</v>
      </c>
      <c r="N598" t="s">
        <v>601</v>
      </c>
    </row>
    <row r="599" spans="1:14" x14ac:dyDescent="0.25">
      <c r="A599" t="s">
        <v>21</v>
      </c>
      <c r="B599" t="s">
        <v>138</v>
      </c>
      <c r="C599" t="s">
        <v>280</v>
      </c>
      <c r="D599" t="s">
        <v>424</v>
      </c>
      <c r="F599" t="s">
        <v>447</v>
      </c>
      <c r="G599" t="str">
        <f>HYPERLINK("https://ca.linkedin.com/jobs/view/data-entry-jr-analyst-6-month-contract-at-csl-group-ltd-3323214993?refId=PaixyzPZJO8JXgPbNRGIfw%3D%3D&amp;trackingId=euq%2F7PJQh%2FkhTjaPQiJP0g%3D%3D&amp;position=23&amp;pageNum=0&amp;trk=public_jobs_jserp-result_search-card", "Job Link")</f>
        <v>Job Link</v>
      </c>
      <c r="H599" t="s">
        <v>476</v>
      </c>
      <c r="I599" t="s">
        <v>484</v>
      </c>
      <c r="J599" t="s">
        <v>489</v>
      </c>
      <c r="K599" t="s">
        <v>531</v>
      </c>
      <c r="L599" t="s">
        <v>593</v>
      </c>
      <c r="M599" t="s">
        <v>588</v>
      </c>
      <c r="N599" t="s">
        <v>601</v>
      </c>
    </row>
    <row r="600" spans="1:14" x14ac:dyDescent="0.25">
      <c r="A600" t="s">
        <v>22</v>
      </c>
      <c r="B600" t="s">
        <v>139</v>
      </c>
      <c r="C600" t="s">
        <v>281</v>
      </c>
      <c r="D600" t="s">
        <v>424</v>
      </c>
      <c r="F600" t="s">
        <v>435</v>
      </c>
      <c r="G600" t="str">
        <f>HYPERLINK("https://ca.linkedin.com/jobs/view/quality-data-analyst-at-lululemon-3341634874?refId=PaixyzPZJO8JXgPbNRGIfw%3D%3D&amp;trackingId=eTGCKnKdAdLjhjgzMwEFkQ%3D%3D&amp;position=24&amp;pageNum=0&amp;trk=public_jobs_jserp-result_search-card", "Job Link")</f>
        <v>Job Link</v>
      </c>
      <c r="H600" t="s">
        <v>476</v>
      </c>
      <c r="I600" t="s">
        <v>481</v>
      </c>
      <c r="J600" t="s">
        <v>486</v>
      </c>
      <c r="K600" t="s">
        <v>532</v>
      </c>
      <c r="L600" t="s">
        <v>590</v>
      </c>
      <c r="M600" t="s">
        <v>618</v>
      </c>
      <c r="N600" t="s">
        <v>601</v>
      </c>
    </row>
    <row r="601" spans="1:14" x14ac:dyDescent="0.25">
      <c r="A601" t="s">
        <v>14</v>
      </c>
      <c r="B601" t="s">
        <v>140</v>
      </c>
      <c r="C601" t="s">
        <v>282</v>
      </c>
      <c r="D601" t="s">
        <v>424</v>
      </c>
      <c r="F601" t="s">
        <v>440</v>
      </c>
      <c r="G601" t="str">
        <f>HYPERLINK("https://ca.linkedin.com/jobs/view/data-analyst-at-scotiabank-3365406993?refId=PaixyzPZJO8JXgPbNRGIfw%3D%3D&amp;trackingId=yRG5VndjfLCEjZfCT2n0KA%3D%3D&amp;position=25&amp;pageNum=0&amp;trk=public_jobs_jserp-result_search-card", "Job Link")</f>
        <v>Job Link</v>
      </c>
      <c r="H601" t="s">
        <v>479</v>
      </c>
      <c r="I601" t="s">
        <v>481</v>
      </c>
      <c r="J601" t="s">
        <v>486</v>
      </c>
      <c r="K601" t="s">
        <v>533</v>
      </c>
      <c r="L601" t="s">
        <v>582</v>
      </c>
      <c r="M601" t="s">
        <v>588</v>
      </c>
      <c r="N601" t="s">
        <v>601</v>
      </c>
    </row>
    <row r="602" spans="1:14" x14ac:dyDescent="0.25">
      <c r="A602" t="s">
        <v>14</v>
      </c>
      <c r="B602" t="s">
        <v>118</v>
      </c>
      <c r="C602" t="s">
        <v>258</v>
      </c>
      <c r="D602" t="s">
        <v>424</v>
      </c>
      <c r="F602" t="s">
        <v>430</v>
      </c>
      <c r="G602" t="str">
        <f>HYPERLINK("https://ca.linkedin.com/jobs/view/data-analyst-at-axonify-3324670516?refId=VpYvXJqH6T1NzwVZO81w%2Fw%3D%3D&amp;trackingId=tJO7LHODvPehmrsLhayzrA%3D%3D&amp;position=1&amp;pageNum=0&amp;trk=public_jobs_jserp-result_search-card", "Job Link")</f>
        <v>Job Link</v>
      </c>
      <c r="H602" t="s">
        <v>476</v>
      </c>
      <c r="I602" t="s">
        <v>481</v>
      </c>
      <c r="J602" t="s">
        <v>486</v>
      </c>
      <c r="K602" t="s">
        <v>516</v>
      </c>
      <c r="L602" t="s">
        <v>581</v>
      </c>
      <c r="M602" t="s">
        <v>588</v>
      </c>
      <c r="N602" t="s">
        <v>601</v>
      </c>
    </row>
    <row r="603" spans="1:14" x14ac:dyDescent="0.25">
      <c r="A603" t="s">
        <v>14</v>
      </c>
      <c r="B603" t="s">
        <v>119</v>
      </c>
      <c r="C603" t="s">
        <v>259</v>
      </c>
      <c r="D603" t="s">
        <v>424</v>
      </c>
      <c r="F603" t="s">
        <v>431</v>
      </c>
      <c r="G603" t="str">
        <f>HYPERLINK("https://ca.linkedin.com/jobs/view/data-analyst-at-b3-systems-3361794123?refId=VpYvXJqH6T1NzwVZO81w%2Fw%3D%3D&amp;trackingId=TyUGYUwskrddQHSwfW9HMA%3D%3D&amp;position=2&amp;pageNum=0&amp;trk=public_jobs_jserp-result_search-card", "Job Link")</f>
        <v>Job Link</v>
      </c>
      <c r="I603" t="s">
        <v>481</v>
      </c>
      <c r="L603" t="s">
        <v>582</v>
      </c>
      <c r="M603" t="s">
        <v>588</v>
      </c>
      <c r="N603" t="s">
        <v>601</v>
      </c>
    </row>
    <row r="604" spans="1:14" x14ac:dyDescent="0.25">
      <c r="A604" t="s">
        <v>14</v>
      </c>
      <c r="B604" t="s">
        <v>120</v>
      </c>
      <c r="C604" t="s">
        <v>260</v>
      </c>
      <c r="D604" t="s">
        <v>424</v>
      </c>
      <c r="F604" t="s">
        <v>431</v>
      </c>
      <c r="G604" t="str">
        <f>HYPERLINK("https://ca.linkedin.com/jobs/view/data-analyst-at-wood-mackenzie-3271782079?refId=VpYvXJqH6T1NzwVZO81w%2Fw%3D%3D&amp;trackingId=jeljZ%2FuuFi3c9QXEngjtZQ%3D%3D&amp;position=3&amp;pageNum=0&amp;trk=public_jobs_jserp-result_search-card", "Job Link")</f>
        <v>Job Link</v>
      </c>
      <c r="H604" t="s">
        <v>477</v>
      </c>
      <c r="I604" t="s">
        <v>481</v>
      </c>
      <c r="J604" t="s">
        <v>487</v>
      </c>
      <c r="K604" t="s">
        <v>517</v>
      </c>
      <c r="L604" t="s">
        <v>583</v>
      </c>
      <c r="M604" t="s">
        <v>610</v>
      </c>
      <c r="N604" t="s">
        <v>601</v>
      </c>
    </row>
    <row r="605" spans="1:14" x14ac:dyDescent="0.25">
      <c r="A605" t="s">
        <v>14</v>
      </c>
      <c r="B605" t="s">
        <v>121</v>
      </c>
      <c r="C605" t="s">
        <v>261</v>
      </c>
      <c r="D605" t="s">
        <v>424</v>
      </c>
      <c r="F605" t="s">
        <v>432</v>
      </c>
      <c r="G605" t="str">
        <f>HYPERLINK("https://ca.linkedin.com/jobs/view/data-analyst-at-loft-community-services-3364383026?refId=VpYvXJqH6T1NzwVZO81w%2Fw%3D%3D&amp;trackingId=JNfM4o3TOS%2BOH8HD%2FmuJng%3D%3D&amp;position=4&amp;pageNum=0&amp;trk=public_jobs_jserp-result_search-card", "Job Link")</f>
        <v>Job Link</v>
      </c>
      <c r="I605" t="s">
        <v>482</v>
      </c>
      <c r="L605" t="s">
        <v>582</v>
      </c>
      <c r="M605" t="s">
        <v>588</v>
      </c>
      <c r="N605" t="s">
        <v>601</v>
      </c>
    </row>
    <row r="606" spans="1:14" x14ac:dyDescent="0.25">
      <c r="A606" t="s">
        <v>14</v>
      </c>
      <c r="B606" t="s">
        <v>122</v>
      </c>
      <c r="C606" t="s">
        <v>262</v>
      </c>
      <c r="D606" t="s">
        <v>424</v>
      </c>
      <c r="F606" t="s">
        <v>433</v>
      </c>
      <c r="G606" t="str">
        <f>HYPERLINK("https://ca.linkedin.com/jobs/view/data-analyst-at-nam-info-inc-3351590976?refId=VpYvXJqH6T1NzwVZO81w%2Fw%3D%3D&amp;trackingId=Yq%2B3DfA70pBiJAgP8v7rlw%3D%3D&amp;position=5&amp;pageNum=0&amp;trk=public_jobs_jserp-result_search-card", "Job Link")</f>
        <v>Job Link</v>
      </c>
      <c r="H606" t="s">
        <v>478</v>
      </c>
      <c r="I606" t="s">
        <v>483</v>
      </c>
      <c r="J606" t="s">
        <v>486</v>
      </c>
      <c r="K606" t="s">
        <v>518</v>
      </c>
      <c r="L606" t="s">
        <v>582</v>
      </c>
      <c r="M606" t="s">
        <v>588</v>
      </c>
      <c r="N606" t="s">
        <v>601</v>
      </c>
    </row>
    <row r="607" spans="1:14" x14ac:dyDescent="0.25">
      <c r="A607" t="s">
        <v>14</v>
      </c>
      <c r="B607" t="s">
        <v>123</v>
      </c>
      <c r="C607" t="s">
        <v>263</v>
      </c>
      <c r="D607" t="s">
        <v>424</v>
      </c>
      <c r="F607" t="s">
        <v>434</v>
      </c>
      <c r="G607" t="str">
        <f>HYPERLINK("https://ca.linkedin.com/jobs/view/data-analyst-at-citi-3263096865?refId=VpYvXJqH6T1NzwVZO81w%2Fw%3D%3D&amp;trackingId=Ca3ppqRzaad6LNdyB4E6hA%3D%3D&amp;position=6&amp;pageNum=0&amp;trk=public_jobs_jserp-result_search-card", "Job Link")</f>
        <v>Job Link</v>
      </c>
      <c r="H607" t="s">
        <v>479</v>
      </c>
      <c r="I607" t="s">
        <v>481</v>
      </c>
      <c r="J607" t="s">
        <v>486</v>
      </c>
      <c r="K607" t="s">
        <v>519</v>
      </c>
      <c r="L607" t="s">
        <v>584</v>
      </c>
      <c r="M607" t="s">
        <v>588</v>
      </c>
      <c r="N607" t="s">
        <v>601</v>
      </c>
    </row>
    <row r="608" spans="1:14" x14ac:dyDescent="0.25">
      <c r="A608" t="s">
        <v>19</v>
      </c>
      <c r="B608" t="s">
        <v>136</v>
      </c>
      <c r="C608" t="s">
        <v>278</v>
      </c>
      <c r="D608" t="s">
        <v>424</v>
      </c>
      <c r="F608" t="s">
        <v>445</v>
      </c>
      <c r="G608" t="str">
        <f>HYPERLINK("https://ca.linkedin.com/jobs/view/data-analyst-operations-at-sonder-inc-3229442908?refId=VpYvXJqH6T1NzwVZO81w%2Fw%3D%3D&amp;trackingId=40hb9TOVRYuFEb60u6i85Q%3D%3D&amp;position=7&amp;pageNum=0&amp;trk=public_jobs_jserp-result_search-card", "Job Link")</f>
        <v>Job Link</v>
      </c>
      <c r="H608" t="s">
        <v>476</v>
      </c>
      <c r="I608" t="s">
        <v>481</v>
      </c>
      <c r="J608" t="s">
        <v>486</v>
      </c>
      <c r="K608" t="s">
        <v>529</v>
      </c>
      <c r="L608" t="s">
        <v>582</v>
      </c>
      <c r="M608" t="s">
        <v>588</v>
      </c>
      <c r="N608" t="s">
        <v>601</v>
      </c>
    </row>
    <row r="609" spans="1:14" x14ac:dyDescent="0.25">
      <c r="A609" t="s">
        <v>14</v>
      </c>
      <c r="B609" t="s">
        <v>124</v>
      </c>
      <c r="C609" t="s">
        <v>264</v>
      </c>
      <c r="D609" t="s">
        <v>424</v>
      </c>
      <c r="F609" t="s">
        <v>435</v>
      </c>
      <c r="G609" t="str">
        <f>HYPERLINK("https://ca.linkedin.com/jobs/view/data-analyst-at-king-s-college-london-3335332409?refId=VpYvXJqH6T1NzwVZO81w%2Fw%3D%3D&amp;trackingId=Hos6ELAEjGPWKg4qUDYMJg%3D%3D&amp;position=8&amp;pageNum=0&amp;trk=public_jobs_jserp-result_search-card", "Job Link")</f>
        <v>Job Link</v>
      </c>
      <c r="H609" t="s">
        <v>476</v>
      </c>
      <c r="I609" t="s">
        <v>481</v>
      </c>
      <c r="J609" t="s">
        <v>486</v>
      </c>
      <c r="K609" t="s">
        <v>520</v>
      </c>
      <c r="L609" t="s">
        <v>585</v>
      </c>
      <c r="M609" t="s">
        <v>588</v>
      </c>
      <c r="N609" t="s">
        <v>601</v>
      </c>
    </row>
    <row r="610" spans="1:14" x14ac:dyDescent="0.25">
      <c r="A610" t="s">
        <v>15</v>
      </c>
      <c r="B610" t="s">
        <v>125</v>
      </c>
      <c r="C610" t="s">
        <v>265</v>
      </c>
      <c r="D610" t="s">
        <v>424</v>
      </c>
      <c r="F610" t="s">
        <v>431</v>
      </c>
      <c r="G610" t="str">
        <f>HYPERLINK("https://ca.linkedin.com/jobs/view/data-analyst-remote-at-cognizant-microsoft-business-group-3333618510?refId=VpYvXJqH6T1NzwVZO81w%2Fw%3D%3D&amp;trackingId=mckDXvoPEqZ21Q44jDV6FA%3D%3D&amp;position=9&amp;pageNum=0&amp;trk=public_jobs_jserp-result_search-card", "Job Link")</f>
        <v>Job Link</v>
      </c>
      <c r="H610" t="s">
        <v>476</v>
      </c>
      <c r="I610" t="s">
        <v>481</v>
      </c>
      <c r="J610" t="s">
        <v>486</v>
      </c>
      <c r="K610" t="s">
        <v>521</v>
      </c>
      <c r="L610" t="s">
        <v>582</v>
      </c>
      <c r="M610" t="s">
        <v>588</v>
      </c>
      <c r="N610" t="s">
        <v>601</v>
      </c>
    </row>
    <row r="611" spans="1:14" x14ac:dyDescent="0.25">
      <c r="A611" t="s">
        <v>16</v>
      </c>
      <c r="B611" t="s">
        <v>126</v>
      </c>
      <c r="C611" t="s">
        <v>266</v>
      </c>
      <c r="D611" t="s">
        <v>424</v>
      </c>
      <c r="F611" t="s">
        <v>436</v>
      </c>
      <c r="G611" t="str">
        <f>HYPERLINK("https://ca.linkedin.com/jobs/view/data-analyst-loans-at-tata-consultancy-services-3344804680?refId=VpYvXJqH6T1NzwVZO81w%2Fw%3D%3D&amp;trackingId=PZBXoYMj565qupGR%2FNItbw%3D%3D&amp;position=10&amp;pageNum=0&amp;trk=public_jobs_jserp-result_search-card", "Job Link")</f>
        <v>Job Link</v>
      </c>
      <c r="H611" t="s">
        <v>477</v>
      </c>
      <c r="I611" t="s">
        <v>481</v>
      </c>
      <c r="J611" t="s">
        <v>486</v>
      </c>
      <c r="K611" t="s">
        <v>517</v>
      </c>
      <c r="L611" t="s">
        <v>584</v>
      </c>
      <c r="M611" t="s">
        <v>588</v>
      </c>
      <c r="N611" t="s">
        <v>601</v>
      </c>
    </row>
    <row r="612" spans="1:14" x14ac:dyDescent="0.25">
      <c r="A612" t="s">
        <v>14</v>
      </c>
      <c r="B612" t="s">
        <v>127</v>
      </c>
      <c r="C612" t="s">
        <v>267</v>
      </c>
      <c r="D612" t="s">
        <v>424</v>
      </c>
      <c r="F612" t="s">
        <v>437</v>
      </c>
      <c r="G612" t="str">
        <f>HYPERLINK("https://ca.linkedin.com/jobs/view/data-analyst-at-vubiquity-3365112221?refId=VpYvXJqH6T1NzwVZO81w%2Fw%3D%3D&amp;trackingId=INgd1wOoMSS4gdR2fOj32g%3D%3D&amp;position=11&amp;pageNum=0&amp;trk=public_jobs_jserp-result_search-card", "Job Link")</f>
        <v>Job Link</v>
      </c>
      <c r="H612" t="s">
        <v>476</v>
      </c>
      <c r="I612" t="s">
        <v>481</v>
      </c>
      <c r="J612" t="s">
        <v>486</v>
      </c>
      <c r="K612" t="s">
        <v>522</v>
      </c>
      <c r="L612" t="s">
        <v>582</v>
      </c>
      <c r="M612" t="s">
        <v>588</v>
      </c>
      <c r="N612" t="s">
        <v>601</v>
      </c>
    </row>
    <row r="613" spans="1:14" x14ac:dyDescent="0.25">
      <c r="A613" t="s">
        <v>14</v>
      </c>
      <c r="B613" t="s">
        <v>129</v>
      </c>
      <c r="C613" t="s">
        <v>270</v>
      </c>
      <c r="D613" t="s">
        <v>424</v>
      </c>
      <c r="F613" t="s">
        <v>440</v>
      </c>
      <c r="G613" t="str">
        <f>HYPERLINK("https://ca.linkedin.com/jobs/view/data-analyst-at-agricorp-3364433441?refId=VpYvXJqH6T1NzwVZO81w%2Fw%3D%3D&amp;trackingId=s9DrbrWqq12q%2BoWzZVGtAQ%3D%3D&amp;position=12&amp;pageNum=0&amp;trk=public_jobs_jserp-result_search-card", "Job Link")</f>
        <v>Job Link</v>
      </c>
      <c r="H613" t="s">
        <v>476</v>
      </c>
      <c r="I613" t="s">
        <v>481</v>
      </c>
      <c r="J613" t="s">
        <v>486</v>
      </c>
      <c r="K613" t="s">
        <v>523</v>
      </c>
      <c r="L613" t="s">
        <v>587</v>
      </c>
      <c r="M613" t="s">
        <v>588</v>
      </c>
      <c r="N613" t="s">
        <v>601</v>
      </c>
    </row>
    <row r="614" spans="1:14" x14ac:dyDescent="0.25">
      <c r="A614" t="s">
        <v>17</v>
      </c>
      <c r="B614" t="s">
        <v>123</v>
      </c>
      <c r="C614" t="s">
        <v>268</v>
      </c>
      <c r="D614" t="s">
        <v>424</v>
      </c>
      <c r="F614" t="s">
        <v>438</v>
      </c>
      <c r="G614" t="str">
        <f>HYPERLINK("https://ca.linkedin.com/jobs/view/data-analyst-developer-at-citi-3322089923?refId=VpYvXJqH6T1NzwVZO81w%2Fw%3D%3D&amp;trackingId=86B1PfSoJQjW4%2BYvJyGYsg%3D%3D&amp;position=13&amp;pageNum=0&amp;trk=public_jobs_jserp-result_search-card", "Job Link")</f>
        <v>Job Link</v>
      </c>
      <c r="H614" t="s">
        <v>479</v>
      </c>
      <c r="I614" t="s">
        <v>481</v>
      </c>
      <c r="J614" t="s">
        <v>486</v>
      </c>
      <c r="K614" t="s">
        <v>519</v>
      </c>
      <c r="L614" t="s">
        <v>584</v>
      </c>
      <c r="M614" t="s">
        <v>588</v>
      </c>
      <c r="N614" t="s">
        <v>601</v>
      </c>
    </row>
    <row r="615" spans="1:14" x14ac:dyDescent="0.25">
      <c r="A615" t="s">
        <v>14</v>
      </c>
      <c r="B615" t="s">
        <v>128</v>
      </c>
      <c r="C615" t="s">
        <v>269</v>
      </c>
      <c r="D615" t="s">
        <v>424</v>
      </c>
      <c r="F615" t="s">
        <v>439</v>
      </c>
      <c r="G615" t="str">
        <f>HYPERLINK("https://ca.linkedin.com/jobs/view/data-analyst-at-diverse-lynx-3363377240?refId=VpYvXJqH6T1NzwVZO81w%2Fw%3D%3D&amp;trackingId=KPPPwKU5wh51mvaDZhckzw%3D%3D&amp;position=14&amp;pageNum=0&amp;trk=public_jobs_jserp-result_search-card", "Job Link")</f>
        <v>Job Link</v>
      </c>
      <c r="H615" t="s">
        <v>476</v>
      </c>
      <c r="I615" t="s">
        <v>481</v>
      </c>
      <c r="J615" t="s">
        <v>486</v>
      </c>
      <c r="K615" t="s">
        <v>516</v>
      </c>
      <c r="L615" t="s">
        <v>586</v>
      </c>
      <c r="M615" t="s">
        <v>617</v>
      </c>
      <c r="N615" t="s">
        <v>601</v>
      </c>
    </row>
    <row r="616" spans="1:14" x14ac:dyDescent="0.25">
      <c r="A616" t="s">
        <v>14</v>
      </c>
      <c r="B616" t="s">
        <v>128</v>
      </c>
      <c r="C616" t="s">
        <v>277</v>
      </c>
      <c r="D616" t="s">
        <v>424</v>
      </c>
      <c r="F616" t="s">
        <v>439</v>
      </c>
      <c r="G616" t="str">
        <f>HYPERLINK("https://ca.linkedin.com/jobs/view/data-analyst-at-diverse-lynx-3363374746?refId=VpYvXJqH6T1NzwVZO81w%2Fw%3D%3D&amp;trackingId=uGzYJsCp8hk7VO6orywqrg%3D%3D&amp;position=15&amp;pageNum=0&amp;trk=public_jobs_jserp-result_search-card", "Job Link")</f>
        <v>Job Link</v>
      </c>
      <c r="H616" t="s">
        <v>476</v>
      </c>
      <c r="I616" t="s">
        <v>481</v>
      </c>
      <c r="J616" t="s">
        <v>486</v>
      </c>
      <c r="K616" t="s">
        <v>516</v>
      </c>
      <c r="L616" t="s">
        <v>586</v>
      </c>
      <c r="M616" t="s">
        <v>617</v>
      </c>
      <c r="N616" t="s">
        <v>601</v>
      </c>
    </row>
    <row r="617" spans="1:14" x14ac:dyDescent="0.25">
      <c r="A617" t="s">
        <v>18</v>
      </c>
      <c r="B617" t="s">
        <v>130</v>
      </c>
      <c r="C617" t="s">
        <v>271</v>
      </c>
      <c r="D617" t="s">
        <v>424</v>
      </c>
      <c r="F617" t="s">
        <v>441</v>
      </c>
      <c r="G617" t="str">
        <f>HYPERLINK("https://ca.linkedin.com/jobs/view/junior-data-analyst-mississauga-on-at-arjo-3323264354?refId=VpYvXJqH6T1NzwVZO81w%2Fw%3D%3D&amp;trackingId=v070sV8Kzayns6Z06csmEQ%3D%3D&amp;position=16&amp;pageNum=0&amp;trk=public_jobs_jserp-result_search-card", "Job Link")</f>
        <v>Job Link</v>
      </c>
      <c r="H617" t="s">
        <v>479</v>
      </c>
      <c r="I617" t="s">
        <v>481</v>
      </c>
      <c r="J617" t="s">
        <v>486</v>
      </c>
      <c r="K617" t="s">
        <v>524</v>
      </c>
      <c r="L617" t="s">
        <v>588</v>
      </c>
      <c r="M617" t="s">
        <v>601</v>
      </c>
    </row>
    <row r="618" spans="1:14" x14ac:dyDescent="0.25">
      <c r="A618" t="s">
        <v>14</v>
      </c>
      <c r="B618" t="s">
        <v>131</v>
      </c>
      <c r="C618" t="s">
        <v>272</v>
      </c>
      <c r="D618" t="s">
        <v>424</v>
      </c>
      <c r="F618" t="s">
        <v>442</v>
      </c>
      <c r="G618" t="str">
        <f>HYPERLINK("https://ca.linkedin.com/jobs/view/data-analyst-at-westland-insurance-group-ltd-3345807760?refId=VpYvXJqH6T1NzwVZO81w%2Fw%3D%3D&amp;trackingId=phsc9VQj%2FjNvI2F%2FP7sTiQ%3D%3D&amp;position=17&amp;pageNum=0&amp;trk=public_jobs_jserp-result_search-card", "Job Link")</f>
        <v>Job Link</v>
      </c>
      <c r="H618" t="s">
        <v>476</v>
      </c>
      <c r="I618" t="s">
        <v>481</v>
      </c>
      <c r="J618" t="s">
        <v>486</v>
      </c>
      <c r="K618" t="s">
        <v>525</v>
      </c>
      <c r="L618" t="s">
        <v>589</v>
      </c>
      <c r="M618" t="s">
        <v>618</v>
      </c>
      <c r="N618" t="s">
        <v>601</v>
      </c>
    </row>
    <row r="619" spans="1:14" x14ac:dyDescent="0.25">
      <c r="A619" t="s">
        <v>14</v>
      </c>
      <c r="B619" t="s">
        <v>132</v>
      </c>
      <c r="C619" t="s">
        <v>273</v>
      </c>
      <c r="D619" t="s">
        <v>424</v>
      </c>
      <c r="F619" t="s">
        <v>443</v>
      </c>
      <c r="G619" t="str">
        <f>HYPERLINK("https://ca.linkedin.com/jobs/view/data-analyst-at-fasken-3365947704?refId=VpYvXJqH6T1NzwVZO81w%2Fw%3D%3D&amp;trackingId=iZ2CATxKPUA5ZtAh1uUGsQ%3D%3D&amp;position=18&amp;pageNum=0&amp;trk=public_jobs_jserp-result_search-card", "Job Link")</f>
        <v>Job Link</v>
      </c>
      <c r="H619" t="s">
        <v>476</v>
      </c>
      <c r="I619" t="s">
        <v>481</v>
      </c>
      <c r="J619" t="s">
        <v>486</v>
      </c>
      <c r="K619" t="s">
        <v>526</v>
      </c>
      <c r="L619" t="s">
        <v>590</v>
      </c>
      <c r="M619" t="s">
        <v>618</v>
      </c>
      <c r="N619" t="s">
        <v>601</v>
      </c>
    </row>
    <row r="620" spans="1:14" x14ac:dyDescent="0.25">
      <c r="A620" t="s">
        <v>14</v>
      </c>
      <c r="B620" t="s">
        <v>133</v>
      </c>
      <c r="C620" t="s">
        <v>274</v>
      </c>
      <c r="D620" t="s">
        <v>424</v>
      </c>
      <c r="F620" t="s">
        <v>434</v>
      </c>
      <c r="G620" t="str">
        <f>HYPERLINK("https://ca.linkedin.com/jobs/view/data-analyst-at-momentum-financial-services-group-3355811523?refId=VpYvXJqH6T1NzwVZO81w%2Fw%3D%3D&amp;trackingId=3em3OUv%2FaNxUyGS0xocjLg%3D%3D&amp;position=19&amp;pageNum=0&amp;trk=public_jobs_jserp-result_search-card", "Job Link")</f>
        <v>Job Link</v>
      </c>
      <c r="H620" t="s">
        <v>476</v>
      </c>
      <c r="I620" t="s">
        <v>481</v>
      </c>
      <c r="J620" t="s">
        <v>486</v>
      </c>
      <c r="K620" t="s">
        <v>527</v>
      </c>
      <c r="L620" t="s">
        <v>582</v>
      </c>
      <c r="M620" t="s">
        <v>588</v>
      </c>
      <c r="N620" t="s">
        <v>601</v>
      </c>
    </row>
    <row r="621" spans="1:14" x14ac:dyDescent="0.25">
      <c r="A621" t="s">
        <v>14</v>
      </c>
      <c r="B621" t="s">
        <v>134</v>
      </c>
      <c r="C621" t="s">
        <v>275</v>
      </c>
      <c r="D621" t="s">
        <v>424</v>
      </c>
      <c r="F621" t="s">
        <v>444</v>
      </c>
      <c r="G621" t="str">
        <f>HYPERLINK("https://ca.linkedin.com/jobs/view/data-analyst-at-tes-the-employment-solution-3322589522?refId=VpYvXJqH6T1NzwVZO81w%2Fw%3D%3D&amp;trackingId=M50T%2F4A7Uuoeq8VrkZMJRA%3D%3D&amp;position=20&amp;pageNum=0&amp;trk=public_jobs_jserp-result_search-card", "Job Link")</f>
        <v>Job Link</v>
      </c>
      <c r="H621" t="s">
        <v>476</v>
      </c>
      <c r="I621" t="s">
        <v>483</v>
      </c>
      <c r="J621" t="s">
        <v>486</v>
      </c>
      <c r="K621" t="s">
        <v>525</v>
      </c>
      <c r="L621" t="s">
        <v>591</v>
      </c>
      <c r="M621" t="s">
        <v>588</v>
      </c>
      <c r="N621" t="s">
        <v>601</v>
      </c>
    </row>
    <row r="622" spans="1:14" x14ac:dyDescent="0.25">
      <c r="A622" t="s">
        <v>14</v>
      </c>
      <c r="B622" t="s">
        <v>135</v>
      </c>
      <c r="C622" t="s">
        <v>276</v>
      </c>
      <c r="D622" t="s">
        <v>424</v>
      </c>
      <c r="F622" t="s">
        <v>440</v>
      </c>
      <c r="G622" t="str">
        <f>HYPERLINK("https://ca.linkedin.com/jobs/view/data-analyst-at-magna-international-3370822450?refId=VpYvXJqH6T1NzwVZO81w%2Fw%3D%3D&amp;trackingId=Tum5NR9B0wOGIxmDETVtLw%3D%3D&amp;position=21&amp;pageNum=0&amp;trk=public_jobs_jserp-result_search-card", "Job Link")</f>
        <v>Job Link</v>
      </c>
      <c r="H622" t="s">
        <v>476</v>
      </c>
      <c r="I622" t="s">
        <v>481</v>
      </c>
      <c r="J622" t="s">
        <v>488</v>
      </c>
      <c r="K622" t="s">
        <v>528</v>
      </c>
      <c r="L622" t="s">
        <v>592</v>
      </c>
      <c r="M622" t="s">
        <v>588</v>
      </c>
      <c r="N622" t="s">
        <v>601</v>
      </c>
    </row>
    <row r="623" spans="1:14" x14ac:dyDescent="0.25">
      <c r="A623" t="s">
        <v>20</v>
      </c>
      <c r="B623" t="s">
        <v>137</v>
      </c>
      <c r="C623" t="s">
        <v>279</v>
      </c>
      <c r="D623" t="s">
        <v>424</v>
      </c>
      <c r="F623" t="s">
        <v>446</v>
      </c>
      <c r="G623" t="str">
        <f>HYPERLINK("https://ca.linkedin.com/jobs/view/senior-data-analyst-at-mueller-water-products-3122544636?refId=VpYvXJqH6T1NzwVZO81w%2Fw%3D%3D&amp;trackingId=sGTfQRdhml3smw3GVs50ag%3D%3D&amp;position=22&amp;pageNum=0&amp;trk=public_jobs_jserp-result_search-card", "Job Link")</f>
        <v>Job Link</v>
      </c>
      <c r="H623" t="s">
        <v>478</v>
      </c>
      <c r="I623" t="s">
        <v>481</v>
      </c>
      <c r="J623" t="s">
        <v>486</v>
      </c>
      <c r="K623" t="s">
        <v>530</v>
      </c>
      <c r="L623" t="s">
        <v>582</v>
      </c>
      <c r="M623" t="s">
        <v>588</v>
      </c>
      <c r="N623" t="s">
        <v>601</v>
      </c>
    </row>
    <row r="624" spans="1:14" x14ac:dyDescent="0.25">
      <c r="A624" t="s">
        <v>21</v>
      </c>
      <c r="B624" t="s">
        <v>138</v>
      </c>
      <c r="C624" t="s">
        <v>280</v>
      </c>
      <c r="D624" t="s">
        <v>424</v>
      </c>
      <c r="F624" t="s">
        <v>447</v>
      </c>
      <c r="G624" t="str">
        <f>HYPERLINK("https://ca.linkedin.com/jobs/view/data-entry-jr-analyst-6-month-contract-at-csl-group-ltd-3323214993?refId=VpYvXJqH6T1NzwVZO81w%2Fw%3D%3D&amp;trackingId=ndYdR2qRF55%2F76uu%2FI%2FT9w%3D%3D&amp;position=23&amp;pageNum=0&amp;trk=public_jobs_jserp-result_search-card", "Job Link")</f>
        <v>Job Link</v>
      </c>
      <c r="H624" t="s">
        <v>476</v>
      </c>
      <c r="I624" t="s">
        <v>484</v>
      </c>
      <c r="J624" t="s">
        <v>489</v>
      </c>
      <c r="K624" t="s">
        <v>531</v>
      </c>
      <c r="L624" t="s">
        <v>593</v>
      </c>
      <c r="M624" t="s">
        <v>588</v>
      </c>
      <c r="N624" t="s">
        <v>601</v>
      </c>
    </row>
    <row r="625" spans="1:14" x14ac:dyDescent="0.25">
      <c r="A625" t="s">
        <v>14</v>
      </c>
      <c r="B625" t="s">
        <v>140</v>
      </c>
      <c r="C625" t="s">
        <v>282</v>
      </c>
      <c r="D625" t="s">
        <v>424</v>
      </c>
      <c r="F625" t="s">
        <v>440</v>
      </c>
      <c r="G625" t="str">
        <f>HYPERLINK("https://ca.linkedin.com/jobs/view/data-analyst-at-scotiabank-3365406993?refId=VpYvXJqH6T1NzwVZO81w%2Fw%3D%3D&amp;trackingId=xn%2B71mAGguTB%2B3R3fRZIEA%3D%3D&amp;position=24&amp;pageNum=0&amp;trk=public_jobs_jserp-result_search-card", "Job Link")</f>
        <v>Job Link</v>
      </c>
      <c r="H625" t="s">
        <v>479</v>
      </c>
      <c r="I625" t="s">
        <v>481</v>
      </c>
      <c r="J625" t="s">
        <v>486</v>
      </c>
      <c r="K625" t="s">
        <v>533</v>
      </c>
      <c r="L625" t="s">
        <v>582</v>
      </c>
      <c r="M625" t="s">
        <v>588</v>
      </c>
      <c r="N625" t="s">
        <v>601</v>
      </c>
    </row>
    <row r="626" spans="1:14" x14ac:dyDescent="0.25">
      <c r="A626" t="s">
        <v>22</v>
      </c>
      <c r="B626" t="s">
        <v>139</v>
      </c>
      <c r="C626" t="s">
        <v>281</v>
      </c>
      <c r="D626" t="s">
        <v>424</v>
      </c>
      <c r="F626" t="s">
        <v>435</v>
      </c>
      <c r="G626" t="str">
        <f>HYPERLINK("https://ca.linkedin.com/jobs/view/quality-data-analyst-at-lululemon-3341634874?refId=VpYvXJqH6T1NzwVZO81w%2Fw%3D%3D&amp;trackingId=%2Fqgv5o9T3BeTXbVrXAkJ%2Fg%3D%3D&amp;position=25&amp;pageNum=0&amp;trk=public_jobs_jserp-result_search-card", "Job Link")</f>
        <v>Job Link</v>
      </c>
      <c r="H626" t="s">
        <v>476</v>
      </c>
      <c r="I626" t="s">
        <v>481</v>
      </c>
      <c r="J626" t="s">
        <v>486</v>
      </c>
      <c r="K626" t="s">
        <v>532</v>
      </c>
      <c r="L626" t="s">
        <v>590</v>
      </c>
      <c r="M626" t="s">
        <v>618</v>
      </c>
      <c r="N626" t="s">
        <v>601</v>
      </c>
    </row>
    <row r="627" spans="1:14" x14ac:dyDescent="0.25">
      <c r="A627" t="s">
        <v>14</v>
      </c>
      <c r="B627" t="s">
        <v>118</v>
      </c>
      <c r="C627" t="s">
        <v>258</v>
      </c>
      <c r="D627" t="s">
        <v>424</v>
      </c>
      <c r="F627" t="s">
        <v>430</v>
      </c>
      <c r="G627" t="str">
        <f>HYPERLINK("https://ca.linkedin.com/jobs/view/data-analyst-at-axonify-3324670516?refId=ArORF%2BOlZSwvewafUxsYJg%3D%3D&amp;trackingId=gr%2Fetcoua7udPvURRf6Y%2Bw%3D%3D&amp;position=1&amp;pageNum=0&amp;trk=public_jobs_jserp-result_search-card", "Job Link")</f>
        <v>Job Link</v>
      </c>
      <c r="H627" t="s">
        <v>476</v>
      </c>
      <c r="I627" t="s">
        <v>481</v>
      </c>
      <c r="J627" t="s">
        <v>486</v>
      </c>
      <c r="K627" t="s">
        <v>516</v>
      </c>
      <c r="L627" t="s">
        <v>581</v>
      </c>
      <c r="M627" t="s">
        <v>588</v>
      </c>
      <c r="N627" t="s">
        <v>601</v>
      </c>
    </row>
    <row r="628" spans="1:14" x14ac:dyDescent="0.25">
      <c r="A628" t="s">
        <v>14</v>
      </c>
      <c r="B628" t="s">
        <v>119</v>
      </c>
      <c r="C628" t="s">
        <v>259</v>
      </c>
      <c r="D628" t="s">
        <v>424</v>
      </c>
      <c r="F628" t="s">
        <v>431</v>
      </c>
      <c r="G628" t="str">
        <f>HYPERLINK("https://ca.linkedin.com/jobs/view/data-analyst-at-b3-systems-3361794123?refId=ArORF%2BOlZSwvewafUxsYJg%3D%3D&amp;trackingId=VDifz%2F%2B9zGa4fZpZ46EANw%3D%3D&amp;position=2&amp;pageNum=0&amp;trk=public_jobs_jserp-result_search-card", "Job Link")</f>
        <v>Job Link</v>
      </c>
      <c r="I628" t="s">
        <v>481</v>
      </c>
      <c r="L628" t="s">
        <v>582</v>
      </c>
      <c r="M628" t="s">
        <v>588</v>
      </c>
      <c r="N628" t="s">
        <v>601</v>
      </c>
    </row>
    <row r="629" spans="1:14" x14ac:dyDescent="0.25">
      <c r="A629" t="s">
        <v>14</v>
      </c>
      <c r="B629" t="s">
        <v>120</v>
      </c>
      <c r="C629" t="s">
        <v>260</v>
      </c>
      <c r="D629" t="s">
        <v>424</v>
      </c>
      <c r="F629" t="s">
        <v>431</v>
      </c>
      <c r="G629" t="str">
        <f>HYPERLINK("https://ca.linkedin.com/jobs/view/data-analyst-at-wood-mackenzie-3271782079?refId=ArORF%2BOlZSwvewafUxsYJg%3D%3D&amp;trackingId=WEEZplZfuk%2FcBCWx0IR64A%3D%3D&amp;position=3&amp;pageNum=0&amp;trk=public_jobs_jserp-result_search-card", "Job Link")</f>
        <v>Job Link</v>
      </c>
      <c r="H629" t="s">
        <v>477</v>
      </c>
      <c r="I629" t="s">
        <v>481</v>
      </c>
      <c r="J629" t="s">
        <v>487</v>
      </c>
      <c r="K629" t="s">
        <v>517</v>
      </c>
      <c r="L629" t="s">
        <v>583</v>
      </c>
      <c r="M629" t="s">
        <v>610</v>
      </c>
      <c r="N629" t="s">
        <v>601</v>
      </c>
    </row>
    <row r="630" spans="1:14" x14ac:dyDescent="0.25">
      <c r="A630" t="s">
        <v>14</v>
      </c>
      <c r="B630" t="s">
        <v>121</v>
      </c>
      <c r="C630" t="s">
        <v>261</v>
      </c>
      <c r="D630" t="s">
        <v>424</v>
      </c>
      <c r="F630" t="s">
        <v>432</v>
      </c>
      <c r="G630" t="str">
        <f>HYPERLINK("https://ca.linkedin.com/jobs/view/data-analyst-at-loft-community-services-3364383026?refId=ArORF%2BOlZSwvewafUxsYJg%3D%3D&amp;trackingId=y5WGJ6VI7ubVhQlbUgQuvg%3D%3D&amp;position=4&amp;pageNum=0&amp;trk=public_jobs_jserp-result_search-card", "Job Link")</f>
        <v>Job Link</v>
      </c>
      <c r="I630" t="s">
        <v>482</v>
      </c>
      <c r="L630" t="s">
        <v>582</v>
      </c>
      <c r="M630" t="s">
        <v>588</v>
      </c>
      <c r="N630" t="s">
        <v>601</v>
      </c>
    </row>
    <row r="631" spans="1:14" x14ac:dyDescent="0.25">
      <c r="A631" t="s">
        <v>14</v>
      </c>
      <c r="B631" t="s">
        <v>122</v>
      </c>
      <c r="C631" t="s">
        <v>262</v>
      </c>
      <c r="D631" t="s">
        <v>424</v>
      </c>
      <c r="F631" t="s">
        <v>433</v>
      </c>
      <c r="G631" t="str">
        <f>HYPERLINK("https://ca.linkedin.com/jobs/view/data-analyst-at-nam-info-inc-3351590976?refId=ArORF%2BOlZSwvewafUxsYJg%3D%3D&amp;trackingId=6RNRFRu974gXwHadF6jIMg%3D%3D&amp;position=5&amp;pageNum=0&amp;trk=public_jobs_jserp-result_search-card", "Job Link")</f>
        <v>Job Link</v>
      </c>
      <c r="H631" t="s">
        <v>478</v>
      </c>
      <c r="I631" t="s">
        <v>483</v>
      </c>
      <c r="J631" t="s">
        <v>486</v>
      </c>
      <c r="K631" t="s">
        <v>518</v>
      </c>
      <c r="L631" t="s">
        <v>582</v>
      </c>
      <c r="M631" t="s">
        <v>588</v>
      </c>
      <c r="N631" t="s">
        <v>601</v>
      </c>
    </row>
    <row r="632" spans="1:14" x14ac:dyDescent="0.25">
      <c r="A632" t="s">
        <v>14</v>
      </c>
      <c r="B632" t="s">
        <v>123</v>
      </c>
      <c r="C632" t="s">
        <v>263</v>
      </c>
      <c r="D632" t="s">
        <v>424</v>
      </c>
      <c r="F632" t="s">
        <v>434</v>
      </c>
      <c r="G632" t="str">
        <f>HYPERLINK("https://ca.linkedin.com/jobs/view/data-analyst-at-citi-3263096865?refId=ArORF%2BOlZSwvewafUxsYJg%3D%3D&amp;trackingId=Jkj1FnZqar6O8Xj3hdVGMA%3D%3D&amp;position=6&amp;pageNum=0&amp;trk=public_jobs_jserp-result_search-card", "Job Link")</f>
        <v>Job Link</v>
      </c>
      <c r="H632" t="s">
        <v>479</v>
      </c>
      <c r="I632" t="s">
        <v>481</v>
      </c>
      <c r="J632" t="s">
        <v>486</v>
      </c>
      <c r="K632" t="s">
        <v>519</v>
      </c>
      <c r="L632" t="s">
        <v>584</v>
      </c>
      <c r="M632" t="s">
        <v>588</v>
      </c>
      <c r="N632" t="s">
        <v>601</v>
      </c>
    </row>
    <row r="633" spans="1:14" x14ac:dyDescent="0.25">
      <c r="A633" t="s">
        <v>14</v>
      </c>
      <c r="B633" t="s">
        <v>124</v>
      </c>
      <c r="C633" t="s">
        <v>264</v>
      </c>
      <c r="D633" t="s">
        <v>424</v>
      </c>
      <c r="F633" t="s">
        <v>435</v>
      </c>
      <c r="G633" t="str">
        <f>HYPERLINK("https://ca.linkedin.com/jobs/view/data-analyst-at-king-s-college-london-3335332409?refId=ArORF%2BOlZSwvewafUxsYJg%3D%3D&amp;trackingId=NSmxPvF05Jyy5yeFf0Lhog%3D%3D&amp;position=7&amp;pageNum=0&amp;trk=public_jobs_jserp-result_search-card", "Job Link")</f>
        <v>Job Link</v>
      </c>
      <c r="H633" t="s">
        <v>476</v>
      </c>
      <c r="I633" t="s">
        <v>481</v>
      </c>
      <c r="J633" t="s">
        <v>486</v>
      </c>
      <c r="K633" t="s">
        <v>520</v>
      </c>
      <c r="L633" t="s">
        <v>585</v>
      </c>
      <c r="M633" t="s">
        <v>588</v>
      </c>
      <c r="N633" t="s">
        <v>601</v>
      </c>
    </row>
    <row r="634" spans="1:14" x14ac:dyDescent="0.25">
      <c r="A634" t="s">
        <v>15</v>
      </c>
      <c r="B634" t="s">
        <v>125</v>
      </c>
      <c r="C634" t="s">
        <v>265</v>
      </c>
      <c r="D634" t="s">
        <v>424</v>
      </c>
      <c r="F634" t="s">
        <v>431</v>
      </c>
      <c r="G634" t="str">
        <f>HYPERLINK("https://ca.linkedin.com/jobs/view/data-analyst-remote-at-cognizant-microsoft-business-group-3333618510?refId=ArORF%2BOlZSwvewafUxsYJg%3D%3D&amp;trackingId=CKVcsrkS8JtTQSnjcax%2FHw%3D%3D&amp;position=8&amp;pageNum=0&amp;trk=public_jobs_jserp-result_search-card", "Job Link")</f>
        <v>Job Link</v>
      </c>
      <c r="H634" t="s">
        <v>476</v>
      </c>
      <c r="I634" t="s">
        <v>481</v>
      </c>
      <c r="J634" t="s">
        <v>486</v>
      </c>
      <c r="K634" t="s">
        <v>521</v>
      </c>
      <c r="L634" t="s">
        <v>582</v>
      </c>
      <c r="M634" t="s">
        <v>588</v>
      </c>
      <c r="N634" t="s">
        <v>601</v>
      </c>
    </row>
    <row r="635" spans="1:14" x14ac:dyDescent="0.25">
      <c r="A635" t="s">
        <v>16</v>
      </c>
      <c r="B635" t="s">
        <v>126</v>
      </c>
      <c r="C635" t="s">
        <v>266</v>
      </c>
      <c r="D635" t="s">
        <v>424</v>
      </c>
      <c r="F635" t="s">
        <v>436</v>
      </c>
      <c r="G635" t="str">
        <f>HYPERLINK("https://ca.linkedin.com/jobs/view/data-analyst-loans-at-tata-consultancy-services-3344804680?refId=ArORF%2BOlZSwvewafUxsYJg%3D%3D&amp;trackingId=clDOnI5vq37J1r8zqddfVg%3D%3D&amp;position=9&amp;pageNum=0&amp;trk=public_jobs_jserp-result_search-card", "Job Link")</f>
        <v>Job Link</v>
      </c>
      <c r="H635" t="s">
        <v>477</v>
      </c>
      <c r="I635" t="s">
        <v>481</v>
      </c>
      <c r="J635" t="s">
        <v>486</v>
      </c>
      <c r="K635" t="s">
        <v>517</v>
      </c>
      <c r="L635" t="s">
        <v>584</v>
      </c>
      <c r="M635" t="s">
        <v>588</v>
      </c>
      <c r="N635" t="s">
        <v>601</v>
      </c>
    </row>
    <row r="636" spans="1:14" x14ac:dyDescent="0.25">
      <c r="A636" t="s">
        <v>14</v>
      </c>
      <c r="B636" t="s">
        <v>127</v>
      </c>
      <c r="C636" t="s">
        <v>267</v>
      </c>
      <c r="D636" t="s">
        <v>424</v>
      </c>
      <c r="F636" t="s">
        <v>437</v>
      </c>
      <c r="G636" t="str">
        <f>HYPERLINK("https://ca.linkedin.com/jobs/view/data-analyst-at-vubiquity-3365112221?refId=ArORF%2BOlZSwvewafUxsYJg%3D%3D&amp;trackingId=ujozb48kiGCz0AXkEUgfzQ%3D%3D&amp;position=10&amp;pageNum=0&amp;trk=public_jobs_jserp-result_search-card", "Job Link")</f>
        <v>Job Link</v>
      </c>
      <c r="H636" t="s">
        <v>476</v>
      </c>
      <c r="I636" t="s">
        <v>481</v>
      </c>
      <c r="J636" t="s">
        <v>486</v>
      </c>
      <c r="K636" t="s">
        <v>522</v>
      </c>
      <c r="L636" t="s">
        <v>582</v>
      </c>
      <c r="M636" t="s">
        <v>588</v>
      </c>
      <c r="N636" t="s">
        <v>601</v>
      </c>
    </row>
    <row r="637" spans="1:14" x14ac:dyDescent="0.25">
      <c r="A637" t="s">
        <v>17</v>
      </c>
      <c r="B637" t="s">
        <v>123</v>
      </c>
      <c r="C637" t="s">
        <v>268</v>
      </c>
      <c r="D637" t="s">
        <v>424</v>
      </c>
      <c r="F637" t="s">
        <v>438</v>
      </c>
      <c r="G637" t="str">
        <f>HYPERLINK("https://ca.linkedin.com/jobs/view/data-analyst-developer-at-citi-3322089923?refId=ArORF%2BOlZSwvewafUxsYJg%3D%3D&amp;trackingId=nPOqV3m8S1l1qOAlj9dfFA%3D%3D&amp;position=11&amp;pageNum=0&amp;trk=public_jobs_jserp-result_search-card", "Job Link")</f>
        <v>Job Link</v>
      </c>
      <c r="H637" t="s">
        <v>479</v>
      </c>
      <c r="I637" t="s">
        <v>481</v>
      </c>
      <c r="J637" t="s">
        <v>486</v>
      </c>
      <c r="K637" t="s">
        <v>519</v>
      </c>
      <c r="L637" t="s">
        <v>584</v>
      </c>
      <c r="M637" t="s">
        <v>588</v>
      </c>
      <c r="N637" t="s">
        <v>601</v>
      </c>
    </row>
    <row r="638" spans="1:14" x14ac:dyDescent="0.25">
      <c r="A638" t="s">
        <v>14</v>
      </c>
      <c r="B638" t="s">
        <v>128</v>
      </c>
      <c r="C638" t="s">
        <v>269</v>
      </c>
      <c r="D638" t="s">
        <v>424</v>
      </c>
      <c r="F638" t="s">
        <v>439</v>
      </c>
      <c r="G638" t="str">
        <f>HYPERLINK("https://ca.linkedin.com/jobs/view/data-analyst-at-diverse-lynx-3363377240?refId=ArORF%2BOlZSwvewafUxsYJg%3D%3D&amp;trackingId=MEHSgzZ2mhD1Wz1u8qJLTA%3D%3D&amp;position=12&amp;pageNum=0&amp;trk=public_jobs_jserp-result_search-card", "Job Link")</f>
        <v>Job Link</v>
      </c>
      <c r="H638" t="s">
        <v>476</v>
      </c>
      <c r="I638" t="s">
        <v>481</v>
      </c>
      <c r="J638" t="s">
        <v>486</v>
      </c>
      <c r="K638" t="s">
        <v>516</v>
      </c>
      <c r="L638" t="s">
        <v>586</v>
      </c>
      <c r="M638" t="s">
        <v>617</v>
      </c>
      <c r="N638" t="s">
        <v>601</v>
      </c>
    </row>
    <row r="639" spans="1:14" x14ac:dyDescent="0.25">
      <c r="A639" t="s">
        <v>14</v>
      </c>
      <c r="B639" t="s">
        <v>129</v>
      </c>
      <c r="C639" t="s">
        <v>270</v>
      </c>
      <c r="D639" t="s">
        <v>424</v>
      </c>
      <c r="F639" t="s">
        <v>440</v>
      </c>
      <c r="G639" t="str">
        <f>HYPERLINK("https://ca.linkedin.com/jobs/view/data-analyst-at-agricorp-3364433441?refId=ArORF%2BOlZSwvewafUxsYJg%3D%3D&amp;trackingId=KvyCR8ORXuuGWntyaqHNQg%3D%3D&amp;position=13&amp;pageNum=0&amp;trk=public_jobs_jserp-result_search-card", "Job Link")</f>
        <v>Job Link</v>
      </c>
      <c r="H639" t="s">
        <v>476</v>
      </c>
      <c r="I639" t="s">
        <v>481</v>
      </c>
      <c r="J639" t="s">
        <v>486</v>
      </c>
      <c r="K639" t="s">
        <v>523</v>
      </c>
      <c r="L639" t="s">
        <v>587</v>
      </c>
      <c r="M639" t="s">
        <v>588</v>
      </c>
      <c r="N639" t="s">
        <v>601</v>
      </c>
    </row>
    <row r="640" spans="1:14" x14ac:dyDescent="0.25">
      <c r="A640" t="s">
        <v>18</v>
      </c>
      <c r="B640" t="s">
        <v>130</v>
      </c>
      <c r="C640" t="s">
        <v>271</v>
      </c>
      <c r="D640" t="s">
        <v>424</v>
      </c>
      <c r="F640" t="s">
        <v>441</v>
      </c>
      <c r="G640" t="str">
        <f>HYPERLINK("https://ca.linkedin.com/jobs/view/junior-data-analyst-mississauga-on-at-arjo-3323264354?refId=ArORF%2BOlZSwvewafUxsYJg%3D%3D&amp;trackingId=Z8I8i9WuA3iyyasB47vMOA%3D%3D&amp;position=14&amp;pageNum=0&amp;trk=public_jobs_jserp-result_search-card", "Job Link")</f>
        <v>Job Link</v>
      </c>
      <c r="H640" t="s">
        <v>479</v>
      </c>
      <c r="I640" t="s">
        <v>481</v>
      </c>
      <c r="J640" t="s">
        <v>486</v>
      </c>
      <c r="K640" t="s">
        <v>524</v>
      </c>
      <c r="L640" t="s">
        <v>588</v>
      </c>
      <c r="M640" t="s">
        <v>601</v>
      </c>
    </row>
    <row r="641" spans="1:14" x14ac:dyDescent="0.25">
      <c r="A641" t="s">
        <v>14</v>
      </c>
      <c r="B641" t="s">
        <v>131</v>
      </c>
      <c r="C641" t="s">
        <v>272</v>
      </c>
      <c r="D641" t="s">
        <v>424</v>
      </c>
      <c r="F641" t="s">
        <v>442</v>
      </c>
      <c r="G641" t="str">
        <f>HYPERLINK("https://ca.linkedin.com/jobs/view/data-analyst-at-westland-insurance-group-ltd-3345807760?refId=ArORF%2BOlZSwvewafUxsYJg%3D%3D&amp;trackingId=auibDKgNzbZB1U8Nfq%2FjvA%3D%3D&amp;position=15&amp;pageNum=0&amp;trk=public_jobs_jserp-result_search-card", "Job Link")</f>
        <v>Job Link</v>
      </c>
      <c r="H641" t="s">
        <v>476</v>
      </c>
      <c r="I641" t="s">
        <v>481</v>
      </c>
      <c r="J641" t="s">
        <v>486</v>
      </c>
      <c r="K641" t="s">
        <v>525</v>
      </c>
      <c r="L641" t="s">
        <v>589</v>
      </c>
      <c r="M641" t="s">
        <v>618</v>
      </c>
      <c r="N641" t="s">
        <v>601</v>
      </c>
    </row>
    <row r="642" spans="1:14" x14ac:dyDescent="0.25">
      <c r="A642" t="s">
        <v>14</v>
      </c>
      <c r="B642" t="s">
        <v>132</v>
      </c>
      <c r="C642" t="s">
        <v>273</v>
      </c>
      <c r="D642" t="s">
        <v>424</v>
      </c>
      <c r="F642" t="s">
        <v>443</v>
      </c>
      <c r="G642" t="str">
        <f>HYPERLINK("https://ca.linkedin.com/jobs/view/data-analyst-at-fasken-3365947704?refId=ArORF%2BOlZSwvewafUxsYJg%3D%3D&amp;trackingId=GeNjEeiYJ9J%2FKDUgWK0Dbw%3D%3D&amp;position=16&amp;pageNum=0&amp;trk=public_jobs_jserp-result_search-card", "Job Link")</f>
        <v>Job Link</v>
      </c>
      <c r="H642" t="s">
        <v>476</v>
      </c>
      <c r="I642" t="s">
        <v>481</v>
      </c>
      <c r="J642" t="s">
        <v>486</v>
      </c>
      <c r="K642" t="s">
        <v>526</v>
      </c>
      <c r="L642" t="s">
        <v>590</v>
      </c>
      <c r="M642" t="s">
        <v>618</v>
      </c>
      <c r="N642" t="s">
        <v>601</v>
      </c>
    </row>
    <row r="643" spans="1:14" x14ac:dyDescent="0.25">
      <c r="A643" t="s">
        <v>14</v>
      </c>
      <c r="B643" t="s">
        <v>133</v>
      </c>
      <c r="C643" t="s">
        <v>274</v>
      </c>
      <c r="D643" t="s">
        <v>424</v>
      </c>
      <c r="F643" t="s">
        <v>434</v>
      </c>
      <c r="G643" t="str">
        <f>HYPERLINK("https://ca.linkedin.com/jobs/view/data-analyst-at-momentum-financial-services-group-3355811523?refId=ArORF%2BOlZSwvewafUxsYJg%3D%3D&amp;trackingId=XaumzzqKsE6htIqHVwGC1A%3D%3D&amp;position=17&amp;pageNum=0&amp;trk=public_jobs_jserp-result_search-card", "Job Link")</f>
        <v>Job Link</v>
      </c>
      <c r="H643" t="s">
        <v>476</v>
      </c>
      <c r="I643" t="s">
        <v>481</v>
      </c>
      <c r="J643" t="s">
        <v>486</v>
      </c>
      <c r="K643" t="s">
        <v>527</v>
      </c>
      <c r="L643" t="s">
        <v>582</v>
      </c>
      <c r="M643" t="s">
        <v>588</v>
      </c>
      <c r="N643" t="s">
        <v>601</v>
      </c>
    </row>
    <row r="644" spans="1:14" x14ac:dyDescent="0.25">
      <c r="A644" t="s">
        <v>14</v>
      </c>
      <c r="B644" t="s">
        <v>134</v>
      </c>
      <c r="C644" t="s">
        <v>275</v>
      </c>
      <c r="D644" t="s">
        <v>424</v>
      </c>
      <c r="F644" t="s">
        <v>444</v>
      </c>
      <c r="G644" t="str">
        <f>HYPERLINK("https://ca.linkedin.com/jobs/view/data-analyst-at-tes-the-employment-solution-3322589522?refId=ArORF%2BOlZSwvewafUxsYJg%3D%3D&amp;trackingId=Sud7l7CcskRdbsL%2F6mAWFg%3D%3D&amp;position=18&amp;pageNum=0&amp;trk=public_jobs_jserp-result_search-card", "Job Link")</f>
        <v>Job Link</v>
      </c>
      <c r="H644" t="s">
        <v>476</v>
      </c>
      <c r="I644" t="s">
        <v>483</v>
      </c>
      <c r="J644" t="s">
        <v>486</v>
      </c>
      <c r="K644" t="s">
        <v>525</v>
      </c>
      <c r="L644" t="s">
        <v>591</v>
      </c>
      <c r="M644" t="s">
        <v>588</v>
      </c>
      <c r="N644" t="s">
        <v>601</v>
      </c>
    </row>
    <row r="645" spans="1:14" x14ac:dyDescent="0.25">
      <c r="A645" t="s">
        <v>14</v>
      </c>
      <c r="B645" t="s">
        <v>135</v>
      </c>
      <c r="C645" t="s">
        <v>276</v>
      </c>
      <c r="D645" t="s">
        <v>424</v>
      </c>
      <c r="F645" t="s">
        <v>440</v>
      </c>
      <c r="G645" t="str">
        <f>HYPERLINK("https://ca.linkedin.com/jobs/view/data-analyst-at-magna-international-3370822450?refId=ArORF%2BOlZSwvewafUxsYJg%3D%3D&amp;trackingId=ewa9FGvjoHMAydt13WM6Dw%3D%3D&amp;position=19&amp;pageNum=0&amp;trk=public_jobs_jserp-result_search-card", "Job Link")</f>
        <v>Job Link</v>
      </c>
      <c r="H645" t="s">
        <v>476</v>
      </c>
      <c r="I645" t="s">
        <v>481</v>
      </c>
      <c r="J645" t="s">
        <v>488</v>
      </c>
      <c r="K645" t="s">
        <v>528</v>
      </c>
      <c r="L645" t="s">
        <v>592</v>
      </c>
      <c r="M645" t="s">
        <v>588</v>
      </c>
      <c r="N645" t="s">
        <v>601</v>
      </c>
    </row>
    <row r="646" spans="1:14" x14ac:dyDescent="0.25">
      <c r="A646" t="s">
        <v>14</v>
      </c>
      <c r="B646" t="s">
        <v>128</v>
      </c>
      <c r="C646" t="s">
        <v>277</v>
      </c>
      <c r="D646" t="s">
        <v>424</v>
      </c>
      <c r="F646" t="s">
        <v>439</v>
      </c>
      <c r="G646" t="str">
        <f>HYPERLINK("https://ca.linkedin.com/jobs/view/data-analyst-at-diverse-lynx-3363374746?refId=ArORF%2BOlZSwvewafUxsYJg%3D%3D&amp;trackingId=LOJ9ut7zMF3UUe2RqerHCg%3D%3D&amp;position=20&amp;pageNum=0&amp;trk=public_jobs_jserp-result_search-card", "Job Link")</f>
        <v>Job Link</v>
      </c>
      <c r="H646" t="s">
        <v>476</v>
      </c>
      <c r="I646" t="s">
        <v>481</v>
      </c>
      <c r="J646" t="s">
        <v>486</v>
      </c>
      <c r="K646" t="s">
        <v>516</v>
      </c>
      <c r="L646" t="s">
        <v>586</v>
      </c>
      <c r="M646" t="s">
        <v>617</v>
      </c>
      <c r="N646" t="s">
        <v>601</v>
      </c>
    </row>
    <row r="647" spans="1:14" x14ac:dyDescent="0.25">
      <c r="A647" t="s">
        <v>19</v>
      </c>
      <c r="B647" t="s">
        <v>136</v>
      </c>
      <c r="C647" t="s">
        <v>284</v>
      </c>
      <c r="D647" t="s">
        <v>424</v>
      </c>
      <c r="F647" t="s">
        <v>445</v>
      </c>
      <c r="G647" t="str">
        <f>HYPERLINK("https://ca.linkedin.com/jobs/view/data-analyst-operations-at-sonder-inc-3229442908?refId=ArORF%2BOlZSwvewafUxsYJg%3D%3D&amp;trackingId=Glfeffnbc1pNOCFar19E5w%3D%3D&amp;position=21&amp;pageNum=0&amp;trk=public_jobs_jserp-result_search-card", "Job Link")</f>
        <v>Job Link</v>
      </c>
      <c r="L647" t="s">
        <v>582</v>
      </c>
      <c r="M647" t="s">
        <v>588</v>
      </c>
      <c r="N647" t="s">
        <v>601</v>
      </c>
    </row>
    <row r="648" spans="1:14" x14ac:dyDescent="0.25">
      <c r="A648" t="s">
        <v>20</v>
      </c>
      <c r="B648" t="s">
        <v>137</v>
      </c>
      <c r="C648" t="s">
        <v>279</v>
      </c>
      <c r="D648" t="s">
        <v>424</v>
      </c>
      <c r="F648" t="s">
        <v>446</v>
      </c>
      <c r="G648" t="str">
        <f>HYPERLINK("https://ca.linkedin.com/jobs/view/senior-data-analyst-at-mueller-water-products-3122544636?refId=ArORF%2BOlZSwvewafUxsYJg%3D%3D&amp;trackingId=I6WHdbDfKuAYlxGtH8Qe2w%3D%3D&amp;position=22&amp;pageNum=0&amp;trk=public_jobs_jserp-result_search-card", "Job Link")</f>
        <v>Job Link</v>
      </c>
      <c r="H648" t="s">
        <v>478</v>
      </c>
      <c r="I648" t="s">
        <v>481</v>
      </c>
      <c r="J648" t="s">
        <v>486</v>
      </c>
      <c r="K648" t="s">
        <v>530</v>
      </c>
      <c r="L648" t="s">
        <v>582</v>
      </c>
      <c r="M648" t="s">
        <v>588</v>
      </c>
      <c r="N648" t="s">
        <v>601</v>
      </c>
    </row>
    <row r="649" spans="1:14" x14ac:dyDescent="0.25">
      <c r="A649" t="s">
        <v>21</v>
      </c>
      <c r="B649" t="s">
        <v>138</v>
      </c>
      <c r="C649" t="s">
        <v>284</v>
      </c>
      <c r="D649" t="s">
        <v>424</v>
      </c>
      <c r="F649" t="s">
        <v>447</v>
      </c>
      <c r="G649" t="str">
        <f>HYPERLINK("https://ca.linkedin.com/jobs/view/data-entry-jr-analyst-6-month-contract-at-csl-group-ltd-3323214993?refId=ArORF%2BOlZSwvewafUxsYJg%3D%3D&amp;trackingId=pbU%2FX8R84HaWZ46hFIvEOg%3D%3D&amp;position=23&amp;pageNum=0&amp;trk=public_jobs_jserp-result_search-card", "Job Link")</f>
        <v>Job Link</v>
      </c>
      <c r="L649" t="s">
        <v>593</v>
      </c>
      <c r="M649" t="s">
        <v>588</v>
      </c>
      <c r="N649" t="s">
        <v>601</v>
      </c>
    </row>
    <row r="650" spans="1:14" x14ac:dyDescent="0.25">
      <c r="A650" t="s">
        <v>22</v>
      </c>
      <c r="B650" t="s">
        <v>139</v>
      </c>
      <c r="C650" t="s">
        <v>281</v>
      </c>
      <c r="D650" t="s">
        <v>424</v>
      </c>
      <c r="F650" t="s">
        <v>435</v>
      </c>
      <c r="G650" t="str">
        <f>HYPERLINK("https://ca.linkedin.com/jobs/view/quality-data-analyst-at-lululemon-3341634874?refId=ArORF%2BOlZSwvewafUxsYJg%3D%3D&amp;trackingId=n4x7YXAQ%2FOtOx1baoQnOqw%3D%3D&amp;position=24&amp;pageNum=0&amp;trk=public_jobs_jserp-result_search-card", "Job Link")</f>
        <v>Job Link</v>
      </c>
      <c r="H650" t="s">
        <v>476</v>
      </c>
      <c r="I650" t="s">
        <v>481</v>
      </c>
      <c r="J650" t="s">
        <v>486</v>
      </c>
      <c r="K650" t="s">
        <v>532</v>
      </c>
      <c r="L650" t="s">
        <v>590</v>
      </c>
      <c r="M650" t="s">
        <v>618</v>
      </c>
      <c r="N650" t="s">
        <v>601</v>
      </c>
    </row>
    <row r="651" spans="1:14" x14ac:dyDescent="0.25">
      <c r="A651" t="s">
        <v>14</v>
      </c>
      <c r="B651" t="s">
        <v>140</v>
      </c>
      <c r="C651" t="s">
        <v>282</v>
      </c>
      <c r="D651" t="s">
        <v>424</v>
      </c>
      <c r="F651" t="s">
        <v>440</v>
      </c>
      <c r="G651" t="str">
        <f>HYPERLINK("https://ca.linkedin.com/jobs/view/data-analyst-at-scotiabank-3365406993?refId=ArORF%2BOlZSwvewafUxsYJg%3D%3D&amp;trackingId=OJueQJDRG6za%2B36bscxAAA%3D%3D&amp;position=25&amp;pageNum=0&amp;trk=public_jobs_jserp-result_search-card", "Job Link")</f>
        <v>Job Link</v>
      </c>
      <c r="H651" t="s">
        <v>479</v>
      </c>
      <c r="I651" t="s">
        <v>481</v>
      </c>
      <c r="J651" t="s">
        <v>486</v>
      </c>
      <c r="K651" t="s">
        <v>533</v>
      </c>
      <c r="L651" t="s">
        <v>582</v>
      </c>
      <c r="M651" t="s">
        <v>588</v>
      </c>
      <c r="N651" t="s">
        <v>601</v>
      </c>
    </row>
    <row r="652" spans="1:14" x14ac:dyDescent="0.25">
      <c r="A652" t="s">
        <v>14</v>
      </c>
      <c r="B652" t="s">
        <v>118</v>
      </c>
      <c r="C652" t="s">
        <v>258</v>
      </c>
      <c r="D652" t="s">
        <v>424</v>
      </c>
      <c r="F652" t="s">
        <v>430</v>
      </c>
      <c r="G652" t="str">
        <f>HYPERLINK("https://ca.linkedin.com/jobs/view/data-analyst-at-axonify-3324670516?refId=D78L%2F%2BvaPReOAc1Tt5aozA%3D%3D&amp;trackingId=h4TLroxldyrzxqZtXMEn0g%3D%3D&amp;position=1&amp;pageNum=0&amp;trk=public_jobs_jserp-result_search-card", "Job Link")</f>
        <v>Job Link</v>
      </c>
      <c r="H652" t="s">
        <v>476</v>
      </c>
      <c r="I652" t="s">
        <v>481</v>
      </c>
      <c r="J652" t="s">
        <v>486</v>
      </c>
      <c r="K652" t="s">
        <v>516</v>
      </c>
      <c r="L652" t="s">
        <v>581</v>
      </c>
      <c r="M652" t="s">
        <v>588</v>
      </c>
      <c r="N652" t="s">
        <v>601</v>
      </c>
    </row>
    <row r="653" spans="1:14" x14ac:dyDescent="0.25">
      <c r="A653" t="s">
        <v>14</v>
      </c>
      <c r="B653" t="s">
        <v>119</v>
      </c>
      <c r="C653" t="s">
        <v>259</v>
      </c>
      <c r="D653" t="s">
        <v>424</v>
      </c>
      <c r="F653" t="s">
        <v>431</v>
      </c>
      <c r="G653" t="str">
        <f>HYPERLINK("https://ca.linkedin.com/jobs/view/data-analyst-at-b3-systems-3361794123?refId=D78L%2F%2BvaPReOAc1Tt5aozA%3D%3D&amp;trackingId=Mx37NakamugLjPTVIyX%2FLQ%3D%3D&amp;position=2&amp;pageNum=0&amp;trk=public_jobs_jserp-result_search-card", "Job Link")</f>
        <v>Job Link</v>
      </c>
      <c r="I653" t="s">
        <v>481</v>
      </c>
      <c r="L653" t="s">
        <v>582</v>
      </c>
      <c r="M653" t="s">
        <v>588</v>
      </c>
      <c r="N653" t="s">
        <v>601</v>
      </c>
    </row>
    <row r="654" spans="1:14" x14ac:dyDescent="0.25">
      <c r="A654" t="s">
        <v>14</v>
      </c>
      <c r="B654" t="s">
        <v>120</v>
      </c>
      <c r="C654" t="s">
        <v>260</v>
      </c>
      <c r="D654" t="s">
        <v>424</v>
      </c>
      <c r="F654" t="s">
        <v>431</v>
      </c>
      <c r="G654" t="str">
        <f>HYPERLINK("https://ca.linkedin.com/jobs/view/data-analyst-at-wood-mackenzie-3271782079?refId=D78L%2F%2BvaPReOAc1Tt5aozA%3D%3D&amp;trackingId=uQbtn1dXAr8bj3QII8lOhA%3D%3D&amp;position=3&amp;pageNum=0&amp;trk=public_jobs_jserp-result_search-card", "Job Link")</f>
        <v>Job Link</v>
      </c>
      <c r="H654" t="s">
        <v>477</v>
      </c>
      <c r="I654" t="s">
        <v>481</v>
      </c>
      <c r="J654" t="s">
        <v>487</v>
      </c>
      <c r="K654" t="s">
        <v>517</v>
      </c>
      <c r="L654" t="s">
        <v>583</v>
      </c>
      <c r="M654" t="s">
        <v>610</v>
      </c>
      <c r="N654" t="s">
        <v>601</v>
      </c>
    </row>
    <row r="655" spans="1:14" x14ac:dyDescent="0.25">
      <c r="A655" t="s">
        <v>14</v>
      </c>
      <c r="B655" t="s">
        <v>121</v>
      </c>
      <c r="C655" t="s">
        <v>261</v>
      </c>
      <c r="D655" t="s">
        <v>424</v>
      </c>
      <c r="F655" t="s">
        <v>432</v>
      </c>
      <c r="G655" t="str">
        <f>HYPERLINK("https://ca.linkedin.com/jobs/view/data-analyst-at-loft-community-services-3364383026?refId=D78L%2F%2BvaPReOAc1Tt5aozA%3D%3D&amp;trackingId=3fSzAbcgolepCP4r2hYIuw%3D%3D&amp;position=4&amp;pageNum=0&amp;trk=public_jobs_jserp-result_search-card", "Job Link")</f>
        <v>Job Link</v>
      </c>
      <c r="I655" t="s">
        <v>482</v>
      </c>
      <c r="L655" t="s">
        <v>582</v>
      </c>
      <c r="M655" t="s">
        <v>588</v>
      </c>
      <c r="N655" t="s">
        <v>601</v>
      </c>
    </row>
    <row r="656" spans="1:14" x14ac:dyDescent="0.25">
      <c r="A656" t="s">
        <v>14</v>
      </c>
      <c r="B656" t="s">
        <v>122</v>
      </c>
      <c r="C656" t="s">
        <v>262</v>
      </c>
      <c r="D656" t="s">
        <v>424</v>
      </c>
      <c r="F656" t="s">
        <v>433</v>
      </c>
      <c r="G656" t="str">
        <f>HYPERLINK("https://ca.linkedin.com/jobs/view/data-analyst-at-nam-info-inc-3351590976?refId=D78L%2F%2BvaPReOAc1Tt5aozA%3D%3D&amp;trackingId=j6xcECe3Jk0D31Ie098%2Bew%3D%3D&amp;position=5&amp;pageNum=0&amp;trk=public_jobs_jserp-result_search-card", "Job Link")</f>
        <v>Job Link</v>
      </c>
      <c r="H656" t="s">
        <v>478</v>
      </c>
      <c r="I656" t="s">
        <v>483</v>
      </c>
      <c r="J656" t="s">
        <v>486</v>
      </c>
      <c r="K656" t="s">
        <v>518</v>
      </c>
      <c r="L656" t="s">
        <v>582</v>
      </c>
      <c r="M656" t="s">
        <v>588</v>
      </c>
      <c r="N656" t="s">
        <v>601</v>
      </c>
    </row>
    <row r="657" spans="1:14" x14ac:dyDescent="0.25">
      <c r="A657" t="s">
        <v>14</v>
      </c>
      <c r="B657" t="s">
        <v>123</v>
      </c>
      <c r="C657" t="s">
        <v>263</v>
      </c>
      <c r="D657" t="s">
        <v>424</v>
      </c>
      <c r="F657" t="s">
        <v>434</v>
      </c>
      <c r="G657" t="str">
        <f>HYPERLINK("https://ca.linkedin.com/jobs/view/data-analyst-at-citi-3263096865?refId=D78L%2F%2BvaPReOAc1Tt5aozA%3D%3D&amp;trackingId=7y%2FrRBHI0Y665GB9sozXoQ%3D%3D&amp;position=6&amp;pageNum=0&amp;trk=public_jobs_jserp-result_search-card", "Job Link")</f>
        <v>Job Link</v>
      </c>
      <c r="H657" t="s">
        <v>479</v>
      </c>
      <c r="I657" t="s">
        <v>481</v>
      </c>
      <c r="J657" t="s">
        <v>486</v>
      </c>
      <c r="K657" t="s">
        <v>519</v>
      </c>
      <c r="L657" t="s">
        <v>584</v>
      </c>
      <c r="M657" t="s">
        <v>588</v>
      </c>
      <c r="N657" t="s">
        <v>601</v>
      </c>
    </row>
    <row r="658" spans="1:14" x14ac:dyDescent="0.25">
      <c r="A658" t="s">
        <v>19</v>
      </c>
      <c r="B658" t="s">
        <v>136</v>
      </c>
      <c r="C658" t="s">
        <v>278</v>
      </c>
      <c r="D658" t="s">
        <v>424</v>
      </c>
      <c r="F658" t="s">
        <v>445</v>
      </c>
      <c r="G658" t="str">
        <f>HYPERLINK("https://ca.linkedin.com/jobs/view/data-analyst-operations-at-sonder-inc-3229442908?refId=D78L%2F%2BvaPReOAc1Tt5aozA%3D%3D&amp;trackingId=NOMa%2FfzsV%2BbYZrueh4pXdQ%3D%3D&amp;position=7&amp;pageNum=0&amp;trk=public_jobs_jserp-result_search-card", "Job Link")</f>
        <v>Job Link</v>
      </c>
      <c r="H658" t="s">
        <v>476</v>
      </c>
      <c r="I658" t="s">
        <v>481</v>
      </c>
      <c r="J658" t="s">
        <v>486</v>
      </c>
      <c r="K658" t="s">
        <v>529</v>
      </c>
      <c r="L658" t="s">
        <v>582</v>
      </c>
      <c r="M658" t="s">
        <v>588</v>
      </c>
      <c r="N658" t="s">
        <v>601</v>
      </c>
    </row>
    <row r="659" spans="1:14" x14ac:dyDescent="0.25">
      <c r="A659" t="s">
        <v>14</v>
      </c>
      <c r="B659" t="s">
        <v>124</v>
      </c>
      <c r="C659" t="s">
        <v>264</v>
      </c>
      <c r="D659" t="s">
        <v>424</v>
      </c>
      <c r="F659" t="s">
        <v>435</v>
      </c>
      <c r="G659" t="str">
        <f>HYPERLINK("https://ca.linkedin.com/jobs/view/data-analyst-at-king-s-college-london-3335332409?refId=D78L%2F%2BvaPReOAc1Tt5aozA%3D%3D&amp;trackingId=KUhA%2BGYUdi4F3dWv6adCVQ%3D%3D&amp;position=8&amp;pageNum=0&amp;trk=public_jobs_jserp-result_search-card", "Job Link")</f>
        <v>Job Link</v>
      </c>
      <c r="H659" t="s">
        <v>476</v>
      </c>
      <c r="I659" t="s">
        <v>481</v>
      </c>
      <c r="J659" t="s">
        <v>486</v>
      </c>
      <c r="K659" t="s">
        <v>520</v>
      </c>
      <c r="L659" t="s">
        <v>585</v>
      </c>
      <c r="M659" t="s">
        <v>588</v>
      </c>
      <c r="N659" t="s">
        <v>601</v>
      </c>
    </row>
    <row r="660" spans="1:14" x14ac:dyDescent="0.25">
      <c r="A660" t="s">
        <v>15</v>
      </c>
      <c r="B660" t="s">
        <v>125</v>
      </c>
      <c r="C660" t="s">
        <v>265</v>
      </c>
      <c r="D660" t="s">
        <v>424</v>
      </c>
      <c r="F660" t="s">
        <v>431</v>
      </c>
      <c r="G660" t="str">
        <f>HYPERLINK("https://ca.linkedin.com/jobs/view/data-analyst-remote-at-cognizant-microsoft-business-group-3333618510?refId=D78L%2F%2BvaPReOAc1Tt5aozA%3D%3D&amp;trackingId=O96NZdD%2Brd3%2BgPnP6Kmomg%3D%3D&amp;position=9&amp;pageNum=0&amp;trk=public_jobs_jserp-result_search-card", "Job Link")</f>
        <v>Job Link</v>
      </c>
      <c r="H660" t="s">
        <v>476</v>
      </c>
      <c r="I660" t="s">
        <v>481</v>
      </c>
      <c r="J660" t="s">
        <v>486</v>
      </c>
      <c r="K660" t="s">
        <v>521</v>
      </c>
      <c r="L660" t="s">
        <v>582</v>
      </c>
      <c r="M660" t="s">
        <v>588</v>
      </c>
      <c r="N660" t="s">
        <v>601</v>
      </c>
    </row>
    <row r="661" spans="1:14" x14ac:dyDescent="0.25">
      <c r="A661" t="s">
        <v>16</v>
      </c>
      <c r="B661" t="s">
        <v>126</v>
      </c>
      <c r="C661" t="s">
        <v>266</v>
      </c>
      <c r="D661" t="s">
        <v>424</v>
      </c>
      <c r="F661" t="s">
        <v>436</v>
      </c>
      <c r="G661" t="str">
        <f>HYPERLINK("https://ca.linkedin.com/jobs/view/data-analyst-loans-at-tata-consultancy-services-3344804680?refId=D78L%2F%2BvaPReOAc1Tt5aozA%3D%3D&amp;trackingId=DD7lLrYOnaIE9Zf8XtcNpQ%3D%3D&amp;position=10&amp;pageNum=0&amp;trk=public_jobs_jserp-result_search-card", "Job Link")</f>
        <v>Job Link</v>
      </c>
      <c r="H661" t="s">
        <v>477</v>
      </c>
      <c r="I661" t="s">
        <v>481</v>
      </c>
      <c r="J661" t="s">
        <v>486</v>
      </c>
      <c r="K661" t="s">
        <v>517</v>
      </c>
      <c r="L661" t="s">
        <v>584</v>
      </c>
      <c r="M661" t="s">
        <v>588</v>
      </c>
      <c r="N661" t="s">
        <v>601</v>
      </c>
    </row>
    <row r="662" spans="1:14" x14ac:dyDescent="0.25">
      <c r="A662" t="s">
        <v>14</v>
      </c>
      <c r="B662" t="s">
        <v>127</v>
      </c>
      <c r="C662" t="s">
        <v>267</v>
      </c>
      <c r="D662" t="s">
        <v>424</v>
      </c>
      <c r="F662" t="s">
        <v>437</v>
      </c>
      <c r="G662" t="str">
        <f>HYPERLINK("https://ca.linkedin.com/jobs/view/data-analyst-at-vubiquity-3365112221?refId=D78L%2F%2BvaPReOAc1Tt5aozA%3D%3D&amp;trackingId=kqx%2BxCyudXx2kxzmEIucWA%3D%3D&amp;position=11&amp;pageNum=0&amp;trk=public_jobs_jserp-result_search-card", "Job Link")</f>
        <v>Job Link</v>
      </c>
      <c r="H662" t="s">
        <v>476</v>
      </c>
      <c r="I662" t="s">
        <v>481</v>
      </c>
      <c r="J662" t="s">
        <v>486</v>
      </c>
      <c r="K662" t="s">
        <v>522</v>
      </c>
      <c r="L662" t="s">
        <v>582</v>
      </c>
      <c r="M662" t="s">
        <v>588</v>
      </c>
      <c r="N662" t="s">
        <v>601</v>
      </c>
    </row>
    <row r="663" spans="1:14" x14ac:dyDescent="0.25">
      <c r="A663" t="s">
        <v>14</v>
      </c>
      <c r="B663" t="s">
        <v>129</v>
      </c>
      <c r="C663" t="s">
        <v>270</v>
      </c>
      <c r="D663" t="s">
        <v>424</v>
      </c>
      <c r="F663" t="s">
        <v>440</v>
      </c>
      <c r="G663" t="str">
        <f>HYPERLINK("https://ca.linkedin.com/jobs/view/data-analyst-at-agricorp-3364433441?refId=D78L%2F%2BvaPReOAc1Tt5aozA%3D%3D&amp;trackingId=6p%2BL7KP9XX7t4Mx%2FQE9%2Bnw%3D%3D&amp;position=12&amp;pageNum=0&amp;trk=public_jobs_jserp-result_search-card", "Job Link")</f>
        <v>Job Link</v>
      </c>
      <c r="H663" t="s">
        <v>476</v>
      </c>
      <c r="I663" t="s">
        <v>481</v>
      </c>
      <c r="J663" t="s">
        <v>486</v>
      </c>
      <c r="K663" t="s">
        <v>523</v>
      </c>
      <c r="L663" t="s">
        <v>587</v>
      </c>
      <c r="M663" t="s">
        <v>588</v>
      </c>
      <c r="N663" t="s">
        <v>601</v>
      </c>
    </row>
    <row r="664" spans="1:14" x14ac:dyDescent="0.25">
      <c r="A664" t="s">
        <v>17</v>
      </c>
      <c r="B664" t="s">
        <v>123</v>
      </c>
      <c r="C664" t="s">
        <v>268</v>
      </c>
      <c r="D664" t="s">
        <v>424</v>
      </c>
      <c r="F664" t="s">
        <v>438</v>
      </c>
      <c r="G664" t="str">
        <f>HYPERLINK("https://ca.linkedin.com/jobs/view/data-analyst-developer-at-citi-3322089923?refId=D78L%2F%2BvaPReOAc1Tt5aozA%3D%3D&amp;trackingId=I7eZfiDGyWw8Q0Phkb4WrQ%3D%3D&amp;position=13&amp;pageNum=0&amp;trk=public_jobs_jserp-result_search-card", "Job Link")</f>
        <v>Job Link</v>
      </c>
      <c r="H664" t="s">
        <v>479</v>
      </c>
      <c r="I664" t="s">
        <v>481</v>
      </c>
      <c r="J664" t="s">
        <v>486</v>
      </c>
      <c r="K664" t="s">
        <v>519</v>
      </c>
      <c r="L664" t="s">
        <v>584</v>
      </c>
      <c r="M664" t="s">
        <v>588</v>
      </c>
      <c r="N664" t="s">
        <v>601</v>
      </c>
    </row>
    <row r="665" spans="1:14" x14ac:dyDescent="0.25">
      <c r="A665" t="s">
        <v>14</v>
      </c>
      <c r="B665" t="s">
        <v>128</v>
      </c>
      <c r="C665" t="s">
        <v>269</v>
      </c>
      <c r="D665" t="s">
        <v>424</v>
      </c>
      <c r="F665" t="s">
        <v>439</v>
      </c>
      <c r="G665" t="str">
        <f>HYPERLINK("https://ca.linkedin.com/jobs/view/data-analyst-at-diverse-lynx-3363377240?refId=D78L%2F%2BvaPReOAc1Tt5aozA%3D%3D&amp;trackingId=zgqJzkPdSPwVNNw3cnnC9g%3D%3D&amp;position=14&amp;pageNum=0&amp;trk=public_jobs_jserp-result_search-card", "Job Link")</f>
        <v>Job Link</v>
      </c>
      <c r="H665" t="s">
        <v>476</v>
      </c>
      <c r="I665" t="s">
        <v>481</v>
      </c>
      <c r="J665" t="s">
        <v>486</v>
      </c>
      <c r="K665" t="s">
        <v>516</v>
      </c>
      <c r="L665" t="s">
        <v>586</v>
      </c>
      <c r="M665" t="s">
        <v>617</v>
      </c>
      <c r="N665" t="s">
        <v>601</v>
      </c>
    </row>
    <row r="666" spans="1:14" x14ac:dyDescent="0.25">
      <c r="A666" t="s">
        <v>14</v>
      </c>
      <c r="B666" t="s">
        <v>128</v>
      </c>
      <c r="C666" t="s">
        <v>277</v>
      </c>
      <c r="D666" t="s">
        <v>424</v>
      </c>
      <c r="F666" t="s">
        <v>439</v>
      </c>
      <c r="G666" t="str">
        <f>HYPERLINK("https://ca.linkedin.com/jobs/view/data-analyst-at-diverse-lynx-3363374746?refId=D78L%2F%2BvaPReOAc1Tt5aozA%3D%3D&amp;trackingId=wVer7w9TjkdeNqYbdVI7fA%3D%3D&amp;position=15&amp;pageNum=0&amp;trk=public_jobs_jserp-result_search-card", "Job Link")</f>
        <v>Job Link</v>
      </c>
      <c r="H666" t="s">
        <v>476</v>
      </c>
      <c r="I666" t="s">
        <v>481</v>
      </c>
      <c r="J666" t="s">
        <v>486</v>
      </c>
      <c r="K666" t="s">
        <v>516</v>
      </c>
      <c r="L666" t="s">
        <v>586</v>
      </c>
      <c r="M666" t="s">
        <v>617</v>
      </c>
      <c r="N666" t="s">
        <v>601</v>
      </c>
    </row>
    <row r="667" spans="1:14" x14ac:dyDescent="0.25">
      <c r="A667" t="s">
        <v>18</v>
      </c>
      <c r="B667" t="s">
        <v>130</v>
      </c>
      <c r="C667" t="s">
        <v>271</v>
      </c>
      <c r="D667" t="s">
        <v>424</v>
      </c>
      <c r="F667" t="s">
        <v>441</v>
      </c>
      <c r="G667" t="str">
        <f>HYPERLINK("https://ca.linkedin.com/jobs/view/junior-data-analyst-mississauga-on-at-arjo-3323264354?refId=D78L%2F%2BvaPReOAc1Tt5aozA%3D%3D&amp;trackingId=nHfSOLQih5ns70OsnZUlEA%3D%3D&amp;position=16&amp;pageNum=0&amp;trk=public_jobs_jserp-result_search-card", "Job Link")</f>
        <v>Job Link</v>
      </c>
      <c r="H667" t="s">
        <v>479</v>
      </c>
      <c r="I667" t="s">
        <v>481</v>
      </c>
      <c r="J667" t="s">
        <v>486</v>
      </c>
      <c r="K667" t="s">
        <v>524</v>
      </c>
      <c r="L667" t="s">
        <v>588</v>
      </c>
      <c r="M667" t="s">
        <v>601</v>
      </c>
    </row>
    <row r="668" spans="1:14" x14ac:dyDescent="0.25">
      <c r="A668" t="s">
        <v>14</v>
      </c>
      <c r="B668" t="s">
        <v>131</v>
      </c>
      <c r="C668" t="s">
        <v>272</v>
      </c>
      <c r="D668" t="s">
        <v>424</v>
      </c>
      <c r="F668" t="s">
        <v>442</v>
      </c>
      <c r="G668" t="str">
        <f>HYPERLINK("https://ca.linkedin.com/jobs/view/data-analyst-at-westland-insurance-group-ltd-3345807760?refId=D78L%2F%2BvaPReOAc1Tt5aozA%3D%3D&amp;trackingId=lWUI0Cii1VmY%2BgZdOoVUww%3D%3D&amp;position=17&amp;pageNum=0&amp;trk=public_jobs_jserp-result_search-card", "Job Link")</f>
        <v>Job Link</v>
      </c>
      <c r="H668" t="s">
        <v>476</v>
      </c>
      <c r="I668" t="s">
        <v>481</v>
      </c>
      <c r="J668" t="s">
        <v>486</v>
      </c>
      <c r="K668" t="s">
        <v>525</v>
      </c>
      <c r="L668" t="s">
        <v>589</v>
      </c>
      <c r="M668" t="s">
        <v>618</v>
      </c>
      <c r="N668" t="s">
        <v>601</v>
      </c>
    </row>
    <row r="669" spans="1:14" x14ac:dyDescent="0.25">
      <c r="A669" t="s">
        <v>14</v>
      </c>
      <c r="B669" t="s">
        <v>132</v>
      </c>
      <c r="C669" t="s">
        <v>273</v>
      </c>
      <c r="D669" t="s">
        <v>424</v>
      </c>
      <c r="F669" t="s">
        <v>443</v>
      </c>
      <c r="G669" t="str">
        <f>HYPERLINK("https://ca.linkedin.com/jobs/view/data-analyst-at-fasken-3365947704?refId=D78L%2F%2BvaPReOAc1Tt5aozA%3D%3D&amp;trackingId=HatBFIOD1rDWC2eamzS%2F2g%3D%3D&amp;position=18&amp;pageNum=0&amp;trk=public_jobs_jserp-result_search-card", "Job Link")</f>
        <v>Job Link</v>
      </c>
      <c r="H669" t="s">
        <v>476</v>
      </c>
      <c r="I669" t="s">
        <v>481</v>
      </c>
      <c r="J669" t="s">
        <v>486</v>
      </c>
      <c r="K669" t="s">
        <v>526</v>
      </c>
      <c r="L669" t="s">
        <v>590</v>
      </c>
      <c r="M669" t="s">
        <v>618</v>
      </c>
      <c r="N669" t="s">
        <v>601</v>
      </c>
    </row>
    <row r="670" spans="1:14" x14ac:dyDescent="0.25">
      <c r="A670" t="s">
        <v>14</v>
      </c>
      <c r="B670" t="s">
        <v>133</v>
      </c>
      <c r="C670" t="s">
        <v>274</v>
      </c>
      <c r="D670" t="s">
        <v>424</v>
      </c>
      <c r="F670" t="s">
        <v>434</v>
      </c>
      <c r="G670" t="str">
        <f>HYPERLINK("https://ca.linkedin.com/jobs/view/data-analyst-at-momentum-financial-services-group-3355811523?refId=D78L%2F%2BvaPReOAc1Tt5aozA%3D%3D&amp;trackingId=4fEO4%2Fd9InLOasyjo1J%2FUw%3D%3D&amp;position=19&amp;pageNum=0&amp;trk=public_jobs_jserp-result_search-card", "Job Link")</f>
        <v>Job Link</v>
      </c>
      <c r="H670" t="s">
        <v>476</v>
      </c>
      <c r="I670" t="s">
        <v>481</v>
      </c>
      <c r="J670" t="s">
        <v>486</v>
      </c>
      <c r="K670" t="s">
        <v>527</v>
      </c>
      <c r="L670" t="s">
        <v>582</v>
      </c>
      <c r="M670" t="s">
        <v>588</v>
      </c>
      <c r="N670" t="s">
        <v>601</v>
      </c>
    </row>
    <row r="671" spans="1:14" x14ac:dyDescent="0.25">
      <c r="A671" t="s">
        <v>14</v>
      </c>
      <c r="B671" t="s">
        <v>134</v>
      </c>
      <c r="C671" t="s">
        <v>275</v>
      </c>
      <c r="D671" t="s">
        <v>424</v>
      </c>
      <c r="F671" t="s">
        <v>444</v>
      </c>
      <c r="G671" t="str">
        <f>HYPERLINK("https://ca.linkedin.com/jobs/view/data-analyst-at-tes-the-employment-solution-3322589522?refId=D78L%2F%2BvaPReOAc1Tt5aozA%3D%3D&amp;trackingId=o3WlbE60za%2BtFuF8ffyqCQ%3D%3D&amp;position=20&amp;pageNum=0&amp;trk=public_jobs_jserp-result_search-card", "Job Link")</f>
        <v>Job Link</v>
      </c>
      <c r="H671" t="s">
        <v>476</v>
      </c>
      <c r="I671" t="s">
        <v>483</v>
      </c>
      <c r="J671" t="s">
        <v>486</v>
      </c>
      <c r="K671" t="s">
        <v>525</v>
      </c>
      <c r="L671" t="s">
        <v>591</v>
      </c>
      <c r="M671" t="s">
        <v>588</v>
      </c>
      <c r="N671" t="s">
        <v>601</v>
      </c>
    </row>
    <row r="672" spans="1:14" x14ac:dyDescent="0.25">
      <c r="A672" t="s">
        <v>14</v>
      </c>
      <c r="B672" t="s">
        <v>135</v>
      </c>
      <c r="C672" t="s">
        <v>276</v>
      </c>
      <c r="D672" t="s">
        <v>424</v>
      </c>
      <c r="F672" t="s">
        <v>440</v>
      </c>
      <c r="G672" t="str">
        <f>HYPERLINK("https://ca.linkedin.com/jobs/view/data-analyst-at-magna-international-3370822450?refId=D78L%2F%2BvaPReOAc1Tt5aozA%3D%3D&amp;trackingId=UyBaJh%2BLu3RHtxzlBdfEtQ%3D%3D&amp;position=21&amp;pageNum=0&amp;trk=public_jobs_jserp-result_search-card", "Job Link")</f>
        <v>Job Link</v>
      </c>
      <c r="H672" t="s">
        <v>476</v>
      </c>
      <c r="I672" t="s">
        <v>481</v>
      </c>
      <c r="J672" t="s">
        <v>488</v>
      </c>
      <c r="K672" t="s">
        <v>528</v>
      </c>
      <c r="L672" t="s">
        <v>592</v>
      </c>
      <c r="M672" t="s">
        <v>588</v>
      </c>
      <c r="N672" t="s">
        <v>601</v>
      </c>
    </row>
    <row r="673" spans="1:14" x14ac:dyDescent="0.25">
      <c r="A673" t="s">
        <v>20</v>
      </c>
      <c r="B673" t="s">
        <v>137</v>
      </c>
      <c r="C673" t="s">
        <v>279</v>
      </c>
      <c r="D673" t="s">
        <v>424</v>
      </c>
      <c r="F673" t="s">
        <v>446</v>
      </c>
      <c r="G673" t="str">
        <f>HYPERLINK("https://ca.linkedin.com/jobs/view/senior-data-analyst-at-mueller-water-products-3122544636?refId=D78L%2F%2BvaPReOAc1Tt5aozA%3D%3D&amp;trackingId=u7Q7lN58FtH8CV5lh4ml8w%3D%3D&amp;position=22&amp;pageNum=0&amp;trk=public_jobs_jserp-result_search-card", "Job Link")</f>
        <v>Job Link</v>
      </c>
      <c r="H673" t="s">
        <v>478</v>
      </c>
      <c r="I673" t="s">
        <v>481</v>
      </c>
      <c r="J673" t="s">
        <v>486</v>
      </c>
      <c r="K673" t="s">
        <v>530</v>
      </c>
      <c r="L673" t="s">
        <v>582</v>
      </c>
      <c r="M673" t="s">
        <v>588</v>
      </c>
      <c r="N673" t="s">
        <v>601</v>
      </c>
    </row>
    <row r="674" spans="1:14" x14ac:dyDescent="0.25">
      <c r="A674" t="s">
        <v>21</v>
      </c>
      <c r="B674" t="s">
        <v>138</v>
      </c>
      <c r="C674" t="s">
        <v>280</v>
      </c>
      <c r="D674" t="s">
        <v>424</v>
      </c>
      <c r="F674" t="s">
        <v>447</v>
      </c>
      <c r="G674" t="str">
        <f>HYPERLINK("https://ca.linkedin.com/jobs/view/data-entry-jr-analyst-6-month-contract-at-csl-group-ltd-3323214993?refId=D78L%2F%2BvaPReOAc1Tt5aozA%3D%3D&amp;trackingId=DsH2tEr9roy20bZv6BvBag%3D%3D&amp;position=23&amp;pageNum=0&amp;trk=public_jobs_jserp-result_search-card", "Job Link")</f>
        <v>Job Link</v>
      </c>
      <c r="H674" t="s">
        <v>476</v>
      </c>
      <c r="I674" t="s">
        <v>484</v>
      </c>
      <c r="J674" t="s">
        <v>489</v>
      </c>
      <c r="K674" t="s">
        <v>531</v>
      </c>
      <c r="L674" t="s">
        <v>593</v>
      </c>
      <c r="M674" t="s">
        <v>588</v>
      </c>
      <c r="N674" t="s">
        <v>601</v>
      </c>
    </row>
    <row r="675" spans="1:14" x14ac:dyDescent="0.25">
      <c r="A675" t="s">
        <v>14</v>
      </c>
      <c r="B675" t="s">
        <v>140</v>
      </c>
      <c r="C675" t="s">
        <v>282</v>
      </c>
      <c r="D675" t="s">
        <v>424</v>
      </c>
      <c r="F675" t="s">
        <v>440</v>
      </c>
      <c r="G675" t="str">
        <f>HYPERLINK("https://ca.linkedin.com/jobs/view/data-analyst-at-scotiabank-3365406993?refId=D78L%2F%2BvaPReOAc1Tt5aozA%3D%3D&amp;trackingId=GtnvSU8v7%2FA8SpuNRR%2BmEw%3D%3D&amp;position=24&amp;pageNum=0&amp;trk=public_jobs_jserp-result_search-card", "Job Link")</f>
        <v>Job Link</v>
      </c>
      <c r="H675" t="s">
        <v>479</v>
      </c>
      <c r="I675" t="s">
        <v>481</v>
      </c>
      <c r="J675" t="s">
        <v>486</v>
      </c>
      <c r="K675" t="s">
        <v>533</v>
      </c>
      <c r="L675" t="s">
        <v>582</v>
      </c>
      <c r="M675" t="s">
        <v>588</v>
      </c>
      <c r="N675" t="s">
        <v>601</v>
      </c>
    </row>
    <row r="676" spans="1:14" x14ac:dyDescent="0.25">
      <c r="A676" t="s">
        <v>22</v>
      </c>
      <c r="B676" t="s">
        <v>139</v>
      </c>
      <c r="C676" t="s">
        <v>281</v>
      </c>
      <c r="D676" t="s">
        <v>424</v>
      </c>
      <c r="F676" t="s">
        <v>435</v>
      </c>
      <c r="G676" t="str">
        <f>HYPERLINK("https://ca.linkedin.com/jobs/view/quality-data-analyst-at-lululemon-3341634874?refId=D78L%2F%2BvaPReOAc1Tt5aozA%3D%3D&amp;trackingId=T1CDo3F9xCcAR7IJyotL9g%3D%3D&amp;position=25&amp;pageNum=0&amp;trk=public_jobs_jserp-result_search-card", "Job Link")</f>
        <v>Job Link</v>
      </c>
      <c r="H676" t="s">
        <v>476</v>
      </c>
      <c r="I676" t="s">
        <v>481</v>
      </c>
      <c r="J676" t="s">
        <v>486</v>
      </c>
      <c r="K676" t="s">
        <v>532</v>
      </c>
      <c r="L676" t="s">
        <v>590</v>
      </c>
      <c r="M676" t="s">
        <v>618</v>
      </c>
      <c r="N676" t="s">
        <v>601</v>
      </c>
    </row>
    <row r="677" spans="1:14" x14ac:dyDescent="0.25">
      <c r="A677" t="s">
        <v>14</v>
      </c>
      <c r="B677" t="s">
        <v>118</v>
      </c>
      <c r="C677" t="s">
        <v>258</v>
      </c>
      <c r="D677" t="s">
        <v>424</v>
      </c>
      <c r="F677" t="s">
        <v>430</v>
      </c>
      <c r="G677" t="str">
        <f>HYPERLINK("https://ca.linkedin.com/jobs/view/data-analyst-at-axonify-3324670516?refId=%2Fgo2ebBPlpUCgsW2uIr%2FoA%3D%3D&amp;trackingId=l%2F8UWN28DCJgfja23%2FqCpQ%3D%3D&amp;position=1&amp;pageNum=0&amp;trk=public_jobs_jserp-result_search-card", "Job Link")</f>
        <v>Job Link</v>
      </c>
      <c r="H677" t="s">
        <v>476</v>
      </c>
      <c r="I677" t="s">
        <v>481</v>
      </c>
      <c r="J677" t="s">
        <v>486</v>
      </c>
      <c r="K677" t="s">
        <v>516</v>
      </c>
      <c r="L677" t="s">
        <v>581</v>
      </c>
      <c r="M677" t="s">
        <v>588</v>
      </c>
      <c r="N677" t="s">
        <v>601</v>
      </c>
    </row>
    <row r="678" spans="1:14" x14ac:dyDescent="0.25">
      <c r="A678" t="s">
        <v>14</v>
      </c>
      <c r="B678" t="s">
        <v>119</v>
      </c>
      <c r="C678" t="s">
        <v>259</v>
      </c>
      <c r="D678" t="s">
        <v>424</v>
      </c>
      <c r="F678" t="s">
        <v>431</v>
      </c>
      <c r="G678" t="str">
        <f>HYPERLINK("https://ca.linkedin.com/jobs/view/data-analyst-at-b3-systems-3361794123?refId=%2Fgo2ebBPlpUCgsW2uIr%2FoA%3D%3D&amp;trackingId=t1JUERc0W3rh9ApZEXgr6A%3D%3D&amp;position=2&amp;pageNum=0&amp;trk=public_jobs_jserp-result_search-card", "Job Link")</f>
        <v>Job Link</v>
      </c>
      <c r="I678" t="s">
        <v>481</v>
      </c>
      <c r="L678" t="s">
        <v>582</v>
      </c>
      <c r="M678" t="s">
        <v>588</v>
      </c>
      <c r="N678" t="s">
        <v>601</v>
      </c>
    </row>
    <row r="679" spans="1:14" x14ac:dyDescent="0.25">
      <c r="A679" t="s">
        <v>14</v>
      </c>
      <c r="B679" t="s">
        <v>120</v>
      </c>
      <c r="C679" t="s">
        <v>260</v>
      </c>
      <c r="D679" t="s">
        <v>424</v>
      </c>
      <c r="F679" t="s">
        <v>431</v>
      </c>
      <c r="G679" t="str">
        <f>HYPERLINK("https://ca.linkedin.com/jobs/view/data-analyst-at-wood-mackenzie-3271782079?refId=%2Fgo2ebBPlpUCgsW2uIr%2FoA%3D%3D&amp;trackingId=APCfUwTCfgHZT3O9xg6yVA%3D%3D&amp;position=3&amp;pageNum=0&amp;trk=public_jobs_jserp-result_search-card", "Job Link")</f>
        <v>Job Link</v>
      </c>
      <c r="H679" t="s">
        <v>477</v>
      </c>
      <c r="I679" t="s">
        <v>481</v>
      </c>
      <c r="J679" t="s">
        <v>487</v>
      </c>
      <c r="K679" t="s">
        <v>517</v>
      </c>
      <c r="L679" t="s">
        <v>583</v>
      </c>
      <c r="M679" t="s">
        <v>610</v>
      </c>
      <c r="N679" t="s">
        <v>601</v>
      </c>
    </row>
    <row r="680" spans="1:14" x14ac:dyDescent="0.25">
      <c r="A680" t="s">
        <v>14</v>
      </c>
      <c r="B680" t="s">
        <v>121</v>
      </c>
      <c r="C680" t="s">
        <v>261</v>
      </c>
      <c r="D680" t="s">
        <v>424</v>
      </c>
      <c r="F680" t="s">
        <v>432</v>
      </c>
      <c r="G680" t="str">
        <f>HYPERLINK("https://ca.linkedin.com/jobs/view/data-analyst-at-loft-community-services-3364383026?refId=%2Fgo2ebBPlpUCgsW2uIr%2FoA%3D%3D&amp;trackingId=1TtYraWpN4iXGqwr%2FKYuZA%3D%3D&amp;position=4&amp;pageNum=0&amp;trk=public_jobs_jserp-result_search-card", "Job Link")</f>
        <v>Job Link</v>
      </c>
      <c r="I680" t="s">
        <v>482</v>
      </c>
      <c r="L680" t="s">
        <v>582</v>
      </c>
      <c r="M680" t="s">
        <v>588</v>
      </c>
      <c r="N680" t="s">
        <v>601</v>
      </c>
    </row>
    <row r="681" spans="1:14" x14ac:dyDescent="0.25">
      <c r="A681" t="s">
        <v>14</v>
      </c>
      <c r="B681" t="s">
        <v>122</v>
      </c>
      <c r="C681" t="s">
        <v>262</v>
      </c>
      <c r="D681" t="s">
        <v>424</v>
      </c>
      <c r="F681" t="s">
        <v>433</v>
      </c>
      <c r="G681" t="str">
        <f>HYPERLINK("https://ca.linkedin.com/jobs/view/data-analyst-at-nam-info-inc-3351590976?refId=%2Fgo2ebBPlpUCgsW2uIr%2FoA%3D%3D&amp;trackingId=nE%2BRNd5eu5%2FsAfel5qoeuw%3D%3D&amp;position=5&amp;pageNum=0&amp;trk=public_jobs_jserp-result_search-card", "Job Link")</f>
        <v>Job Link</v>
      </c>
      <c r="H681" t="s">
        <v>478</v>
      </c>
      <c r="I681" t="s">
        <v>483</v>
      </c>
      <c r="J681" t="s">
        <v>486</v>
      </c>
      <c r="K681" t="s">
        <v>518</v>
      </c>
      <c r="L681" t="s">
        <v>582</v>
      </c>
      <c r="M681" t="s">
        <v>588</v>
      </c>
      <c r="N681" t="s">
        <v>601</v>
      </c>
    </row>
    <row r="682" spans="1:14" x14ac:dyDescent="0.25">
      <c r="A682" t="s">
        <v>14</v>
      </c>
      <c r="B682" t="s">
        <v>123</v>
      </c>
      <c r="C682" t="s">
        <v>263</v>
      </c>
      <c r="D682" t="s">
        <v>424</v>
      </c>
      <c r="F682" t="s">
        <v>434</v>
      </c>
      <c r="G682" t="str">
        <f>HYPERLINK("https://ca.linkedin.com/jobs/view/data-analyst-at-citi-3263096865?refId=%2Fgo2ebBPlpUCgsW2uIr%2FoA%3D%3D&amp;trackingId=73kSnertlcQuPtdxxug48w%3D%3D&amp;position=6&amp;pageNum=0&amp;trk=public_jobs_jserp-result_search-card", "Job Link")</f>
        <v>Job Link</v>
      </c>
      <c r="H682" t="s">
        <v>479</v>
      </c>
      <c r="I682" t="s">
        <v>481</v>
      </c>
      <c r="J682" t="s">
        <v>486</v>
      </c>
      <c r="K682" t="s">
        <v>519</v>
      </c>
      <c r="L682" t="s">
        <v>584</v>
      </c>
      <c r="M682" t="s">
        <v>588</v>
      </c>
      <c r="N682" t="s">
        <v>601</v>
      </c>
    </row>
    <row r="683" spans="1:14" x14ac:dyDescent="0.25">
      <c r="A683" t="s">
        <v>19</v>
      </c>
      <c r="B683" t="s">
        <v>136</v>
      </c>
      <c r="C683" t="s">
        <v>278</v>
      </c>
      <c r="D683" t="s">
        <v>424</v>
      </c>
      <c r="F683" t="s">
        <v>445</v>
      </c>
      <c r="G683" t="str">
        <f>HYPERLINK("https://ca.linkedin.com/jobs/view/data-analyst-operations-at-sonder-inc-3229442908?refId=%2Fgo2ebBPlpUCgsW2uIr%2FoA%3D%3D&amp;trackingId=1nhq%2FWtJty2vW3wm%2FecXzg%3D%3D&amp;position=7&amp;pageNum=0&amp;trk=public_jobs_jserp-result_search-card", "Job Link")</f>
        <v>Job Link</v>
      </c>
      <c r="H683" t="s">
        <v>476</v>
      </c>
      <c r="I683" t="s">
        <v>481</v>
      </c>
      <c r="J683" t="s">
        <v>486</v>
      </c>
      <c r="K683" t="s">
        <v>529</v>
      </c>
      <c r="L683" t="s">
        <v>582</v>
      </c>
      <c r="M683" t="s">
        <v>588</v>
      </c>
      <c r="N683" t="s">
        <v>601</v>
      </c>
    </row>
    <row r="684" spans="1:14" x14ac:dyDescent="0.25">
      <c r="A684" t="s">
        <v>14</v>
      </c>
      <c r="B684" t="s">
        <v>124</v>
      </c>
      <c r="C684" t="s">
        <v>264</v>
      </c>
      <c r="D684" t="s">
        <v>424</v>
      </c>
      <c r="F684" t="s">
        <v>435</v>
      </c>
      <c r="G684" t="str">
        <f>HYPERLINK("https://ca.linkedin.com/jobs/view/data-analyst-at-king-s-college-london-3335332409?refId=%2Fgo2ebBPlpUCgsW2uIr%2FoA%3D%3D&amp;trackingId=xvVEdN6bMOGYsRDSsZEibg%3D%3D&amp;position=8&amp;pageNum=0&amp;trk=public_jobs_jserp-result_search-card", "Job Link")</f>
        <v>Job Link</v>
      </c>
      <c r="H684" t="s">
        <v>476</v>
      </c>
      <c r="I684" t="s">
        <v>481</v>
      </c>
      <c r="J684" t="s">
        <v>486</v>
      </c>
      <c r="K684" t="s">
        <v>520</v>
      </c>
      <c r="L684" t="s">
        <v>585</v>
      </c>
      <c r="M684" t="s">
        <v>588</v>
      </c>
      <c r="N684" t="s">
        <v>601</v>
      </c>
    </row>
    <row r="685" spans="1:14" x14ac:dyDescent="0.25">
      <c r="A685" t="s">
        <v>15</v>
      </c>
      <c r="B685" t="s">
        <v>125</v>
      </c>
      <c r="C685" t="s">
        <v>265</v>
      </c>
      <c r="D685" t="s">
        <v>424</v>
      </c>
      <c r="F685" t="s">
        <v>431</v>
      </c>
      <c r="G685" t="str">
        <f>HYPERLINK("https://ca.linkedin.com/jobs/view/data-analyst-remote-at-cognizant-microsoft-business-group-3333618510?refId=%2Fgo2ebBPlpUCgsW2uIr%2FoA%3D%3D&amp;trackingId=26BQLHvO4T5DM7fCMpfTSA%3D%3D&amp;position=9&amp;pageNum=0&amp;trk=public_jobs_jserp-result_search-card", "Job Link")</f>
        <v>Job Link</v>
      </c>
      <c r="H685" t="s">
        <v>476</v>
      </c>
      <c r="I685" t="s">
        <v>481</v>
      </c>
      <c r="J685" t="s">
        <v>486</v>
      </c>
      <c r="K685" t="s">
        <v>521</v>
      </c>
      <c r="L685" t="s">
        <v>582</v>
      </c>
      <c r="M685" t="s">
        <v>588</v>
      </c>
      <c r="N685" t="s">
        <v>601</v>
      </c>
    </row>
    <row r="686" spans="1:14" x14ac:dyDescent="0.25">
      <c r="A686" t="s">
        <v>16</v>
      </c>
      <c r="B686" t="s">
        <v>126</v>
      </c>
      <c r="C686" t="s">
        <v>266</v>
      </c>
      <c r="D686" t="s">
        <v>424</v>
      </c>
      <c r="F686" t="s">
        <v>436</v>
      </c>
      <c r="G686" t="str">
        <f>HYPERLINK("https://ca.linkedin.com/jobs/view/data-analyst-loans-at-tata-consultancy-services-3344804680?refId=%2Fgo2ebBPlpUCgsW2uIr%2FoA%3D%3D&amp;trackingId=uJGnosdojNikwpGRpuDxYg%3D%3D&amp;position=10&amp;pageNum=0&amp;trk=public_jobs_jserp-result_search-card", "Job Link")</f>
        <v>Job Link</v>
      </c>
      <c r="H686" t="s">
        <v>477</v>
      </c>
      <c r="I686" t="s">
        <v>481</v>
      </c>
      <c r="J686" t="s">
        <v>486</v>
      </c>
      <c r="K686" t="s">
        <v>517</v>
      </c>
      <c r="L686" t="s">
        <v>584</v>
      </c>
      <c r="M686" t="s">
        <v>588</v>
      </c>
      <c r="N686" t="s">
        <v>601</v>
      </c>
    </row>
    <row r="687" spans="1:14" x14ac:dyDescent="0.25">
      <c r="A687" t="s">
        <v>14</v>
      </c>
      <c r="B687" t="s">
        <v>127</v>
      </c>
      <c r="C687" t="s">
        <v>267</v>
      </c>
      <c r="D687" t="s">
        <v>424</v>
      </c>
      <c r="F687" t="s">
        <v>437</v>
      </c>
      <c r="G687" t="str">
        <f>HYPERLINK("https://ca.linkedin.com/jobs/view/data-analyst-at-vubiquity-3365112221?refId=%2Fgo2ebBPlpUCgsW2uIr%2FoA%3D%3D&amp;trackingId=PAoVgw3n9cc0ayMP7l%2FGzA%3D%3D&amp;position=11&amp;pageNum=0&amp;trk=public_jobs_jserp-result_search-card", "Job Link")</f>
        <v>Job Link</v>
      </c>
      <c r="H687" t="s">
        <v>476</v>
      </c>
      <c r="I687" t="s">
        <v>481</v>
      </c>
      <c r="J687" t="s">
        <v>486</v>
      </c>
      <c r="K687" t="s">
        <v>522</v>
      </c>
      <c r="L687" t="s">
        <v>582</v>
      </c>
      <c r="M687" t="s">
        <v>588</v>
      </c>
      <c r="N687" t="s">
        <v>601</v>
      </c>
    </row>
    <row r="688" spans="1:14" x14ac:dyDescent="0.25">
      <c r="A688" t="s">
        <v>14</v>
      </c>
      <c r="B688" t="s">
        <v>129</v>
      </c>
      <c r="C688" t="s">
        <v>270</v>
      </c>
      <c r="D688" t="s">
        <v>424</v>
      </c>
      <c r="F688" t="s">
        <v>440</v>
      </c>
      <c r="G688" t="str">
        <f>HYPERLINK("https://ca.linkedin.com/jobs/view/data-analyst-at-agricorp-3364433441?refId=%2Fgo2ebBPlpUCgsW2uIr%2FoA%3D%3D&amp;trackingId=GRfVoSiBX2MCt%2BFsgkr6og%3D%3D&amp;position=12&amp;pageNum=0&amp;trk=public_jobs_jserp-result_search-card", "Job Link")</f>
        <v>Job Link</v>
      </c>
      <c r="H688" t="s">
        <v>476</v>
      </c>
      <c r="I688" t="s">
        <v>481</v>
      </c>
      <c r="J688" t="s">
        <v>486</v>
      </c>
      <c r="K688" t="s">
        <v>523</v>
      </c>
      <c r="L688" t="s">
        <v>587</v>
      </c>
      <c r="M688" t="s">
        <v>588</v>
      </c>
      <c r="N688" t="s">
        <v>601</v>
      </c>
    </row>
    <row r="689" spans="1:14" x14ac:dyDescent="0.25">
      <c r="A689" t="s">
        <v>17</v>
      </c>
      <c r="B689" t="s">
        <v>123</v>
      </c>
      <c r="C689" t="s">
        <v>268</v>
      </c>
      <c r="D689" t="s">
        <v>424</v>
      </c>
      <c r="F689" t="s">
        <v>438</v>
      </c>
      <c r="G689" t="str">
        <f>HYPERLINK("https://ca.linkedin.com/jobs/view/data-analyst-developer-at-citi-3322089923?refId=%2Fgo2ebBPlpUCgsW2uIr%2FoA%3D%3D&amp;trackingId=E8frjp8qzNLetcvwcd93kQ%3D%3D&amp;position=13&amp;pageNum=0&amp;trk=public_jobs_jserp-result_search-card", "Job Link")</f>
        <v>Job Link</v>
      </c>
      <c r="H689" t="s">
        <v>479</v>
      </c>
      <c r="I689" t="s">
        <v>481</v>
      </c>
      <c r="J689" t="s">
        <v>486</v>
      </c>
      <c r="K689" t="s">
        <v>519</v>
      </c>
      <c r="L689" t="s">
        <v>584</v>
      </c>
      <c r="M689" t="s">
        <v>588</v>
      </c>
      <c r="N689" t="s">
        <v>601</v>
      </c>
    </row>
    <row r="690" spans="1:14" x14ac:dyDescent="0.25">
      <c r="A690" t="s">
        <v>14</v>
      </c>
      <c r="B690" t="s">
        <v>128</v>
      </c>
      <c r="C690" t="s">
        <v>269</v>
      </c>
      <c r="D690" t="s">
        <v>424</v>
      </c>
      <c r="F690" t="s">
        <v>439</v>
      </c>
      <c r="G690" t="str">
        <f>HYPERLINK("https://ca.linkedin.com/jobs/view/data-analyst-at-diverse-lynx-3363377240?refId=%2Fgo2ebBPlpUCgsW2uIr%2FoA%3D%3D&amp;trackingId=cGfb9sadatsY5ye9G3BK4w%3D%3D&amp;position=14&amp;pageNum=0&amp;trk=public_jobs_jserp-result_search-card", "Job Link")</f>
        <v>Job Link</v>
      </c>
      <c r="H690" t="s">
        <v>476</v>
      </c>
      <c r="I690" t="s">
        <v>481</v>
      </c>
      <c r="J690" t="s">
        <v>486</v>
      </c>
      <c r="K690" t="s">
        <v>516</v>
      </c>
      <c r="L690" t="s">
        <v>586</v>
      </c>
      <c r="M690" t="s">
        <v>617</v>
      </c>
      <c r="N690" t="s">
        <v>601</v>
      </c>
    </row>
    <row r="691" spans="1:14" x14ac:dyDescent="0.25">
      <c r="A691" t="s">
        <v>14</v>
      </c>
      <c r="B691" t="s">
        <v>128</v>
      </c>
      <c r="C691" t="s">
        <v>277</v>
      </c>
      <c r="D691" t="s">
        <v>424</v>
      </c>
      <c r="F691" t="s">
        <v>439</v>
      </c>
      <c r="G691" t="str">
        <f>HYPERLINK("https://ca.linkedin.com/jobs/view/data-analyst-at-diverse-lynx-3363374746?refId=%2Fgo2ebBPlpUCgsW2uIr%2FoA%3D%3D&amp;trackingId=AhZObGYOGw1ZT37%2BwgbhOw%3D%3D&amp;position=15&amp;pageNum=0&amp;trk=public_jobs_jserp-result_search-card", "Job Link")</f>
        <v>Job Link</v>
      </c>
      <c r="H691" t="s">
        <v>476</v>
      </c>
      <c r="I691" t="s">
        <v>481</v>
      </c>
      <c r="J691" t="s">
        <v>486</v>
      </c>
      <c r="K691" t="s">
        <v>516</v>
      </c>
      <c r="L691" t="s">
        <v>586</v>
      </c>
      <c r="M691" t="s">
        <v>617</v>
      </c>
      <c r="N691" t="s">
        <v>601</v>
      </c>
    </row>
    <row r="692" spans="1:14" x14ac:dyDescent="0.25">
      <c r="A692" t="s">
        <v>18</v>
      </c>
      <c r="B692" t="s">
        <v>130</v>
      </c>
      <c r="C692" t="s">
        <v>271</v>
      </c>
      <c r="D692" t="s">
        <v>424</v>
      </c>
      <c r="F692" t="s">
        <v>441</v>
      </c>
      <c r="G692" t="str">
        <f>HYPERLINK("https://ca.linkedin.com/jobs/view/junior-data-analyst-mississauga-on-at-arjo-3323264354?refId=%2Fgo2ebBPlpUCgsW2uIr%2FoA%3D%3D&amp;trackingId=0YlWTV07HHd4heJiOaLa%2BA%3D%3D&amp;position=16&amp;pageNum=0&amp;trk=public_jobs_jserp-result_search-card", "Job Link")</f>
        <v>Job Link</v>
      </c>
      <c r="H692" t="s">
        <v>479</v>
      </c>
      <c r="I692" t="s">
        <v>481</v>
      </c>
      <c r="J692" t="s">
        <v>486</v>
      </c>
      <c r="K692" t="s">
        <v>524</v>
      </c>
      <c r="L692" t="s">
        <v>588</v>
      </c>
      <c r="M692" t="s">
        <v>601</v>
      </c>
    </row>
    <row r="693" spans="1:14" x14ac:dyDescent="0.25">
      <c r="A693" t="s">
        <v>14</v>
      </c>
      <c r="B693" t="s">
        <v>131</v>
      </c>
      <c r="C693" t="s">
        <v>284</v>
      </c>
      <c r="D693" t="s">
        <v>424</v>
      </c>
      <c r="F693" t="s">
        <v>442</v>
      </c>
      <c r="G693" t="str">
        <f>HYPERLINK("https://ca.linkedin.com/jobs/view/data-analyst-at-westland-insurance-group-ltd-3345807760?refId=%2Fgo2ebBPlpUCgsW2uIr%2FoA%3D%3D&amp;trackingId=wR6NXwR22eMM8ptqs8b%2FDw%3D%3D&amp;position=17&amp;pageNum=0&amp;trk=public_jobs_jserp-result_search-card", "Job Link")</f>
        <v>Job Link</v>
      </c>
      <c r="L693" t="s">
        <v>589</v>
      </c>
      <c r="M693" t="s">
        <v>618</v>
      </c>
      <c r="N693" t="s">
        <v>601</v>
      </c>
    </row>
    <row r="694" spans="1:14" x14ac:dyDescent="0.25">
      <c r="A694" t="s">
        <v>14</v>
      </c>
      <c r="B694" t="s">
        <v>132</v>
      </c>
      <c r="C694" t="s">
        <v>273</v>
      </c>
      <c r="D694" t="s">
        <v>424</v>
      </c>
      <c r="F694" t="s">
        <v>443</v>
      </c>
      <c r="G694" t="str">
        <f>HYPERLINK("https://ca.linkedin.com/jobs/view/data-analyst-at-fasken-3365947704?refId=%2Fgo2ebBPlpUCgsW2uIr%2FoA%3D%3D&amp;trackingId=yfHVpp2evvLa14gbLU9ctg%3D%3D&amp;position=18&amp;pageNum=0&amp;trk=public_jobs_jserp-result_search-card", "Job Link")</f>
        <v>Job Link</v>
      </c>
      <c r="H694" t="s">
        <v>476</v>
      </c>
      <c r="I694" t="s">
        <v>481</v>
      </c>
      <c r="J694" t="s">
        <v>486</v>
      </c>
      <c r="K694" t="s">
        <v>526</v>
      </c>
      <c r="L694" t="s">
        <v>590</v>
      </c>
      <c r="M694" t="s">
        <v>618</v>
      </c>
      <c r="N694" t="s">
        <v>601</v>
      </c>
    </row>
    <row r="695" spans="1:14" x14ac:dyDescent="0.25">
      <c r="A695" t="s">
        <v>14</v>
      </c>
      <c r="B695" t="s">
        <v>133</v>
      </c>
      <c r="C695" t="s">
        <v>284</v>
      </c>
      <c r="D695" t="s">
        <v>424</v>
      </c>
      <c r="F695" t="s">
        <v>434</v>
      </c>
      <c r="G695" t="str">
        <f>HYPERLINK("https://ca.linkedin.com/jobs/view/data-analyst-at-momentum-financial-services-group-3355811523?refId=%2Fgo2ebBPlpUCgsW2uIr%2FoA%3D%3D&amp;trackingId=dlfqIl%2BG%2B2xJT97BBpdZLA%3D%3D&amp;position=19&amp;pageNum=0&amp;trk=public_jobs_jserp-result_search-card", "Job Link")</f>
        <v>Job Link</v>
      </c>
      <c r="L695" t="s">
        <v>582</v>
      </c>
      <c r="M695" t="s">
        <v>588</v>
      </c>
      <c r="N695" t="s">
        <v>601</v>
      </c>
    </row>
    <row r="696" spans="1:14" x14ac:dyDescent="0.25">
      <c r="A696" t="s">
        <v>14</v>
      </c>
      <c r="B696" t="s">
        <v>134</v>
      </c>
      <c r="C696" t="s">
        <v>275</v>
      </c>
      <c r="D696" t="s">
        <v>424</v>
      </c>
      <c r="F696" t="s">
        <v>444</v>
      </c>
      <c r="G696" t="str">
        <f>HYPERLINK("https://ca.linkedin.com/jobs/view/data-analyst-at-tes-the-employment-solution-3322589522?refId=%2Fgo2ebBPlpUCgsW2uIr%2FoA%3D%3D&amp;trackingId=yxttPKKcvmr%2FtPvHzejaLg%3D%3D&amp;position=20&amp;pageNum=0&amp;trk=public_jobs_jserp-result_search-card", "Job Link")</f>
        <v>Job Link</v>
      </c>
      <c r="H696" t="s">
        <v>476</v>
      </c>
      <c r="I696" t="s">
        <v>483</v>
      </c>
      <c r="J696" t="s">
        <v>486</v>
      </c>
      <c r="K696" t="s">
        <v>525</v>
      </c>
      <c r="L696" t="s">
        <v>591</v>
      </c>
      <c r="M696" t="s">
        <v>588</v>
      </c>
      <c r="N696" t="s">
        <v>601</v>
      </c>
    </row>
    <row r="697" spans="1:14" x14ac:dyDescent="0.25">
      <c r="A697" t="s">
        <v>14</v>
      </c>
      <c r="B697" t="s">
        <v>135</v>
      </c>
      <c r="C697" t="s">
        <v>276</v>
      </c>
      <c r="D697" t="s">
        <v>424</v>
      </c>
      <c r="F697" t="s">
        <v>440</v>
      </c>
      <c r="G697" t="str">
        <f>HYPERLINK("https://ca.linkedin.com/jobs/view/data-analyst-at-magna-international-3370822450?refId=%2Fgo2ebBPlpUCgsW2uIr%2FoA%3D%3D&amp;trackingId=aWegMg9XlsqsNnwlFqfMqQ%3D%3D&amp;position=21&amp;pageNum=0&amp;trk=public_jobs_jserp-result_search-card", "Job Link")</f>
        <v>Job Link</v>
      </c>
      <c r="H697" t="s">
        <v>476</v>
      </c>
      <c r="I697" t="s">
        <v>481</v>
      </c>
      <c r="J697" t="s">
        <v>488</v>
      </c>
      <c r="K697" t="s">
        <v>528</v>
      </c>
      <c r="L697" t="s">
        <v>592</v>
      </c>
      <c r="M697" t="s">
        <v>588</v>
      </c>
      <c r="N697" t="s">
        <v>601</v>
      </c>
    </row>
    <row r="698" spans="1:14" x14ac:dyDescent="0.25">
      <c r="A698" t="s">
        <v>20</v>
      </c>
      <c r="B698" t="s">
        <v>137</v>
      </c>
      <c r="C698" t="s">
        <v>279</v>
      </c>
      <c r="D698" t="s">
        <v>424</v>
      </c>
      <c r="F698" t="s">
        <v>446</v>
      </c>
      <c r="G698" t="str">
        <f>HYPERLINK("https://ca.linkedin.com/jobs/view/senior-data-analyst-at-mueller-water-products-3122544636?refId=%2Fgo2ebBPlpUCgsW2uIr%2FoA%3D%3D&amp;trackingId=R597CaP2GXRhjTjRLWoDyg%3D%3D&amp;position=22&amp;pageNum=0&amp;trk=public_jobs_jserp-result_search-card", "Job Link")</f>
        <v>Job Link</v>
      </c>
      <c r="H698" t="s">
        <v>478</v>
      </c>
      <c r="I698" t="s">
        <v>481</v>
      </c>
      <c r="J698" t="s">
        <v>486</v>
      </c>
      <c r="K698" t="s">
        <v>530</v>
      </c>
      <c r="L698" t="s">
        <v>582</v>
      </c>
      <c r="M698" t="s">
        <v>588</v>
      </c>
      <c r="N698" t="s">
        <v>601</v>
      </c>
    </row>
    <row r="699" spans="1:14" x14ac:dyDescent="0.25">
      <c r="A699" t="s">
        <v>21</v>
      </c>
      <c r="B699" t="s">
        <v>138</v>
      </c>
      <c r="C699" t="s">
        <v>280</v>
      </c>
      <c r="D699" t="s">
        <v>424</v>
      </c>
      <c r="F699" t="s">
        <v>447</v>
      </c>
      <c r="G699" t="str">
        <f>HYPERLINK("https://ca.linkedin.com/jobs/view/data-entry-jr-analyst-6-month-contract-at-csl-group-ltd-3323214993?refId=%2Fgo2ebBPlpUCgsW2uIr%2FoA%3D%3D&amp;trackingId=maoVgpR9yKAVrfDDJCA%2FVA%3D%3D&amp;position=23&amp;pageNum=0&amp;trk=public_jobs_jserp-result_search-card", "Job Link")</f>
        <v>Job Link</v>
      </c>
      <c r="H699" t="s">
        <v>476</v>
      </c>
      <c r="I699" t="s">
        <v>484</v>
      </c>
      <c r="J699" t="s">
        <v>489</v>
      </c>
      <c r="K699" t="s">
        <v>531</v>
      </c>
      <c r="L699" t="s">
        <v>593</v>
      </c>
      <c r="M699" t="s">
        <v>588</v>
      </c>
      <c r="N699" t="s">
        <v>601</v>
      </c>
    </row>
    <row r="700" spans="1:14" x14ac:dyDescent="0.25">
      <c r="A700" t="s">
        <v>14</v>
      </c>
      <c r="B700" t="s">
        <v>140</v>
      </c>
      <c r="C700" t="s">
        <v>282</v>
      </c>
      <c r="D700" t="s">
        <v>424</v>
      </c>
      <c r="F700" t="s">
        <v>440</v>
      </c>
      <c r="G700" t="str">
        <f>HYPERLINK("https://ca.linkedin.com/jobs/view/data-analyst-at-scotiabank-3365406993?refId=%2Fgo2ebBPlpUCgsW2uIr%2FoA%3D%3D&amp;trackingId=A%2FFh8UONqNsWdqiArZFGkw%3D%3D&amp;position=24&amp;pageNum=0&amp;trk=public_jobs_jserp-result_search-card", "Job Link")</f>
        <v>Job Link</v>
      </c>
      <c r="H700" t="s">
        <v>479</v>
      </c>
      <c r="I700" t="s">
        <v>481</v>
      </c>
      <c r="J700" t="s">
        <v>486</v>
      </c>
      <c r="K700" t="s">
        <v>533</v>
      </c>
      <c r="L700" t="s">
        <v>582</v>
      </c>
      <c r="M700" t="s">
        <v>588</v>
      </c>
      <c r="N700" t="s">
        <v>601</v>
      </c>
    </row>
    <row r="701" spans="1:14" x14ac:dyDescent="0.25">
      <c r="A701" t="s">
        <v>22</v>
      </c>
      <c r="B701" t="s">
        <v>139</v>
      </c>
      <c r="C701" t="s">
        <v>281</v>
      </c>
      <c r="D701" t="s">
        <v>424</v>
      </c>
      <c r="F701" t="s">
        <v>435</v>
      </c>
      <c r="G701" t="str">
        <f>HYPERLINK("https://ca.linkedin.com/jobs/view/quality-data-analyst-at-lululemon-3341634874?refId=%2Fgo2ebBPlpUCgsW2uIr%2FoA%3D%3D&amp;trackingId=Ss%2FI%2FxtOI127m4ArtTBdvQ%3D%3D&amp;position=25&amp;pageNum=0&amp;trk=public_jobs_jserp-result_search-card", "Job Link")</f>
        <v>Job Link</v>
      </c>
      <c r="H701" t="s">
        <v>476</v>
      </c>
      <c r="I701" t="s">
        <v>481</v>
      </c>
      <c r="J701" t="s">
        <v>486</v>
      </c>
      <c r="K701" t="s">
        <v>532</v>
      </c>
      <c r="L701" t="s">
        <v>590</v>
      </c>
      <c r="M701" t="s">
        <v>618</v>
      </c>
      <c r="N701" t="s">
        <v>601</v>
      </c>
    </row>
    <row r="702" spans="1:14" x14ac:dyDescent="0.25">
      <c r="A702" t="s">
        <v>14</v>
      </c>
      <c r="B702" t="s">
        <v>118</v>
      </c>
      <c r="C702" t="s">
        <v>258</v>
      </c>
      <c r="D702" t="s">
        <v>424</v>
      </c>
      <c r="F702" t="s">
        <v>430</v>
      </c>
      <c r="G702" t="str">
        <f>HYPERLINK("https://ca.linkedin.com/jobs/view/data-analyst-at-axonify-3324670516?refId=%2B0MxQlv0yqJZIJ%2FGAAHNCQ%3D%3D&amp;trackingId=KUriZ4immS6tLBW7vr22Qw%3D%3D&amp;position=1&amp;pageNum=0&amp;trk=public_jobs_jserp-result_search-card", "Job Link")</f>
        <v>Job Link</v>
      </c>
      <c r="H702" t="s">
        <v>476</v>
      </c>
      <c r="I702" t="s">
        <v>481</v>
      </c>
      <c r="J702" t="s">
        <v>486</v>
      </c>
      <c r="K702" t="s">
        <v>516</v>
      </c>
      <c r="L702" t="s">
        <v>581</v>
      </c>
      <c r="M702" t="s">
        <v>588</v>
      </c>
      <c r="N702" t="s">
        <v>601</v>
      </c>
    </row>
    <row r="703" spans="1:14" x14ac:dyDescent="0.25">
      <c r="A703" t="s">
        <v>14</v>
      </c>
      <c r="B703" t="s">
        <v>119</v>
      </c>
      <c r="C703" t="s">
        <v>259</v>
      </c>
      <c r="D703" t="s">
        <v>424</v>
      </c>
      <c r="F703" t="s">
        <v>431</v>
      </c>
      <c r="G703" t="str">
        <f>HYPERLINK("https://ca.linkedin.com/jobs/view/data-analyst-at-b3-systems-3361794123?refId=%2B0MxQlv0yqJZIJ%2FGAAHNCQ%3D%3D&amp;trackingId=QvQOQ8X2dwHVv2V4Yf%2BmEQ%3D%3D&amp;position=2&amp;pageNum=0&amp;trk=public_jobs_jserp-result_search-card", "Job Link")</f>
        <v>Job Link</v>
      </c>
      <c r="I703" t="s">
        <v>481</v>
      </c>
      <c r="L703" t="s">
        <v>582</v>
      </c>
      <c r="M703" t="s">
        <v>588</v>
      </c>
      <c r="N703" t="s">
        <v>601</v>
      </c>
    </row>
    <row r="704" spans="1:14" x14ac:dyDescent="0.25">
      <c r="A704" t="s">
        <v>14</v>
      </c>
      <c r="B704" t="s">
        <v>120</v>
      </c>
      <c r="C704" t="s">
        <v>260</v>
      </c>
      <c r="D704" t="s">
        <v>424</v>
      </c>
      <c r="F704" t="s">
        <v>431</v>
      </c>
      <c r="G704" t="str">
        <f>HYPERLINK("https://ca.linkedin.com/jobs/view/data-analyst-at-wood-mackenzie-3271782079?refId=%2B0MxQlv0yqJZIJ%2FGAAHNCQ%3D%3D&amp;trackingId=qwLZEOEKY1dwdYUQzj6SWg%3D%3D&amp;position=3&amp;pageNum=0&amp;trk=public_jobs_jserp-result_search-card", "Job Link")</f>
        <v>Job Link</v>
      </c>
      <c r="H704" t="s">
        <v>477</v>
      </c>
      <c r="I704" t="s">
        <v>481</v>
      </c>
      <c r="J704" t="s">
        <v>487</v>
      </c>
      <c r="K704" t="s">
        <v>517</v>
      </c>
      <c r="L704" t="s">
        <v>583</v>
      </c>
      <c r="M704" t="s">
        <v>610</v>
      </c>
      <c r="N704" t="s">
        <v>601</v>
      </c>
    </row>
    <row r="705" spans="1:14" x14ac:dyDescent="0.25">
      <c r="A705" t="s">
        <v>14</v>
      </c>
      <c r="B705" t="s">
        <v>122</v>
      </c>
      <c r="C705" t="s">
        <v>262</v>
      </c>
      <c r="D705" t="s">
        <v>424</v>
      </c>
      <c r="F705" t="s">
        <v>433</v>
      </c>
      <c r="G705" t="str">
        <f>HYPERLINK("https://ca.linkedin.com/jobs/view/data-analyst-at-nam-info-inc-3351590976?refId=%2B0MxQlv0yqJZIJ%2FGAAHNCQ%3D%3D&amp;trackingId=mEzB1iO18%2FedvdG0g%2F%2BMpg%3D%3D&amp;position=4&amp;pageNum=0&amp;trk=public_jobs_jserp-result_search-card", "Job Link")</f>
        <v>Job Link</v>
      </c>
      <c r="H705" t="s">
        <v>478</v>
      </c>
      <c r="I705" t="s">
        <v>483</v>
      </c>
      <c r="J705" t="s">
        <v>486</v>
      </c>
      <c r="K705" t="s">
        <v>518</v>
      </c>
      <c r="L705" t="s">
        <v>582</v>
      </c>
      <c r="M705" t="s">
        <v>588</v>
      </c>
      <c r="N705" t="s">
        <v>601</v>
      </c>
    </row>
    <row r="706" spans="1:14" x14ac:dyDescent="0.25">
      <c r="A706" t="s">
        <v>14</v>
      </c>
      <c r="B706" t="s">
        <v>123</v>
      </c>
      <c r="C706" t="s">
        <v>263</v>
      </c>
      <c r="D706" t="s">
        <v>424</v>
      </c>
      <c r="F706" t="s">
        <v>434</v>
      </c>
      <c r="G706" t="str">
        <f>HYPERLINK("https://ca.linkedin.com/jobs/view/data-analyst-at-citi-3263096865?refId=%2B0MxQlv0yqJZIJ%2FGAAHNCQ%3D%3D&amp;trackingId=6SqGHo%2FtKDMM0ViqBSh1Fg%3D%3D&amp;position=5&amp;pageNum=0&amp;trk=public_jobs_jserp-result_search-card", "Job Link")</f>
        <v>Job Link</v>
      </c>
      <c r="H706" t="s">
        <v>479</v>
      </c>
      <c r="I706" t="s">
        <v>481</v>
      </c>
      <c r="J706" t="s">
        <v>486</v>
      </c>
      <c r="K706" t="s">
        <v>519</v>
      </c>
      <c r="L706" t="s">
        <v>584</v>
      </c>
      <c r="M706" t="s">
        <v>588</v>
      </c>
      <c r="N706" t="s">
        <v>601</v>
      </c>
    </row>
    <row r="707" spans="1:14" x14ac:dyDescent="0.25">
      <c r="A707" t="s">
        <v>14</v>
      </c>
      <c r="B707" t="s">
        <v>121</v>
      </c>
      <c r="C707" t="s">
        <v>261</v>
      </c>
      <c r="D707" t="s">
        <v>424</v>
      </c>
      <c r="F707" t="s">
        <v>432</v>
      </c>
      <c r="G707" t="str">
        <f>HYPERLINK("https://ca.linkedin.com/jobs/view/data-analyst-at-loft-community-services-3364383026?refId=%2B0MxQlv0yqJZIJ%2FGAAHNCQ%3D%3D&amp;trackingId=dDR%2FN3UTlPk1a3uIcG%2BG0w%3D%3D&amp;position=6&amp;pageNum=0&amp;trk=public_jobs_jserp-result_search-card", "Job Link")</f>
        <v>Job Link</v>
      </c>
      <c r="I707" t="s">
        <v>482</v>
      </c>
      <c r="L707" t="s">
        <v>582</v>
      </c>
      <c r="M707" t="s">
        <v>588</v>
      </c>
      <c r="N707" t="s">
        <v>601</v>
      </c>
    </row>
    <row r="708" spans="1:14" x14ac:dyDescent="0.25">
      <c r="A708" t="s">
        <v>14</v>
      </c>
      <c r="B708" t="s">
        <v>124</v>
      </c>
      <c r="C708" t="s">
        <v>264</v>
      </c>
      <c r="D708" t="s">
        <v>424</v>
      </c>
      <c r="F708" t="s">
        <v>435</v>
      </c>
      <c r="G708" t="str">
        <f>HYPERLINK("https://ca.linkedin.com/jobs/view/data-analyst-at-king-s-college-london-3335332409?refId=%2B0MxQlv0yqJZIJ%2FGAAHNCQ%3D%3D&amp;trackingId=Q08UV%2FqcPopwPyZIqodqBg%3D%3D&amp;position=7&amp;pageNum=0&amp;trk=public_jobs_jserp-result_search-card", "Job Link")</f>
        <v>Job Link</v>
      </c>
      <c r="H708" t="s">
        <v>476</v>
      </c>
      <c r="I708" t="s">
        <v>481</v>
      </c>
      <c r="J708" t="s">
        <v>486</v>
      </c>
      <c r="K708" t="s">
        <v>520</v>
      </c>
      <c r="L708" t="s">
        <v>585</v>
      </c>
      <c r="M708" t="s">
        <v>588</v>
      </c>
      <c r="N708" t="s">
        <v>601</v>
      </c>
    </row>
    <row r="709" spans="1:14" x14ac:dyDescent="0.25">
      <c r="A709" t="s">
        <v>15</v>
      </c>
      <c r="B709" t="s">
        <v>125</v>
      </c>
      <c r="C709" t="s">
        <v>265</v>
      </c>
      <c r="D709" t="s">
        <v>424</v>
      </c>
      <c r="F709" t="s">
        <v>431</v>
      </c>
      <c r="G709" t="str">
        <f>HYPERLINK("https://ca.linkedin.com/jobs/view/data-analyst-remote-at-cognizant-microsoft-business-group-3333618510?refId=%2B0MxQlv0yqJZIJ%2FGAAHNCQ%3D%3D&amp;trackingId=bBacZ4hqnxon687AJ9TAbA%3D%3D&amp;position=8&amp;pageNum=0&amp;trk=public_jobs_jserp-result_search-card", "Job Link")</f>
        <v>Job Link</v>
      </c>
      <c r="H709" t="s">
        <v>476</v>
      </c>
      <c r="I709" t="s">
        <v>481</v>
      </c>
      <c r="J709" t="s">
        <v>486</v>
      </c>
      <c r="K709" t="s">
        <v>521</v>
      </c>
      <c r="L709" t="s">
        <v>582</v>
      </c>
      <c r="M709" t="s">
        <v>588</v>
      </c>
      <c r="N709" t="s">
        <v>601</v>
      </c>
    </row>
    <row r="710" spans="1:14" x14ac:dyDescent="0.25">
      <c r="A710" t="s">
        <v>16</v>
      </c>
      <c r="B710" t="s">
        <v>126</v>
      </c>
      <c r="C710" t="s">
        <v>266</v>
      </c>
      <c r="D710" t="s">
        <v>424</v>
      </c>
      <c r="F710" t="s">
        <v>436</v>
      </c>
      <c r="G710" t="str">
        <f>HYPERLINK("https://ca.linkedin.com/jobs/view/data-analyst-loans-at-tata-consultancy-services-3344804680?refId=%2B0MxQlv0yqJZIJ%2FGAAHNCQ%3D%3D&amp;trackingId=ihifHkvXp5ezGIta0rXVjg%3D%3D&amp;position=9&amp;pageNum=0&amp;trk=public_jobs_jserp-result_search-card", "Job Link")</f>
        <v>Job Link</v>
      </c>
      <c r="H710" t="s">
        <v>477</v>
      </c>
      <c r="I710" t="s">
        <v>481</v>
      </c>
      <c r="J710" t="s">
        <v>486</v>
      </c>
      <c r="K710" t="s">
        <v>517</v>
      </c>
      <c r="L710" t="s">
        <v>584</v>
      </c>
      <c r="M710" t="s">
        <v>588</v>
      </c>
      <c r="N710" t="s">
        <v>601</v>
      </c>
    </row>
    <row r="711" spans="1:14" x14ac:dyDescent="0.25">
      <c r="A711" t="s">
        <v>17</v>
      </c>
      <c r="B711" t="s">
        <v>123</v>
      </c>
      <c r="C711" t="s">
        <v>268</v>
      </c>
      <c r="D711" t="s">
        <v>424</v>
      </c>
      <c r="F711" t="s">
        <v>438</v>
      </c>
      <c r="G711" t="str">
        <f>HYPERLINK("https://ca.linkedin.com/jobs/view/data-analyst-developer-at-citi-3322089923?refId=%2B0MxQlv0yqJZIJ%2FGAAHNCQ%3D%3D&amp;trackingId=EtYZd1mLzCIAOWo4hOpMkw%3D%3D&amp;position=10&amp;pageNum=0&amp;trk=public_jobs_jserp-result_search-card", "Job Link")</f>
        <v>Job Link</v>
      </c>
      <c r="H711" t="s">
        <v>479</v>
      </c>
      <c r="I711" t="s">
        <v>481</v>
      </c>
      <c r="J711" t="s">
        <v>486</v>
      </c>
      <c r="K711" t="s">
        <v>519</v>
      </c>
      <c r="L711" t="s">
        <v>584</v>
      </c>
      <c r="M711" t="s">
        <v>588</v>
      </c>
      <c r="N711" t="s">
        <v>601</v>
      </c>
    </row>
    <row r="712" spans="1:14" x14ac:dyDescent="0.25">
      <c r="A712" t="s">
        <v>14</v>
      </c>
      <c r="B712" t="s">
        <v>128</v>
      </c>
      <c r="C712" t="s">
        <v>269</v>
      </c>
      <c r="D712" t="s">
        <v>424</v>
      </c>
      <c r="F712" t="s">
        <v>439</v>
      </c>
      <c r="G712" t="str">
        <f>HYPERLINK("https://ca.linkedin.com/jobs/view/data-analyst-at-diverse-lynx-3363377240?refId=%2B0MxQlv0yqJZIJ%2FGAAHNCQ%3D%3D&amp;trackingId=JFFrqpB19mhmqXkZNByeQA%3D%3D&amp;position=11&amp;pageNum=0&amp;trk=public_jobs_jserp-result_search-card", "Job Link")</f>
        <v>Job Link</v>
      </c>
      <c r="H712" t="s">
        <v>476</v>
      </c>
      <c r="I712" t="s">
        <v>481</v>
      </c>
      <c r="J712" t="s">
        <v>486</v>
      </c>
      <c r="K712" t="s">
        <v>516</v>
      </c>
      <c r="L712" t="s">
        <v>586</v>
      </c>
      <c r="M712" t="s">
        <v>617</v>
      </c>
      <c r="N712" t="s">
        <v>601</v>
      </c>
    </row>
    <row r="713" spans="1:14" x14ac:dyDescent="0.25">
      <c r="A713" t="s">
        <v>14</v>
      </c>
      <c r="B713" t="s">
        <v>129</v>
      </c>
      <c r="C713" t="s">
        <v>270</v>
      </c>
      <c r="D713" t="s">
        <v>424</v>
      </c>
      <c r="F713" t="s">
        <v>440</v>
      </c>
      <c r="G713" t="str">
        <f>HYPERLINK("https://ca.linkedin.com/jobs/view/data-analyst-at-agricorp-3364433441?refId=%2B0MxQlv0yqJZIJ%2FGAAHNCQ%3D%3D&amp;trackingId=tA%2FBzvC4zaIlcBgw7kuQow%3D%3D&amp;position=12&amp;pageNum=0&amp;trk=public_jobs_jserp-result_search-card", "Job Link")</f>
        <v>Job Link</v>
      </c>
      <c r="H713" t="s">
        <v>476</v>
      </c>
      <c r="I713" t="s">
        <v>481</v>
      </c>
      <c r="J713" t="s">
        <v>486</v>
      </c>
      <c r="K713" t="s">
        <v>523</v>
      </c>
      <c r="L713" t="s">
        <v>587</v>
      </c>
      <c r="M713" t="s">
        <v>588</v>
      </c>
      <c r="N713" t="s">
        <v>601</v>
      </c>
    </row>
    <row r="714" spans="1:14" x14ac:dyDescent="0.25">
      <c r="A714" t="s">
        <v>14</v>
      </c>
      <c r="B714" t="s">
        <v>128</v>
      </c>
      <c r="C714" t="s">
        <v>277</v>
      </c>
      <c r="D714" t="s">
        <v>424</v>
      </c>
      <c r="F714" t="s">
        <v>439</v>
      </c>
      <c r="G714" t="str">
        <f>HYPERLINK("https://ca.linkedin.com/jobs/view/data-analyst-at-diverse-lynx-3363374746?refId=%2B0MxQlv0yqJZIJ%2FGAAHNCQ%3D%3D&amp;trackingId=Qb79NVuacCcsbfaaODSXUg%3D%3D&amp;position=13&amp;pageNum=0&amp;trk=public_jobs_jserp-result_search-card", "Job Link")</f>
        <v>Job Link</v>
      </c>
      <c r="H714" t="s">
        <v>476</v>
      </c>
      <c r="I714" t="s">
        <v>481</v>
      </c>
      <c r="J714" t="s">
        <v>486</v>
      </c>
      <c r="K714" t="s">
        <v>516</v>
      </c>
      <c r="L714" t="s">
        <v>586</v>
      </c>
      <c r="M714" t="s">
        <v>617</v>
      </c>
      <c r="N714" t="s">
        <v>601</v>
      </c>
    </row>
    <row r="715" spans="1:14" x14ac:dyDescent="0.25">
      <c r="A715" t="s">
        <v>18</v>
      </c>
      <c r="B715" t="s">
        <v>130</v>
      </c>
      <c r="C715" t="s">
        <v>271</v>
      </c>
      <c r="D715" t="s">
        <v>424</v>
      </c>
      <c r="F715" t="s">
        <v>441</v>
      </c>
      <c r="G715" t="str">
        <f>HYPERLINK("https://ca.linkedin.com/jobs/view/junior-data-analyst-mississauga-on-at-arjo-3323264354?refId=%2B0MxQlv0yqJZIJ%2FGAAHNCQ%3D%3D&amp;trackingId=gDq88npep61AzepFnLIyxg%3D%3D&amp;position=14&amp;pageNum=0&amp;trk=public_jobs_jserp-result_search-card", "Job Link")</f>
        <v>Job Link</v>
      </c>
      <c r="H715" t="s">
        <v>479</v>
      </c>
      <c r="I715" t="s">
        <v>481</v>
      </c>
      <c r="J715" t="s">
        <v>486</v>
      </c>
      <c r="K715" t="s">
        <v>524</v>
      </c>
      <c r="L715" t="s">
        <v>588</v>
      </c>
      <c r="M715" t="s">
        <v>601</v>
      </c>
    </row>
    <row r="716" spans="1:14" x14ac:dyDescent="0.25">
      <c r="A716" t="s">
        <v>14</v>
      </c>
      <c r="B716" t="s">
        <v>127</v>
      </c>
      <c r="C716" t="s">
        <v>267</v>
      </c>
      <c r="D716" t="s">
        <v>424</v>
      </c>
      <c r="F716" t="s">
        <v>437</v>
      </c>
      <c r="G716" t="str">
        <f>HYPERLINK("https://ca.linkedin.com/jobs/view/data-analyst-at-vubiquity-3365112221?refId=%2B0MxQlv0yqJZIJ%2FGAAHNCQ%3D%3D&amp;trackingId=LVLa%2BB77P4smr5po7X1iuA%3D%3D&amp;position=15&amp;pageNum=0&amp;trk=public_jobs_jserp-result_search-card", "Job Link")</f>
        <v>Job Link</v>
      </c>
      <c r="H716" t="s">
        <v>476</v>
      </c>
      <c r="I716" t="s">
        <v>481</v>
      </c>
      <c r="J716" t="s">
        <v>486</v>
      </c>
      <c r="K716" t="s">
        <v>522</v>
      </c>
      <c r="L716" t="s">
        <v>582</v>
      </c>
      <c r="M716" t="s">
        <v>588</v>
      </c>
      <c r="N716" t="s">
        <v>601</v>
      </c>
    </row>
    <row r="717" spans="1:14" x14ac:dyDescent="0.25">
      <c r="A717" t="s">
        <v>14</v>
      </c>
      <c r="B717" t="s">
        <v>135</v>
      </c>
      <c r="C717" t="s">
        <v>276</v>
      </c>
      <c r="D717" t="s">
        <v>424</v>
      </c>
      <c r="F717" t="s">
        <v>440</v>
      </c>
      <c r="G717" t="str">
        <f>HYPERLINK("https://ca.linkedin.com/jobs/view/data-analyst-at-magna-international-3370822450?refId=%2B0MxQlv0yqJZIJ%2FGAAHNCQ%3D%3D&amp;trackingId=eDOXnXN%2FQqQbCQPCc0JPqA%3D%3D&amp;position=16&amp;pageNum=0&amp;trk=public_jobs_jserp-result_search-card", "Job Link")</f>
        <v>Job Link</v>
      </c>
      <c r="H717" t="s">
        <v>476</v>
      </c>
      <c r="I717" t="s">
        <v>481</v>
      </c>
      <c r="J717" t="s">
        <v>488</v>
      </c>
      <c r="K717" t="s">
        <v>528</v>
      </c>
      <c r="L717" t="s">
        <v>592</v>
      </c>
      <c r="M717" t="s">
        <v>588</v>
      </c>
      <c r="N717" t="s">
        <v>601</v>
      </c>
    </row>
    <row r="718" spans="1:14" x14ac:dyDescent="0.25">
      <c r="A718" t="s">
        <v>14</v>
      </c>
      <c r="B718" t="s">
        <v>131</v>
      </c>
      <c r="C718" t="s">
        <v>272</v>
      </c>
      <c r="D718" t="s">
        <v>424</v>
      </c>
      <c r="F718" t="s">
        <v>442</v>
      </c>
      <c r="G718" t="str">
        <f>HYPERLINK("https://ca.linkedin.com/jobs/view/data-analyst-at-westland-insurance-group-ltd-3345807760?refId=%2B0MxQlv0yqJZIJ%2FGAAHNCQ%3D%3D&amp;trackingId=gAvHfup%2BJ9woq7DcO6XA2w%3D%3D&amp;position=17&amp;pageNum=0&amp;trk=public_jobs_jserp-result_search-card", "Job Link")</f>
        <v>Job Link</v>
      </c>
      <c r="H718" t="s">
        <v>476</v>
      </c>
      <c r="I718" t="s">
        <v>481</v>
      </c>
      <c r="J718" t="s">
        <v>486</v>
      </c>
      <c r="K718" t="s">
        <v>525</v>
      </c>
      <c r="L718" t="s">
        <v>589</v>
      </c>
      <c r="M718" t="s">
        <v>618</v>
      </c>
      <c r="N718" t="s">
        <v>601</v>
      </c>
    </row>
    <row r="719" spans="1:14" x14ac:dyDescent="0.25">
      <c r="A719" t="s">
        <v>14</v>
      </c>
      <c r="B719" t="s">
        <v>133</v>
      </c>
      <c r="C719" t="s">
        <v>274</v>
      </c>
      <c r="D719" t="s">
        <v>424</v>
      </c>
      <c r="F719" t="s">
        <v>434</v>
      </c>
      <c r="G719" t="str">
        <f>HYPERLINK("https://ca.linkedin.com/jobs/view/data-analyst-at-momentum-financial-services-group-3355811523?refId=%2B0MxQlv0yqJZIJ%2FGAAHNCQ%3D%3D&amp;trackingId=nZgjFVw%2B7Ue09uoIKzjXcQ%3D%3D&amp;position=18&amp;pageNum=0&amp;trk=public_jobs_jserp-result_search-card", "Job Link")</f>
        <v>Job Link</v>
      </c>
      <c r="H719" t="s">
        <v>476</v>
      </c>
      <c r="I719" t="s">
        <v>481</v>
      </c>
      <c r="J719" t="s">
        <v>486</v>
      </c>
      <c r="K719" t="s">
        <v>527</v>
      </c>
      <c r="L719" t="s">
        <v>582</v>
      </c>
      <c r="M719" t="s">
        <v>588</v>
      </c>
      <c r="N719" t="s">
        <v>601</v>
      </c>
    </row>
    <row r="720" spans="1:14" x14ac:dyDescent="0.25">
      <c r="A720" t="s">
        <v>14</v>
      </c>
      <c r="B720" t="s">
        <v>134</v>
      </c>
      <c r="C720" t="s">
        <v>275</v>
      </c>
      <c r="D720" t="s">
        <v>424</v>
      </c>
      <c r="F720" t="s">
        <v>444</v>
      </c>
      <c r="G720" t="str">
        <f>HYPERLINK("https://ca.linkedin.com/jobs/view/data-analyst-at-tes-the-employment-solution-3322589522?refId=%2B0MxQlv0yqJZIJ%2FGAAHNCQ%3D%3D&amp;trackingId=jLc158lMU2WaDyirRFee9g%3D%3D&amp;position=19&amp;pageNum=0&amp;trk=public_jobs_jserp-result_search-card", "Job Link")</f>
        <v>Job Link</v>
      </c>
      <c r="H720" t="s">
        <v>476</v>
      </c>
      <c r="I720" t="s">
        <v>483</v>
      </c>
      <c r="J720" t="s">
        <v>486</v>
      </c>
      <c r="K720" t="s">
        <v>525</v>
      </c>
      <c r="L720" t="s">
        <v>591</v>
      </c>
      <c r="M720" t="s">
        <v>588</v>
      </c>
      <c r="N720" t="s">
        <v>601</v>
      </c>
    </row>
    <row r="721" spans="1:14" x14ac:dyDescent="0.25">
      <c r="A721" t="s">
        <v>19</v>
      </c>
      <c r="B721" t="s">
        <v>136</v>
      </c>
      <c r="C721" t="s">
        <v>278</v>
      </c>
      <c r="D721" t="s">
        <v>424</v>
      </c>
      <c r="F721" t="s">
        <v>445</v>
      </c>
      <c r="G721" t="str">
        <f>HYPERLINK("https://ca.linkedin.com/jobs/view/data-analyst-operations-at-sonder-inc-3229442908?refId=%2B0MxQlv0yqJZIJ%2FGAAHNCQ%3D%3D&amp;trackingId=sc3armWh7I%2FV3fiqWY5AaA%3D%3D&amp;position=20&amp;pageNum=0&amp;trk=public_jobs_jserp-result_search-card", "Job Link")</f>
        <v>Job Link</v>
      </c>
      <c r="H721" t="s">
        <v>476</v>
      </c>
      <c r="I721" t="s">
        <v>481</v>
      </c>
      <c r="J721" t="s">
        <v>486</v>
      </c>
      <c r="K721" t="s">
        <v>529</v>
      </c>
      <c r="L721" t="s">
        <v>582</v>
      </c>
      <c r="M721" t="s">
        <v>588</v>
      </c>
      <c r="N721" t="s">
        <v>601</v>
      </c>
    </row>
    <row r="722" spans="1:14" x14ac:dyDescent="0.25">
      <c r="A722" t="s">
        <v>20</v>
      </c>
      <c r="B722" t="s">
        <v>137</v>
      </c>
      <c r="C722" t="s">
        <v>279</v>
      </c>
      <c r="D722" t="s">
        <v>424</v>
      </c>
      <c r="F722" t="s">
        <v>446</v>
      </c>
      <c r="G722" t="str">
        <f>HYPERLINK("https://ca.linkedin.com/jobs/view/senior-data-analyst-at-mueller-water-products-3122544636?refId=%2B0MxQlv0yqJZIJ%2FGAAHNCQ%3D%3D&amp;trackingId=VCOpauUblM8wCeRWTSO7oA%3D%3D&amp;position=21&amp;pageNum=0&amp;trk=public_jobs_jserp-result_search-card", "Job Link")</f>
        <v>Job Link</v>
      </c>
      <c r="H722" t="s">
        <v>478</v>
      </c>
      <c r="I722" t="s">
        <v>481</v>
      </c>
      <c r="J722" t="s">
        <v>486</v>
      </c>
      <c r="K722" t="s">
        <v>530</v>
      </c>
      <c r="L722" t="s">
        <v>582</v>
      </c>
      <c r="M722" t="s">
        <v>588</v>
      </c>
      <c r="N722" t="s">
        <v>601</v>
      </c>
    </row>
    <row r="723" spans="1:14" x14ac:dyDescent="0.25">
      <c r="A723" t="s">
        <v>14</v>
      </c>
      <c r="B723" t="s">
        <v>128</v>
      </c>
      <c r="C723" t="s">
        <v>283</v>
      </c>
      <c r="D723" t="s">
        <v>424</v>
      </c>
      <c r="F723" t="s">
        <v>439</v>
      </c>
      <c r="G723" t="str">
        <f>HYPERLINK("https://ca.linkedin.com/jobs/view/data-analyst-at-diverse-lynx-3363122507?refId=%2B0MxQlv0yqJZIJ%2FGAAHNCQ%3D%3D&amp;trackingId=E4jWZEYrVYcSeCboXkoqLg%3D%3D&amp;position=22&amp;pageNum=0&amp;trk=public_jobs_jserp-result_search-card", "Job Link")</f>
        <v>Job Link</v>
      </c>
      <c r="H723" t="s">
        <v>476</v>
      </c>
      <c r="I723" t="s">
        <v>483</v>
      </c>
      <c r="J723" t="s">
        <v>486</v>
      </c>
      <c r="K723" t="s">
        <v>516</v>
      </c>
      <c r="L723" t="s">
        <v>594</v>
      </c>
      <c r="M723" t="s">
        <v>588</v>
      </c>
      <c r="N723" t="s">
        <v>601</v>
      </c>
    </row>
    <row r="724" spans="1:14" x14ac:dyDescent="0.25">
      <c r="A724" t="s">
        <v>21</v>
      </c>
      <c r="B724" t="s">
        <v>138</v>
      </c>
      <c r="C724" t="s">
        <v>280</v>
      </c>
      <c r="D724" t="s">
        <v>424</v>
      </c>
      <c r="F724" t="s">
        <v>447</v>
      </c>
      <c r="G724" t="str">
        <f>HYPERLINK("https://ca.linkedin.com/jobs/view/data-entry-jr-analyst-6-month-contract-at-csl-group-ltd-3323214993?refId=%2B0MxQlv0yqJZIJ%2FGAAHNCQ%3D%3D&amp;trackingId=tkRZ4PnBikBNzkfTuF8Row%3D%3D&amp;position=23&amp;pageNum=0&amp;trk=public_jobs_jserp-result_search-card", "Job Link")</f>
        <v>Job Link</v>
      </c>
      <c r="H724" t="s">
        <v>476</v>
      </c>
      <c r="I724" t="s">
        <v>484</v>
      </c>
      <c r="J724" t="s">
        <v>489</v>
      </c>
      <c r="K724" t="s">
        <v>531</v>
      </c>
      <c r="L724" t="s">
        <v>593</v>
      </c>
      <c r="M724" t="s">
        <v>588</v>
      </c>
      <c r="N724" t="s">
        <v>601</v>
      </c>
    </row>
    <row r="725" spans="1:14" x14ac:dyDescent="0.25">
      <c r="A725" t="s">
        <v>14</v>
      </c>
      <c r="B725" t="s">
        <v>132</v>
      </c>
      <c r="C725" t="s">
        <v>273</v>
      </c>
      <c r="D725" t="s">
        <v>424</v>
      </c>
      <c r="F725" t="s">
        <v>443</v>
      </c>
      <c r="G725" t="str">
        <f>HYPERLINK("https://ca.linkedin.com/jobs/view/data-analyst-at-fasken-3365947704?refId=%2B0MxQlv0yqJZIJ%2FGAAHNCQ%3D%3D&amp;trackingId=oOncW0hijxAabbpzkSZh3A%3D%3D&amp;position=24&amp;pageNum=0&amp;trk=public_jobs_jserp-result_search-card", "Job Link")</f>
        <v>Job Link</v>
      </c>
      <c r="H725" t="s">
        <v>476</v>
      </c>
      <c r="I725" t="s">
        <v>481</v>
      </c>
      <c r="J725" t="s">
        <v>486</v>
      </c>
      <c r="K725" t="s">
        <v>526</v>
      </c>
      <c r="L725" t="s">
        <v>590</v>
      </c>
      <c r="M725" t="s">
        <v>618</v>
      </c>
      <c r="N725" t="s">
        <v>601</v>
      </c>
    </row>
    <row r="726" spans="1:14" x14ac:dyDescent="0.25">
      <c r="A726" t="s">
        <v>22</v>
      </c>
      <c r="B726" t="s">
        <v>139</v>
      </c>
      <c r="C726" t="s">
        <v>281</v>
      </c>
      <c r="D726" t="s">
        <v>424</v>
      </c>
      <c r="F726" t="s">
        <v>435</v>
      </c>
      <c r="G726" t="str">
        <f>HYPERLINK("https://ca.linkedin.com/jobs/view/quality-data-analyst-at-lululemon-3341634874?refId=%2B0MxQlv0yqJZIJ%2FGAAHNCQ%3D%3D&amp;trackingId=ZRVgsG9ZWrJzGDECZNNsTg%3D%3D&amp;position=25&amp;pageNum=0&amp;trk=public_jobs_jserp-result_search-card", "Job Link")</f>
        <v>Job Link</v>
      </c>
      <c r="H726" t="s">
        <v>476</v>
      </c>
      <c r="I726" t="s">
        <v>481</v>
      </c>
      <c r="J726" t="s">
        <v>486</v>
      </c>
      <c r="K726" t="s">
        <v>532</v>
      </c>
      <c r="L726" t="s">
        <v>590</v>
      </c>
      <c r="M726" t="s">
        <v>618</v>
      </c>
      <c r="N726" t="s">
        <v>601</v>
      </c>
    </row>
    <row r="727" spans="1:14" x14ac:dyDescent="0.25">
      <c r="A727" t="s">
        <v>14</v>
      </c>
      <c r="B727" t="s">
        <v>118</v>
      </c>
      <c r="C727" t="s">
        <v>258</v>
      </c>
      <c r="D727" t="s">
        <v>424</v>
      </c>
      <c r="F727" t="s">
        <v>430</v>
      </c>
      <c r="G727" t="str">
        <f>HYPERLINK("https://ca.linkedin.com/jobs/view/data-analyst-at-axonify-3324670516?refId=PTuVQuT9EbpazfgTB6p%2BVA%3D%3D&amp;trackingId=5nlBhJSfba0oy4Et0Xj8Zg%3D%3D&amp;position=1&amp;pageNum=0&amp;trk=public_jobs_jserp-result_search-card", "Job Link")</f>
        <v>Job Link</v>
      </c>
      <c r="H727" t="s">
        <v>476</v>
      </c>
      <c r="I727" t="s">
        <v>481</v>
      </c>
      <c r="J727" t="s">
        <v>486</v>
      </c>
      <c r="K727" t="s">
        <v>516</v>
      </c>
      <c r="L727" t="s">
        <v>581</v>
      </c>
      <c r="M727" t="s">
        <v>588</v>
      </c>
      <c r="N727" t="s">
        <v>601</v>
      </c>
    </row>
    <row r="728" spans="1:14" x14ac:dyDescent="0.25">
      <c r="A728" t="s">
        <v>14</v>
      </c>
      <c r="B728" t="s">
        <v>119</v>
      </c>
      <c r="C728" t="s">
        <v>259</v>
      </c>
      <c r="D728" t="s">
        <v>424</v>
      </c>
      <c r="F728" t="s">
        <v>431</v>
      </c>
      <c r="G728" t="str">
        <f>HYPERLINK("https://ca.linkedin.com/jobs/view/data-analyst-at-b3-systems-3361794123?refId=PTuVQuT9EbpazfgTB6p%2BVA%3D%3D&amp;trackingId=xpJ0Bmm4FKMAEktYaXGS4g%3D%3D&amp;position=2&amp;pageNum=0&amp;trk=public_jobs_jserp-result_search-card", "Job Link")</f>
        <v>Job Link</v>
      </c>
      <c r="I728" t="s">
        <v>481</v>
      </c>
      <c r="L728" t="s">
        <v>582</v>
      </c>
      <c r="M728" t="s">
        <v>588</v>
      </c>
      <c r="N728" t="s">
        <v>601</v>
      </c>
    </row>
    <row r="729" spans="1:14" x14ac:dyDescent="0.25">
      <c r="A729" t="s">
        <v>14</v>
      </c>
      <c r="B729" t="s">
        <v>120</v>
      </c>
      <c r="C729" t="s">
        <v>260</v>
      </c>
      <c r="D729" t="s">
        <v>424</v>
      </c>
      <c r="F729" t="s">
        <v>431</v>
      </c>
      <c r="G729" t="str">
        <f>HYPERLINK("https://ca.linkedin.com/jobs/view/data-analyst-at-wood-mackenzie-3271782079?refId=PTuVQuT9EbpazfgTB6p%2BVA%3D%3D&amp;trackingId=cy%2BZo5HQbmufjKfu0NbHpg%3D%3D&amp;position=3&amp;pageNum=0&amp;trk=public_jobs_jserp-result_search-card", "Job Link")</f>
        <v>Job Link</v>
      </c>
      <c r="H729" t="s">
        <v>477</v>
      </c>
      <c r="I729" t="s">
        <v>481</v>
      </c>
      <c r="J729" t="s">
        <v>487</v>
      </c>
      <c r="K729" t="s">
        <v>517</v>
      </c>
      <c r="L729" t="s">
        <v>583</v>
      </c>
      <c r="M729" t="s">
        <v>610</v>
      </c>
      <c r="N729" t="s">
        <v>601</v>
      </c>
    </row>
    <row r="730" spans="1:14" x14ac:dyDescent="0.25">
      <c r="A730" t="s">
        <v>14</v>
      </c>
      <c r="B730" t="s">
        <v>122</v>
      </c>
      <c r="C730" t="s">
        <v>262</v>
      </c>
      <c r="D730" t="s">
        <v>424</v>
      </c>
      <c r="F730" t="s">
        <v>433</v>
      </c>
      <c r="G730" t="str">
        <f>HYPERLINK("https://ca.linkedin.com/jobs/view/data-analyst-at-nam-info-inc-3351590976?refId=PTuVQuT9EbpazfgTB6p%2BVA%3D%3D&amp;trackingId=xmM%2BDJwxCq53z%2F96ZCliqA%3D%3D&amp;position=4&amp;pageNum=0&amp;trk=public_jobs_jserp-result_search-card", "Job Link")</f>
        <v>Job Link</v>
      </c>
      <c r="H730" t="s">
        <v>478</v>
      </c>
      <c r="I730" t="s">
        <v>483</v>
      </c>
      <c r="J730" t="s">
        <v>486</v>
      </c>
      <c r="K730" t="s">
        <v>518</v>
      </c>
      <c r="L730" t="s">
        <v>582</v>
      </c>
      <c r="M730" t="s">
        <v>588</v>
      </c>
      <c r="N730" t="s">
        <v>601</v>
      </c>
    </row>
    <row r="731" spans="1:14" x14ac:dyDescent="0.25">
      <c r="A731" t="s">
        <v>14</v>
      </c>
      <c r="B731" t="s">
        <v>123</v>
      </c>
      <c r="C731" t="s">
        <v>263</v>
      </c>
      <c r="D731" t="s">
        <v>424</v>
      </c>
      <c r="F731" t="s">
        <v>434</v>
      </c>
      <c r="G731" t="str">
        <f>HYPERLINK("https://ca.linkedin.com/jobs/view/data-analyst-at-citi-3263096865?refId=PTuVQuT9EbpazfgTB6p%2BVA%3D%3D&amp;trackingId=aebv3zwGSS3pF0U7cpl3ow%3D%3D&amp;position=5&amp;pageNum=0&amp;trk=public_jobs_jserp-result_search-card", "Job Link")</f>
        <v>Job Link</v>
      </c>
      <c r="H731" t="s">
        <v>479</v>
      </c>
      <c r="I731" t="s">
        <v>481</v>
      </c>
      <c r="J731" t="s">
        <v>486</v>
      </c>
      <c r="K731" t="s">
        <v>519</v>
      </c>
      <c r="L731" t="s">
        <v>584</v>
      </c>
      <c r="M731" t="s">
        <v>588</v>
      </c>
      <c r="N731" t="s">
        <v>601</v>
      </c>
    </row>
    <row r="732" spans="1:14" x14ac:dyDescent="0.25">
      <c r="A732" t="s">
        <v>14</v>
      </c>
      <c r="B732" t="s">
        <v>121</v>
      </c>
      <c r="C732" t="s">
        <v>261</v>
      </c>
      <c r="D732" t="s">
        <v>424</v>
      </c>
      <c r="F732" t="s">
        <v>432</v>
      </c>
      <c r="G732" t="str">
        <f>HYPERLINK("https://ca.linkedin.com/jobs/view/data-analyst-at-loft-community-services-3364383026?refId=PTuVQuT9EbpazfgTB6p%2BVA%3D%3D&amp;trackingId=Y%2BouDt8vIjCAPjPzfo2uyg%3D%3D&amp;position=6&amp;pageNum=0&amp;trk=public_jobs_jserp-result_search-card", "Job Link")</f>
        <v>Job Link</v>
      </c>
      <c r="I732" t="s">
        <v>482</v>
      </c>
      <c r="L732" t="s">
        <v>582</v>
      </c>
      <c r="M732" t="s">
        <v>588</v>
      </c>
      <c r="N732" t="s">
        <v>601</v>
      </c>
    </row>
    <row r="733" spans="1:14" x14ac:dyDescent="0.25">
      <c r="A733" t="s">
        <v>14</v>
      </c>
      <c r="B733" t="s">
        <v>124</v>
      </c>
      <c r="C733" t="s">
        <v>264</v>
      </c>
      <c r="D733" t="s">
        <v>424</v>
      </c>
      <c r="F733" t="s">
        <v>435</v>
      </c>
      <c r="G733" t="str">
        <f>HYPERLINK("https://ca.linkedin.com/jobs/view/data-analyst-at-king-s-college-london-3335332409?refId=PTuVQuT9EbpazfgTB6p%2BVA%3D%3D&amp;trackingId=Y559JSrdFMMnJhAeIZJPPA%3D%3D&amp;position=7&amp;pageNum=0&amp;trk=public_jobs_jserp-result_search-card", "Job Link")</f>
        <v>Job Link</v>
      </c>
      <c r="H733" t="s">
        <v>476</v>
      </c>
      <c r="I733" t="s">
        <v>481</v>
      </c>
      <c r="J733" t="s">
        <v>486</v>
      </c>
      <c r="K733" t="s">
        <v>520</v>
      </c>
      <c r="L733" t="s">
        <v>585</v>
      </c>
      <c r="M733" t="s">
        <v>588</v>
      </c>
      <c r="N733" t="s">
        <v>601</v>
      </c>
    </row>
    <row r="734" spans="1:14" x14ac:dyDescent="0.25">
      <c r="A734" t="s">
        <v>15</v>
      </c>
      <c r="B734" t="s">
        <v>125</v>
      </c>
      <c r="C734" t="s">
        <v>265</v>
      </c>
      <c r="D734" t="s">
        <v>424</v>
      </c>
      <c r="F734" t="s">
        <v>431</v>
      </c>
      <c r="G734" t="str">
        <f>HYPERLINK("https://ca.linkedin.com/jobs/view/data-analyst-remote-at-cognizant-microsoft-business-group-3333618510?refId=PTuVQuT9EbpazfgTB6p%2BVA%3D%3D&amp;trackingId=5xYAPqH9EZlIhPnRiuJ5bw%3D%3D&amp;position=8&amp;pageNum=0&amp;trk=public_jobs_jserp-result_search-card", "Job Link")</f>
        <v>Job Link</v>
      </c>
      <c r="H734" t="s">
        <v>476</v>
      </c>
      <c r="I734" t="s">
        <v>481</v>
      </c>
      <c r="J734" t="s">
        <v>486</v>
      </c>
      <c r="K734" t="s">
        <v>521</v>
      </c>
      <c r="L734" t="s">
        <v>582</v>
      </c>
      <c r="M734" t="s">
        <v>588</v>
      </c>
      <c r="N734" t="s">
        <v>601</v>
      </c>
    </row>
    <row r="735" spans="1:14" x14ac:dyDescent="0.25">
      <c r="A735" t="s">
        <v>16</v>
      </c>
      <c r="B735" t="s">
        <v>126</v>
      </c>
      <c r="C735" t="s">
        <v>266</v>
      </c>
      <c r="D735" t="s">
        <v>424</v>
      </c>
      <c r="F735" t="s">
        <v>436</v>
      </c>
      <c r="G735" t="str">
        <f>HYPERLINK("https://ca.linkedin.com/jobs/view/data-analyst-loans-at-tata-consultancy-services-3344804680?refId=PTuVQuT9EbpazfgTB6p%2BVA%3D%3D&amp;trackingId=PiYn0e8KPKRb%2F4nv4VjjLA%3D%3D&amp;position=9&amp;pageNum=0&amp;trk=public_jobs_jserp-result_search-card", "Job Link")</f>
        <v>Job Link</v>
      </c>
      <c r="H735" t="s">
        <v>477</v>
      </c>
      <c r="I735" t="s">
        <v>481</v>
      </c>
      <c r="J735" t="s">
        <v>486</v>
      </c>
      <c r="K735" t="s">
        <v>517</v>
      </c>
      <c r="L735" t="s">
        <v>584</v>
      </c>
      <c r="M735" t="s">
        <v>588</v>
      </c>
      <c r="N735" t="s">
        <v>601</v>
      </c>
    </row>
    <row r="736" spans="1:14" x14ac:dyDescent="0.25">
      <c r="A736" t="s">
        <v>17</v>
      </c>
      <c r="B736" t="s">
        <v>123</v>
      </c>
      <c r="C736" t="s">
        <v>268</v>
      </c>
      <c r="D736" t="s">
        <v>424</v>
      </c>
      <c r="F736" t="s">
        <v>438</v>
      </c>
      <c r="G736" t="str">
        <f>HYPERLINK("https://ca.linkedin.com/jobs/view/data-analyst-developer-at-citi-3322089923?refId=PTuVQuT9EbpazfgTB6p%2BVA%3D%3D&amp;trackingId=5GekiDA49tnSUqm4WfV7yw%3D%3D&amp;position=10&amp;pageNum=0&amp;trk=public_jobs_jserp-result_search-card", "Job Link")</f>
        <v>Job Link</v>
      </c>
      <c r="H736" t="s">
        <v>479</v>
      </c>
      <c r="I736" t="s">
        <v>481</v>
      </c>
      <c r="J736" t="s">
        <v>486</v>
      </c>
      <c r="K736" t="s">
        <v>519</v>
      </c>
      <c r="L736" t="s">
        <v>584</v>
      </c>
      <c r="M736" t="s">
        <v>588</v>
      </c>
      <c r="N736" t="s">
        <v>601</v>
      </c>
    </row>
    <row r="737" spans="1:14" x14ac:dyDescent="0.25">
      <c r="A737" t="s">
        <v>14</v>
      </c>
      <c r="B737" t="s">
        <v>128</v>
      </c>
      <c r="C737" t="s">
        <v>284</v>
      </c>
      <c r="D737" t="s">
        <v>424</v>
      </c>
      <c r="F737" t="s">
        <v>439</v>
      </c>
      <c r="G737" t="str">
        <f>HYPERLINK("https://ca.linkedin.com/jobs/view/data-analyst-at-diverse-lynx-3363377240?refId=PTuVQuT9EbpazfgTB6p%2BVA%3D%3D&amp;trackingId=1jhnd%2FclWBdJliChxYGsWA%3D%3D&amp;position=11&amp;pageNum=0&amp;trk=public_jobs_jserp-result_search-card", "Job Link")</f>
        <v>Job Link</v>
      </c>
      <c r="L737" t="s">
        <v>586</v>
      </c>
      <c r="M737" t="s">
        <v>617</v>
      </c>
      <c r="N737" t="s">
        <v>601</v>
      </c>
    </row>
    <row r="738" spans="1:14" x14ac:dyDescent="0.25">
      <c r="A738" t="s">
        <v>14</v>
      </c>
      <c r="B738" t="s">
        <v>129</v>
      </c>
      <c r="C738" t="s">
        <v>270</v>
      </c>
      <c r="D738" t="s">
        <v>424</v>
      </c>
      <c r="F738" t="s">
        <v>440</v>
      </c>
      <c r="G738" t="str">
        <f>HYPERLINK("https://ca.linkedin.com/jobs/view/data-analyst-at-agricorp-3364433441?refId=PTuVQuT9EbpazfgTB6p%2BVA%3D%3D&amp;trackingId=YmFyvi5WefOaIpZqgCh3bA%3D%3D&amp;position=12&amp;pageNum=0&amp;trk=public_jobs_jserp-result_search-card", "Job Link")</f>
        <v>Job Link</v>
      </c>
      <c r="H738" t="s">
        <v>476</v>
      </c>
      <c r="I738" t="s">
        <v>481</v>
      </c>
      <c r="J738" t="s">
        <v>486</v>
      </c>
      <c r="K738" t="s">
        <v>523</v>
      </c>
      <c r="L738" t="s">
        <v>587</v>
      </c>
      <c r="M738" t="s">
        <v>588</v>
      </c>
      <c r="N738" t="s">
        <v>601</v>
      </c>
    </row>
    <row r="739" spans="1:14" x14ac:dyDescent="0.25">
      <c r="A739" t="s">
        <v>14</v>
      </c>
      <c r="B739" t="s">
        <v>128</v>
      </c>
      <c r="C739" t="s">
        <v>277</v>
      </c>
      <c r="D739" t="s">
        <v>424</v>
      </c>
      <c r="F739" t="s">
        <v>439</v>
      </c>
      <c r="G739" t="str">
        <f>HYPERLINK("https://ca.linkedin.com/jobs/view/data-analyst-at-diverse-lynx-3363374746?refId=PTuVQuT9EbpazfgTB6p%2BVA%3D%3D&amp;trackingId=chSD2iQNjL98SDhCLq3GVw%3D%3D&amp;position=13&amp;pageNum=0&amp;trk=public_jobs_jserp-result_search-card", "Job Link")</f>
        <v>Job Link</v>
      </c>
      <c r="H739" t="s">
        <v>476</v>
      </c>
      <c r="I739" t="s">
        <v>481</v>
      </c>
      <c r="J739" t="s">
        <v>486</v>
      </c>
      <c r="K739" t="s">
        <v>516</v>
      </c>
      <c r="L739" t="s">
        <v>586</v>
      </c>
      <c r="M739" t="s">
        <v>617</v>
      </c>
      <c r="N739" t="s">
        <v>601</v>
      </c>
    </row>
    <row r="740" spans="1:14" x14ac:dyDescent="0.25">
      <c r="A740" t="s">
        <v>18</v>
      </c>
      <c r="B740" t="s">
        <v>130</v>
      </c>
      <c r="C740" t="s">
        <v>271</v>
      </c>
      <c r="D740" t="s">
        <v>424</v>
      </c>
      <c r="F740" t="s">
        <v>441</v>
      </c>
      <c r="G740" t="str">
        <f>HYPERLINK("https://ca.linkedin.com/jobs/view/junior-data-analyst-mississauga-on-at-arjo-3323264354?refId=PTuVQuT9EbpazfgTB6p%2BVA%3D%3D&amp;trackingId=S2%2BBjeVTOaZKAJarbSLdOw%3D%3D&amp;position=14&amp;pageNum=0&amp;trk=public_jobs_jserp-result_search-card", "Job Link")</f>
        <v>Job Link</v>
      </c>
      <c r="H740" t="s">
        <v>479</v>
      </c>
      <c r="I740" t="s">
        <v>481</v>
      </c>
      <c r="J740" t="s">
        <v>486</v>
      </c>
      <c r="K740" t="s">
        <v>524</v>
      </c>
      <c r="L740" t="s">
        <v>588</v>
      </c>
      <c r="M740" t="s">
        <v>601</v>
      </c>
    </row>
    <row r="741" spans="1:14" x14ac:dyDescent="0.25">
      <c r="A741" t="s">
        <v>14</v>
      </c>
      <c r="B741" t="s">
        <v>127</v>
      </c>
      <c r="C741" t="s">
        <v>267</v>
      </c>
      <c r="D741" t="s">
        <v>424</v>
      </c>
      <c r="F741" t="s">
        <v>437</v>
      </c>
      <c r="G741" t="str">
        <f>HYPERLINK("https://ca.linkedin.com/jobs/view/data-analyst-at-vubiquity-3365112221?refId=PTuVQuT9EbpazfgTB6p%2BVA%3D%3D&amp;trackingId=q%2FNaioXtrHG%2B%2Fw%2FeTY3vow%3D%3D&amp;position=15&amp;pageNum=0&amp;trk=public_jobs_jserp-result_search-card", "Job Link")</f>
        <v>Job Link</v>
      </c>
      <c r="H741" t="s">
        <v>476</v>
      </c>
      <c r="I741" t="s">
        <v>481</v>
      </c>
      <c r="J741" t="s">
        <v>486</v>
      </c>
      <c r="K741" t="s">
        <v>522</v>
      </c>
      <c r="L741" t="s">
        <v>582</v>
      </c>
      <c r="M741" t="s">
        <v>588</v>
      </c>
      <c r="N741" t="s">
        <v>601</v>
      </c>
    </row>
    <row r="742" spans="1:14" x14ac:dyDescent="0.25">
      <c r="A742" t="s">
        <v>14</v>
      </c>
      <c r="B742" t="s">
        <v>135</v>
      </c>
      <c r="C742" t="s">
        <v>276</v>
      </c>
      <c r="D742" t="s">
        <v>424</v>
      </c>
      <c r="F742" t="s">
        <v>440</v>
      </c>
      <c r="G742" t="str">
        <f>HYPERLINK("https://ca.linkedin.com/jobs/view/data-analyst-at-magna-international-3370822450?refId=PTuVQuT9EbpazfgTB6p%2BVA%3D%3D&amp;trackingId=dowY30wGHcj4aEEwhEQsPw%3D%3D&amp;position=16&amp;pageNum=0&amp;trk=public_jobs_jserp-result_search-card", "Job Link")</f>
        <v>Job Link</v>
      </c>
      <c r="H742" t="s">
        <v>476</v>
      </c>
      <c r="I742" t="s">
        <v>481</v>
      </c>
      <c r="J742" t="s">
        <v>488</v>
      </c>
      <c r="K742" t="s">
        <v>528</v>
      </c>
      <c r="L742" t="s">
        <v>592</v>
      </c>
      <c r="M742" t="s">
        <v>588</v>
      </c>
      <c r="N742" t="s">
        <v>601</v>
      </c>
    </row>
    <row r="743" spans="1:14" x14ac:dyDescent="0.25">
      <c r="A743" t="s">
        <v>14</v>
      </c>
      <c r="B743" t="s">
        <v>131</v>
      </c>
      <c r="C743" t="s">
        <v>272</v>
      </c>
      <c r="D743" t="s">
        <v>424</v>
      </c>
      <c r="F743" t="s">
        <v>442</v>
      </c>
      <c r="G743" t="str">
        <f>HYPERLINK("https://ca.linkedin.com/jobs/view/data-analyst-at-westland-insurance-group-ltd-3345807760?refId=PTuVQuT9EbpazfgTB6p%2BVA%3D%3D&amp;trackingId=tYk6oaZLq%2FyuDCPblP4eTg%3D%3D&amp;position=17&amp;pageNum=0&amp;trk=public_jobs_jserp-result_search-card", "Job Link")</f>
        <v>Job Link</v>
      </c>
      <c r="H743" t="s">
        <v>476</v>
      </c>
      <c r="I743" t="s">
        <v>481</v>
      </c>
      <c r="J743" t="s">
        <v>486</v>
      </c>
      <c r="K743" t="s">
        <v>525</v>
      </c>
      <c r="L743" t="s">
        <v>589</v>
      </c>
      <c r="M743" t="s">
        <v>618</v>
      </c>
      <c r="N743" t="s">
        <v>601</v>
      </c>
    </row>
    <row r="744" spans="1:14" x14ac:dyDescent="0.25">
      <c r="A744" t="s">
        <v>14</v>
      </c>
      <c r="B744" t="s">
        <v>133</v>
      </c>
      <c r="C744" t="s">
        <v>274</v>
      </c>
      <c r="D744" t="s">
        <v>424</v>
      </c>
      <c r="F744" t="s">
        <v>434</v>
      </c>
      <c r="G744" t="str">
        <f>HYPERLINK("https://ca.linkedin.com/jobs/view/data-analyst-at-momentum-financial-services-group-3355811523?refId=PTuVQuT9EbpazfgTB6p%2BVA%3D%3D&amp;trackingId=VMiaHVSeOlEP3sGJ104vLw%3D%3D&amp;position=18&amp;pageNum=0&amp;trk=public_jobs_jserp-result_search-card", "Job Link")</f>
        <v>Job Link</v>
      </c>
      <c r="H744" t="s">
        <v>476</v>
      </c>
      <c r="I744" t="s">
        <v>481</v>
      </c>
      <c r="J744" t="s">
        <v>486</v>
      </c>
      <c r="K744" t="s">
        <v>527</v>
      </c>
      <c r="L744" t="s">
        <v>582</v>
      </c>
      <c r="M744" t="s">
        <v>588</v>
      </c>
      <c r="N744" t="s">
        <v>601</v>
      </c>
    </row>
    <row r="745" spans="1:14" x14ac:dyDescent="0.25">
      <c r="A745" t="s">
        <v>14</v>
      </c>
      <c r="B745" t="s">
        <v>134</v>
      </c>
      <c r="C745" t="s">
        <v>275</v>
      </c>
      <c r="D745" t="s">
        <v>424</v>
      </c>
      <c r="F745" t="s">
        <v>444</v>
      </c>
      <c r="G745" t="str">
        <f>HYPERLINK("https://ca.linkedin.com/jobs/view/data-analyst-at-tes-the-employment-solution-3322589522?refId=PTuVQuT9EbpazfgTB6p%2BVA%3D%3D&amp;trackingId=30pcsJ4poEHpuPwZMJH%2FjA%3D%3D&amp;position=19&amp;pageNum=0&amp;trk=public_jobs_jserp-result_search-card", "Job Link")</f>
        <v>Job Link</v>
      </c>
      <c r="H745" t="s">
        <v>476</v>
      </c>
      <c r="I745" t="s">
        <v>483</v>
      </c>
      <c r="J745" t="s">
        <v>486</v>
      </c>
      <c r="K745" t="s">
        <v>525</v>
      </c>
      <c r="L745" t="s">
        <v>591</v>
      </c>
      <c r="M745" t="s">
        <v>588</v>
      </c>
      <c r="N745" t="s">
        <v>601</v>
      </c>
    </row>
    <row r="746" spans="1:14" x14ac:dyDescent="0.25">
      <c r="A746" t="s">
        <v>19</v>
      </c>
      <c r="B746" t="s">
        <v>136</v>
      </c>
      <c r="C746" t="s">
        <v>278</v>
      </c>
      <c r="D746" t="s">
        <v>424</v>
      </c>
      <c r="F746" t="s">
        <v>445</v>
      </c>
      <c r="G746" t="str">
        <f>HYPERLINK("https://ca.linkedin.com/jobs/view/data-analyst-operations-at-sonder-inc-3229442908?refId=PTuVQuT9EbpazfgTB6p%2BVA%3D%3D&amp;trackingId=%2BUUHht69R6UrLZrxHh7sxA%3D%3D&amp;position=20&amp;pageNum=0&amp;trk=public_jobs_jserp-result_search-card", "Job Link")</f>
        <v>Job Link</v>
      </c>
      <c r="H746" t="s">
        <v>476</v>
      </c>
      <c r="I746" t="s">
        <v>481</v>
      </c>
      <c r="J746" t="s">
        <v>486</v>
      </c>
      <c r="K746" t="s">
        <v>529</v>
      </c>
      <c r="L746" t="s">
        <v>582</v>
      </c>
      <c r="M746" t="s">
        <v>588</v>
      </c>
      <c r="N746" t="s">
        <v>601</v>
      </c>
    </row>
    <row r="747" spans="1:14" x14ac:dyDescent="0.25">
      <c r="A747" t="s">
        <v>20</v>
      </c>
      <c r="B747" t="s">
        <v>137</v>
      </c>
      <c r="C747" t="s">
        <v>279</v>
      </c>
      <c r="D747" t="s">
        <v>424</v>
      </c>
      <c r="F747" t="s">
        <v>446</v>
      </c>
      <c r="G747" t="str">
        <f>HYPERLINK("https://ca.linkedin.com/jobs/view/senior-data-analyst-at-mueller-water-products-3122544636?refId=PTuVQuT9EbpazfgTB6p%2BVA%3D%3D&amp;trackingId=uHqLQvu3uJiOtDX6ERKj9g%3D%3D&amp;position=21&amp;pageNum=0&amp;trk=public_jobs_jserp-result_search-card", "Job Link")</f>
        <v>Job Link</v>
      </c>
      <c r="H747" t="s">
        <v>478</v>
      </c>
      <c r="I747" t="s">
        <v>481</v>
      </c>
      <c r="J747" t="s">
        <v>486</v>
      </c>
      <c r="K747" t="s">
        <v>530</v>
      </c>
      <c r="L747" t="s">
        <v>582</v>
      </c>
      <c r="M747" t="s">
        <v>588</v>
      </c>
      <c r="N747" t="s">
        <v>601</v>
      </c>
    </row>
    <row r="748" spans="1:14" x14ac:dyDescent="0.25">
      <c r="A748" t="s">
        <v>14</v>
      </c>
      <c r="B748" t="s">
        <v>128</v>
      </c>
      <c r="C748" t="s">
        <v>283</v>
      </c>
      <c r="D748" t="s">
        <v>424</v>
      </c>
      <c r="F748" t="s">
        <v>439</v>
      </c>
      <c r="G748" t="str">
        <f>HYPERLINK("https://ca.linkedin.com/jobs/view/data-analyst-at-diverse-lynx-3363122507?refId=PTuVQuT9EbpazfgTB6p%2BVA%3D%3D&amp;trackingId=jDdxaeeLQnrbwj04bIEPCg%3D%3D&amp;position=22&amp;pageNum=0&amp;trk=public_jobs_jserp-result_search-card", "Job Link")</f>
        <v>Job Link</v>
      </c>
      <c r="H748" t="s">
        <v>476</v>
      </c>
      <c r="I748" t="s">
        <v>483</v>
      </c>
      <c r="J748" t="s">
        <v>486</v>
      </c>
      <c r="K748" t="s">
        <v>516</v>
      </c>
      <c r="L748" t="s">
        <v>594</v>
      </c>
      <c r="M748" t="s">
        <v>588</v>
      </c>
      <c r="N748" t="s">
        <v>601</v>
      </c>
    </row>
    <row r="749" spans="1:14" x14ac:dyDescent="0.25">
      <c r="A749" t="s">
        <v>21</v>
      </c>
      <c r="B749" t="s">
        <v>138</v>
      </c>
      <c r="C749" t="s">
        <v>280</v>
      </c>
      <c r="D749" t="s">
        <v>424</v>
      </c>
      <c r="F749" t="s">
        <v>447</v>
      </c>
      <c r="G749" t="str">
        <f>HYPERLINK("https://ca.linkedin.com/jobs/view/data-entry-jr-analyst-6-month-contract-at-csl-group-ltd-3323214993?refId=PTuVQuT9EbpazfgTB6p%2BVA%3D%3D&amp;trackingId=36AZRPMrASnmcEbfg0CTkA%3D%3D&amp;position=23&amp;pageNum=0&amp;trk=public_jobs_jserp-result_search-card", "Job Link")</f>
        <v>Job Link</v>
      </c>
      <c r="H749" t="s">
        <v>476</v>
      </c>
      <c r="I749" t="s">
        <v>484</v>
      </c>
      <c r="J749" t="s">
        <v>489</v>
      </c>
      <c r="K749" t="s">
        <v>531</v>
      </c>
      <c r="L749" t="s">
        <v>593</v>
      </c>
      <c r="M749" t="s">
        <v>588</v>
      </c>
      <c r="N749" t="s">
        <v>601</v>
      </c>
    </row>
    <row r="750" spans="1:14" x14ac:dyDescent="0.25">
      <c r="A750" t="s">
        <v>14</v>
      </c>
      <c r="B750" t="s">
        <v>132</v>
      </c>
      <c r="C750" t="s">
        <v>273</v>
      </c>
      <c r="D750" t="s">
        <v>424</v>
      </c>
      <c r="F750" t="s">
        <v>443</v>
      </c>
      <c r="G750" t="str">
        <f>HYPERLINK("https://ca.linkedin.com/jobs/view/data-analyst-at-fasken-3365947704?refId=PTuVQuT9EbpazfgTB6p%2BVA%3D%3D&amp;trackingId=5CbXMjXEHoC%2B50o%2B01EbCA%3D%3D&amp;position=24&amp;pageNum=0&amp;trk=public_jobs_jserp-result_search-card", "Job Link")</f>
        <v>Job Link</v>
      </c>
      <c r="H750" t="s">
        <v>476</v>
      </c>
      <c r="I750" t="s">
        <v>481</v>
      </c>
      <c r="J750" t="s">
        <v>486</v>
      </c>
      <c r="K750" t="s">
        <v>526</v>
      </c>
      <c r="L750" t="s">
        <v>590</v>
      </c>
      <c r="M750" t="s">
        <v>618</v>
      </c>
      <c r="N750" t="s">
        <v>601</v>
      </c>
    </row>
    <row r="751" spans="1:14" x14ac:dyDescent="0.25">
      <c r="A751" t="s">
        <v>22</v>
      </c>
      <c r="B751" t="s">
        <v>139</v>
      </c>
      <c r="C751" t="s">
        <v>281</v>
      </c>
      <c r="D751" t="s">
        <v>424</v>
      </c>
      <c r="F751" t="s">
        <v>435</v>
      </c>
      <c r="G751" t="str">
        <f>HYPERLINK("https://ca.linkedin.com/jobs/view/quality-data-analyst-at-lululemon-3341634874?refId=PTuVQuT9EbpazfgTB6p%2BVA%3D%3D&amp;trackingId=iOmNAgFfFYukeZcCTNveHQ%3D%3D&amp;position=25&amp;pageNum=0&amp;trk=public_jobs_jserp-result_search-card", "Job Link")</f>
        <v>Job Link</v>
      </c>
      <c r="H751" t="s">
        <v>476</v>
      </c>
      <c r="I751" t="s">
        <v>481</v>
      </c>
      <c r="J751" t="s">
        <v>486</v>
      </c>
      <c r="K751" t="s">
        <v>532</v>
      </c>
      <c r="L751" t="s">
        <v>590</v>
      </c>
      <c r="M751" t="s">
        <v>618</v>
      </c>
      <c r="N751" t="s">
        <v>601</v>
      </c>
    </row>
    <row r="752" spans="1:14" x14ac:dyDescent="0.25">
      <c r="A752" t="s">
        <v>14</v>
      </c>
      <c r="B752" t="s">
        <v>118</v>
      </c>
      <c r="C752" t="s">
        <v>258</v>
      </c>
      <c r="D752" t="s">
        <v>424</v>
      </c>
      <c r="F752" t="s">
        <v>430</v>
      </c>
      <c r="G752" t="str">
        <f>HYPERLINK("https://ca.linkedin.com/jobs/view/data-analyst-at-axonify-3324670516?refId=qiRp0oawRAKQTKVCaw0U6Q%3D%3D&amp;trackingId=el90b2mQPUVRg%2FCiqjaZrw%3D%3D&amp;position=1&amp;pageNum=0&amp;trk=public_jobs_jserp-result_search-card", "Job Link")</f>
        <v>Job Link</v>
      </c>
      <c r="H752" t="s">
        <v>476</v>
      </c>
      <c r="I752" t="s">
        <v>481</v>
      </c>
      <c r="J752" t="s">
        <v>486</v>
      </c>
      <c r="K752" t="s">
        <v>516</v>
      </c>
      <c r="L752" t="s">
        <v>581</v>
      </c>
      <c r="M752" t="s">
        <v>588</v>
      </c>
      <c r="N752" t="s">
        <v>601</v>
      </c>
    </row>
    <row r="753" spans="1:14" x14ac:dyDescent="0.25">
      <c r="A753" t="s">
        <v>14</v>
      </c>
      <c r="B753" t="s">
        <v>119</v>
      </c>
      <c r="C753" t="s">
        <v>259</v>
      </c>
      <c r="D753" t="s">
        <v>424</v>
      </c>
      <c r="F753" t="s">
        <v>431</v>
      </c>
      <c r="G753" t="str">
        <f>HYPERLINK("https://ca.linkedin.com/jobs/view/data-analyst-at-b3-systems-3361794123?refId=qiRp0oawRAKQTKVCaw0U6Q%3D%3D&amp;trackingId=W2Pt84nf82LHeSyfJWpYDA%3D%3D&amp;position=2&amp;pageNum=0&amp;trk=public_jobs_jserp-result_search-card", "Job Link")</f>
        <v>Job Link</v>
      </c>
      <c r="I753" t="s">
        <v>481</v>
      </c>
      <c r="L753" t="s">
        <v>582</v>
      </c>
      <c r="M753" t="s">
        <v>588</v>
      </c>
      <c r="N753" t="s">
        <v>601</v>
      </c>
    </row>
    <row r="754" spans="1:14" x14ac:dyDescent="0.25">
      <c r="A754" t="s">
        <v>14</v>
      </c>
      <c r="B754" t="s">
        <v>120</v>
      </c>
      <c r="C754" t="s">
        <v>260</v>
      </c>
      <c r="D754" t="s">
        <v>424</v>
      </c>
      <c r="F754" t="s">
        <v>431</v>
      </c>
      <c r="G754" t="str">
        <f>HYPERLINK("https://ca.linkedin.com/jobs/view/data-analyst-at-wood-mackenzie-3271782079?refId=qiRp0oawRAKQTKVCaw0U6Q%3D%3D&amp;trackingId=%2BBsAKiOg7r5p5PE28mWkFQ%3D%3D&amp;position=3&amp;pageNum=0&amp;trk=public_jobs_jserp-result_search-card", "Job Link")</f>
        <v>Job Link</v>
      </c>
      <c r="H754" t="s">
        <v>477</v>
      </c>
      <c r="I754" t="s">
        <v>481</v>
      </c>
      <c r="J754" t="s">
        <v>487</v>
      </c>
      <c r="K754" t="s">
        <v>517</v>
      </c>
      <c r="L754" t="s">
        <v>583</v>
      </c>
      <c r="M754" t="s">
        <v>610</v>
      </c>
      <c r="N754" t="s">
        <v>601</v>
      </c>
    </row>
    <row r="755" spans="1:14" x14ac:dyDescent="0.25">
      <c r="A755" t="s">
        <v>14</v>
      </c>
      <c r="B755" t="s">
        <v>121</v>
      </c>
      <c r="C755" t="s">
        <v>261</v>
      </c>
      <c r="D755" t="s">
        <v>424</v>
      </c>
      <c r="F755" t="s">
        <v>432</v>
      </c>
      <c r="G755" t="str">
        <f>HYPERLINK("https://ca.linkedin.com/jobs/view/data-analyst-at-loft-community-services-3364383026?refId=qiRp0oawRAKQTKVCaw0U6Q%3D%3D&amp;trackingId=uTIqATKJOT6Fhl1WiFA34Q%3D%3D&amp;position=4&amp;pageNum=0&amp;trk=public_jobs_jserp-result_search-card", "Job Link")</f>
        <v>Job Link</v>
      </c>
      <c r="I755" t="s">
        <v>482</v>
      </c>
      <c r="L755" t="s">
        <v>582</v>
      </c>
      <c r="M755" t="s">
        <v>588</v>
      </c>
      <c r="N755" t="s">
        <v>601</v>
      </c>
    </row>
    <row r="756" spans="1:14" x14ac:dyDescent="0.25">
      <c r="A756" t="s">
        <v>14</v>
      </c>
      <c r="B756" t="s">
        <v>122</v>
      </c>
      <c r="C756" t="s">
        <v>262</v>
      </c>
      <c r="D756" t="s">
        <v>424</v>
      </c>
      <c r="F756" t="s">
        <v>433</v>
      </c>
      <c r="G756" t="str">
        <f>HYPERLINK("https://ca.linkedin.com/jobs/view/data-analyst-at-nam-info-inc-3351590976?refId=qiRp0oawRAKQTKVCaw0U6Q%3D%3D&amp;trackingId=M6bMI1ZTMyIyYrNVwqnJpw%3D%3D&amp;position=5&amp;pageNum=0&amp;trk=public_jobs_jserp-result_search-card", "Job Link")</f>
        <v>Job Link</v>
      </c>
      <c r="H756" t="s">
        <v>478</v>
      </c>
      <c r="I756" t="s">
        <v>483</v>
      </c>
      <c r="J756" t="s">
        <v>486</v>
      </c>
      <c r="K756" t="s">
        <v>518</v>
      </c>
      <c r="L756" t="s">
        <v>582</v>
      </c>
      <c r="M756" t="s">
        <v>588</v>
      </c>
      <c r="N756" t="s">
        <v>601</v>
      </c>
    </row>
    <row r="757" spans="1:14" x14ac:dyDescent="0.25">
      <c r="A757" t="s">
        <v>14</v>
      </c>
      <c r="B757" t="s">
        <v>123</v>
      </c>
      <c r="C757" t="s">
        <v>263</v>
      </c>
      <c r="D757" t="s">
        <v>424</v>
      </c>
      <c r="F757" t="s">
        <v>434</v>
      </c>
      <c r="G757" t="str">
        <f>HYPERLINK("https://ca.linkedin.com/jobs/view/data-analyst-at-citi-3263096865?refId=qiRp0oawRAKQTKVCaw0U6Q%3D%3D&amp;trackingId=k2SpN1t6k1a%2Bby83Zn2D9Q%3D%3D&amp;position=6&amp;pageNum=0&amp;trk=public_jobs_jserp-result_search-card", "Job Link")</f>
        <v>Job Link</v>
      </c>
      <c r="H757" t="s">
        <v>479</v>
      </c>
      <c r="I757" t="s">
        <v>481</v>
      </c>
      <c r="J757" t="s">
        <v>486</v>
      </c>
      <c r="K757" t="s">
        <v>519</v>
      </c>
      <c r="L757" t="s">
        <v>584</v>
      </c>
      <c r="M757" t="s">
        <v>588</v>
      </c>
      <c r="N757" t="s">
        <v>601</v>
      </c>
    </row>
    <row r="758" spans="1:14" x14ac:dyDescent="0.25">
      <c r="A758" t="s">
        <v>14</v>
      </c>
      <c r="B758" t="s">
        <v>124</v>
      </c>
      <c r="C758" t="s">
        <v>264</v>
      </c>
      <c r="D758" t="s">
        <v>424</v>
      </c>
      <c r="F758" t="s">
        <v>435</v>
      </c>
      <c r="G758" t="str">
        <f>HYPERLINK("https://ca.linkedin.com/jobs/view/data-analyst-at-king-s-college-london-3335332409?refId=qiRp0oawRAKQTKVCaw0U6Q%3D%3D&amp;trackingId=yek9wH9%2FAfm6zabzzE3h1Q%3D%3D&amp;position=7&amp;pageNum=0&amp;trk=public_jobs_jserp-result_search-card", "Job Link")</f>
        <v>Job Link</v>
      </c>
      <c r="H758" t="s">
        <v>476</v>
      </c>
      <c r="I758" t="s">
        <v>481</v>
      </c>
      <c r="J758" t="s">
        <v>486</v>
      </c>
      <c r="K758" t="s">
        <v>520</v>
      </c>
      <c r="L758" t="s">
        <v>585</v>
      </c>
      <c r="M758" t="s">
        <v>588</v>
      </c>
      <c r="N758" t="s">
        <v>601</v>
      </c>
    </row>
    <row r="759" spans="1:14" x14ac:dyDescent="0.25">
      <c r="A759" t="s">
        <v>15</v>
      </c>
      <c r="B759" t="s">
        <v>125</v>
      </c>
      <c r="C759" t="s">
        <v>265</v>
      </c>
      <c r="D759" t="s">
        <v>424</v>
      </c>
      <c r="F759" t="s">
        <v>431</v>
      </c>
      <c r="G759" t="str">
        <f>HYPERLINK("https://ca.linkedin.com/jobs/view/data-analyst-remote-at-cognizant-microsoft-business-group-3333618510?refId=qiRp0oawRAKQTKVCaw0U6Q%3D%3D&amp;trackingId=7Eu8YIfEvjPYLpi8epyTTA%3D%3D&amp;position=8&amp;pageNum=0&amp;trk=public_jobs_jserp-result_search-card", "Job Link")</f>
        <v>Job Link</v>
      </c>
      <c r="H759" t="s">
        <v>476</v>
      </c>
      <c r="I759" t="s">
        <v>481</v>
      </c>
      <c r="J759" t="s">
        <v>486</v>
      </c>
      <c r="K759" t="s">
        <v>521</v>
      </c>
      <c r="L759" t="s">
        <v>582</v>
      </c>
      <c r="M759" t="s">
        <v>588</v>
      </c>
      <c r="N759" t="s">
        <v>601</v>
      </c>
    </row>
    <row r="760" spans="1:14" x14ac:dyDescent="0.25">
      <c r="A760" t="s">
        <v>16</v>
      </c>
      <c r="B760" t="s">
        <v>126</v>
      </c>
      <c r="C760" t="s">
        <v>266</v>
      </c>
      <c r="D760" t="s">
        <v>424</v>
      </c>
      <c r="F760" t="s">
        <v>436</v>
      </c>
      <c r="G760" t="str">
        <f>HYPERLINK("https://ca.linkedin.com/jobs/view/data-analyst-loans-at-tata-consultancy-services-3344804680?refId=qiRp0oawRAKQTKVCaw0U6Q%3D%3D&amp;trackingId=hTuq8PTVk5bSBMJSFqqR7w%3D%3D&amp;position=9&amp;pageNum=0&amp;trk=public_jobs_jserp-result_search-card", "Job Link")</f>
        <v>Job Link</v>
      </c>
      <c r="H760" t="s">
        <v>477</v>
      </c>
      <c r="I760" t="s">
        <v>481</v>
      </c>
      <c r="J760" t="s">
        <v>486</v>
      </c>
      <c r="K760" t="s">
        <v>517</v>
      </c>
      <c r="L760" t="s">
        <v>584</v>
      </c>
      <c r="M760" t="s">
        <v>588</v>
      </c>
      <c r="N760" t="s">
        <v>601</v>
      </c>
    </row>
    <row r="761" spans="1:14" x14ac:dyDescent="0.25">
      <c r="A761" t="s">
        <v>14</v>
      </c>
      <c r="B761" t="s">
        <v>127</v>
      </c>
      <c r="C761" t="s">
        <v>267</v>
      </c>
      <c r="D761" t="s">
        <v>424</v>
      </c>
      <c r="F761" t="s">
        <v>437</v>
      </c>
      <c r="G761" t="str">
        <f>HYPERLINK("https://ca.linkedin.com/jobs/view/data-analyst-at-vubiquity-3365112221?refId=qiRp0oawRAKQTKVCaw0U6Q%3D%3D&amp;trackingId=NQXiuUX32ugcprKA99slng%3D%3D&amp;position=10&amp;pageNum=0&amp;trk=public_jobs_jserp-result_search-card", "Job Link")</f>
        <v>Job Link</v>
      </c>
      <c r="H761" t="s">
        <v>476</v>
      </c>
      <c r="I761" t="s">
        <v>481</v>
      </c>
      <c r="J761" t="s">
        <v>486</v>
      </c>
      <c r="K761" t="s">
        <v>522</v>
      </c>
      <c r="L761" t="s">
        <v>582</v>
      </c>
      <c r="M761" t="s">
        <v>588</v>
      </c>
      <c r="N761" t="s">
        <v>601</v>
      </c>
    </row>
    <row r="762" spans="1:14" x14ac:dyDescent="0.25">
      <c r="A762" t="s">
        <v>17</v>
      </c>
      <c r="B762" t="s">
        <v>123</v>
      </c>
      <c r="C762" t="s">
        <v>268</v>
      </c>
      <c r="D762" t="s">
        <v>424</v>
      </c>
      <c r="F762" t="s">
        <v>438</v>
      </c>
      <c r="G762" t="str">
        <f>HYPERLINK("https://ca.linkedin.com/jobs/view/data-analyst-developer-at-citi-3322089923?refId=qiRp0oawRAKQTKVCaw0U6Q%3D%3D&amp;trackingId=4IXlKSpg8k8QGHCb0KSC%2Fw%3D%3D&amp;position=11&amp;pageNum=0&amp;trk=public_jobs_jserp-result_search-card", "Job Link")</f>
        <v>Job Link</v>
      </c>
      <c r="H762" t="s">
        <v>479</v>
      </c>
      <c r="I762" t="s">
        <v>481</v>
      </c>
      <c r="J762" t="s">
        <v>486</v>
      </c>
      <c r="K762" t="s">
        <v>519</v>
      </c>
      <c r="L762" t="s">
        <v>584</v>
      </c>
      <c r="M762" t="s">
        <v>588</v>
      </c>
      <c r="N762" t="s">
        <v>601</v>
      </c>
    </row>
    <row r="763" spans="1:14" x14ac:dyDescent="0.25">
      <c r="A763" t="s">
        <v>14</v>
      </c>
      <c r="B763" t="s">
        <v>128</v>
      </c>
      <c r="C763" t="s">
        <v>269</v>
      </c>
      <c r="D763" t="s">
        <v>424</v>
      </c>
      <c r="F763" t="s">
        <v>439</v>
      </c>
      <c r="G763" t="str">
        <f>HYPERLINK("https://ca.linkedin.com/jobs/view/data-analyst-at-diverse-lynx-3363377240?refId=qiRp0oawRAKQTKVCaw0U6Q%3D%3D&amp;trackingId=cKn8B1piem2H4OPZsQuhyw%3D%3D&amp;position=12&amp;pageNum=0&amp;trk=public_jobs_jserp-result_search-card", "Job Link")</f>
        <v>Job Link</v>
      </c>
      <c r="H763" t="s">
        <v>476</v>
      </c>
      <c r="I763" t="s">
        <v>481</v>
      </c>
      <c r="J763" t="s">
        <v>486</v>
      </c>
      <c r="K763" t="s">
        <v>516</v>
      </c>
      <c r="L763" t="s">
        <v>586</v>
      </c>
      <c r="M763" t="s">
        <v>617</v>
      </c>
      <c r="N763" t="s">
        <v>601</v>
      </c>
    </row>
    <row r="764" spans="1:14" x14ac:dyDescent="0.25">
      <c r="A764" t="s">
        <v>14</v>
      </c>
      <c r="B764" t="s">
        <v>129</v>
      </c>
      <c r="C764" t="s">
        <v>270</v>
      </c>
      <c r="D764" t="s">
        <v>424</v>
      </c>
      <c r="F764" t="s">
        <v>440</v>
      </c>
      <c r="G764" t="str">
        <f>HYPERLINK("https://ca.linkedin.com/jobs/view/data-analyst-at-agricorp-3364433441?refId=qiRp0oawRAKQTKVCaw0U6Q%3D%3D&amp;trackingId=J%2FH7ohlrSu%2FBvAouunyBXQ%3D%3D&amp;position=13&amp;pageNum=0&amp;trk=public_jobs_jserp-result_search-card", "Job Link")</f>
        <v>Job Link</v>
      </c>
      <c r="H764" t="s">
        <v>476</v>
      </c>
      <c r="I764" t="s">
        <v>481</v>
      </c>
      <c r="J764" t="s">
        <v>486</v>
      </c>
      <c r="K764" t="s">
        <v>523</v>
      </c>
      <c r="L764" t="s">
        <v>587</v>
      </c>
      <c r="M764" t="s">
        <v>588</v>
      </c>
      <c r="N764" t="s">
        <v>601</v>
      </c>
    </row>
    <row r="765" spans="1:14" x14ac:dyDescent="0.25">
      <c r="A765" t="s">
        <v>18</v>
      </c>
      <c r="B765" t="s">
        <v>130</v>
      </c>
      <c r="C765" t="s">
        <v>271</v>
      </c>
      <c r="D765" t="s">
        <v>424</v>
      </c>
      <c r="F765" t="s">
        <v>441</v>
      </c>
      <c r="G765" t="str">
        <f>HYPERLINK("https://ca.linkedin.com/jobs/view/junior-data-analyst-mississauga-on-at-arjo-3323264354?refId=qiRp0oawRAKQTKVCaw0U6Q%3D%3D&amp;trackingId=xPWH4vSBLYwUfWGLpZUctQ%3D%3D&amp;position=14&amp;pageNum=0&amp;trk=public_jobs_jserp-result_search-card", "Job Link")</f>
        <v>Job Link</v>
      </c>
      <c r="H765" t="s">
        <v>479</v>
      </c>
      <c r="I765" t="s">
        <v>481</v>
      </c>
      <c r="J765" t="s">
        <v>486</v>
      </c>
      <c r="K765" t="s">
        <v>524</v>
      </c>
      <c r="L765" t="s">
        <v>588</v>
      </c>
      <c r="M765" t="s">
        <v>601</v>
      </c>
    </row>
    <row r="766" spans="1:14" x14ac:dyDescent="0.25">
      <c r="A766" t="s">
        <v>14</v>
      </c>
      <c r="B766" t="s">
        <v>131</v>
      </c>
      <c r="C766" t="s">
        <v>272</v>
      </c>
      <c r="D766" t="s">
        <v>424</v>
      </c>
      <c r="F766" t="s">
        <v>442</v>
      </c>
      <c r="G766" t="str">
        <f>HYPERLINK("https://ca.linkedin.com/jobs/view/data-analyst-at-westland-insurance-group-ltd-3345807760?refId=qiRp0oawRAKQTKVCaw0U6Q%3D%3D&amp;trackingId=7SVVaAxZCGk4xqcGL4ZdeA%3D%3D&amp;position=15&amp;pageNum=0&amp;trk=public_jobs_jserp-result_search-card", "Job Link")</f>
        <v>Job Link</v>
      </c>
      <c r="H766" t="s">
        <v>476</v>
      </c>
      <c r="I766" t="s">
        <v>481</v>
      </c>
      <c r="J766" t="s">
        <v>486</v>
      </c>
      <c r="K766" t="s">
        <v>525</v>
      </c>
      <c r="L766" t="s">
        <v>589</v>
      </c>
      <c r="M766" t="s">
        <v>618</v>
      </c>
      <c r="N766" t="s">
        <v>601</v>
      </c>
    </row>
    <row r="767" spans="1:14" x14ac:dyDescent="0.25">
      <c r="A767" t="s">
        <v>14</v>
      </c>
      <c r="B767" t="s">
        <v>132</v>
      </c>
      <c r="C767" t="s">
        <v>273</v>
      </c>
      <c r="D767" t="s">
        <v>424</v>
      </c>
      <c r="F767" t="s">
        <v>443</v>
      </c>
      <c r="G767" t="str">
        <f>HYPERLINK("https://ca.linkedin.com/jobs/view/data-analyst-at-fasken-3365947704?refId=qiRp0oawRAKQTKVCaw0U6Q%3D%3D&amp;trackingId=z4NCfH%2BRrpNY%2FhRACn6R8Q%3D%3D&amp;position=16&amp;pageNum=0&amp;trk=public_jobs_jserp-result_search-card", "Job Link")</f>
        <v>Job Link</v>
      </c>
      <c r="H767" t="s">
        <v>476</v>
      </c>
      <c r="I767" t="s">
        <v>481</v>
      </c>
      <c r="J767" t="s">
        <v>486</v>
      </c>
      <c r="K767" t="s">
        <v>526</v>
      </c>
      <c r="L767" t="s">
        <v>590</v>
      </c>
      <c r="M767" t="s">
        <v>618</v>
      </c>
      <c r="N767" t="s">
        <v>601</v>
      </c>
    </row>
    <row r="768" spans="1:14" x14ac:dyDescent="0.25">
      <c r="A768" t="s">
        <v>14</v>
      </c>
      <c r="B768" t="s">
        <v>133</v>
      </c>
      <c r="C768" t="s">
        <v>274</v>
      </c>
      <c r="D768" t="s">
        <v>424</v>
      </c>
      <c r="F768" t="s">
        <v>434</v>
      </c>
      <c r="G768" t="str">
        <f>HYPERLINK("https://ca.linkedin.com/jobs/view/data-analyst-at-momentum-financial-services-group-3355811523?refId=qiRp0oawRAKQTKVCaw0U6Q%3D%3D&amp;trackingId=bs%2Br9QQ%2BwsixTPc0CEwH1Q%3D%3D&amp;position=17&amp;pageNum=0&amp;trk=public_jobs_jserp-result_search-card", "Job Link")</f>
        <v>Job Link</v>
      </c>
      <c r="H768" t="s">
        <v>476</v>
      </c>
      <c r="I768" t="s">
        <v>481</v>
      </c>
      <c r="J768" t="s">
        <v>486</v>
      </c>
      <c r="K768" t="s">
        <v>527</v>
      </c>
      <c r="L768" t="s">
        <v>582</v>
      </c>
      <c r="M768" t="s">
        <v>588</v>
      </c>
      <c r="N768" t="s">
        <v>601</v>
      </c>
    </row>
    <row r="769" spans="1:14" x14ac:dyDescent="0.25">
      <c r="A769" t="s">
        <v>14</v>
      </c>
      <c r="B769" t="s">
        <v>134</v>
      </c>
      <c r="C769" t="s">
        <v>275</v>
      </c>
      <c r="D769" t="s">
        <v>424</v>
      </c>
      <c r="F769" t="s">
        <v>444</v>
      </c>
      <c r="G769" t="str">
        <f>HYPERLINK("https://ca.linkedin.com/jobs/view/data-analyst-at-tes-the-employment-solution-3322589522?refId=qiRp0oawRAKQTKVCaw0U6Q%3D%3D&amp;trackingId=B7eh5GHFCiGjGdJ7EkxMYg%3D%3D&amp;position=18&amp;pageNum=0&amp;trk=public_jobs_jserp-result_search-card", "Job Link")</f>
        <v>Job Link</v>
      </c>
      <c r="H769" t="s">
        <v>476</v>
      </c>
      <c r="I769" t="s">
        <v>483</v>
      </c>
      <c r="J769" t="s">
        <v>486</v>
      </c>
      <c r="K769" t="s">
        <v>525</v>
      </c>
      <c r="L769" t="s">
        <v>591</v>
      </c>
      <c r="M769" t="s">
        <v>588</v>
      </c>
      <c r="N769" t="s">
        <v>601</v>
      </c>
    </row>
    <row r="770" spans="1:14" x14ac:dyDescent="0.25">
      <c r="A770" t="s">
        <v>14</v>
      </c>
      <c r="B770" t="s">
        <v>135</v>
      </c>
      <c r="C770" t="s">
        <v>276</v>
      </c>
      <c r="D770" t="s">
        <v>424</v>
      </c>
      <c r="F770" t="s">
        <v>440</v>
      </c>
      <c r="G770" t="str">
        <f>HYPERLINK("https://ca.linkedin.com/jobs/view/data-analyst-at-magna-international-3370822450?refId=qiRp0oawRAKQTKVCaw0U6Q%3D%3D&amp;trackingId=QKq6O7NzPxPGta5u8Rnftg%3D%3D&amp;position=19&amp;pageNum=0&amp;trk=public_jobs_jserp-result_search-card", "Job Link")</f>
        <v>Job Link</v>
      </c>
      <c r="H770" t="s">
        <v>476</v>
      </c>
      <c r="I770" t="s">
        <v>481</v>
      </c>
      <c r="J770" t="s">
        <v>488</v>
      </c>
      <c r="K770" t="s">
        <v>528</v>
      </c>
      <c r="L770" t="s">
        <v>592</v>
      </c>
      <c r="M770" t="s">
        <v>588</v>
      </c>
      <c r="N770" t="s">
        <v>601</v>
      </c>
    </row>
    <row r="771" spans="1:14" x14ac:dyDescent="0.25">
      <c r="A771" t="s">
        <v>14</v>
      </c>
      <c r="B771" t="s">
        <v>128</v>
      </c>
      <c r="C771" t="s">
        <v>277</v>
      </c>
      <c r="D771" t="s">
        <v>424</v>
      </c>
      <c r="F771" t="s">
        <v>439</v>
      </c>
      <c r="G771" t="str">
        <f>HYPERLINK("https://ca.linkedin.com/jobs/view/data-analyst-at-diverse-lynx-3363374746?refId=qiRp0oawRAKQTKVCaw0U6Q%3D%3D&amp;trackingId=8pD4KyfkqcxWqNnRcgZP6A%3D%3D&amp;position=20&amp;pageNum=0&amp;trk=public_jobs_jserp-result_search-card", "Job Link")</f>
        <v>Job Link</v>
      </c>
      <c r="H771" t="s">
        <v>476</v>
      </c>
      <c r="I771" t="s">
        <v>481</v>
      </c>
      <c r="J771" t="s">
        <v>486</v>
      </c>
      <c r="K771" t="s">
        <v>516</v>
      </c>
      <c r="L771" t="s">
        <v>586</v>
      </c>
      <c r="M771" t="s">
        <v>617</v>
      </c>
      <c r="N771" t="s">
        <v>601</v>
      </c>
    </row>
    <row r="772" spans="1:14" x14ac:dyDescent="0.25">
      <c r="A772" t="s">
        <v>19</v>
      </c>
      <c r="B772" t="s">
        <v>136</v>
      </c>
      <c r="C772" t="s">
        <v>278</v>
      </c>
      <c r="D772" t="s">
        <v>424</v>
      </c>
      <c r="F772" t="s">
        <v>445</v>
      </c>
      <c r="G772" t="str">
        <f>HYPERLINK("https://ca.linkedin.com/jobs/view/data-analyst-operations-at-sonder-inc-3229442908?refId=qiRp0oawRAKQTKVCaw0U6Q%3D%3D&amp;trackingId=UtlQnvvMG4GAufYgS50yUg%3D%3D&amp;position=21&amp;pageNum=0&amp;trk=public_jobs_jserp-result_search-card", "Job Link")</f>
        <v>Job Link</v>
      </c>
      <c r="H772" t="s">
        <v>476</v>
      </c>
      <c r="I772" t="s">
        <v>481</v>
      </c>
      <c r="J772" t="s">
        <v>486</v>
      </c>
      <c r="K772" t="s">
        <v>529</v>
      </c>
      <c r="L772" t="s">
        <v>582</v>
      </c>
      <c r="M772" t="s">
        <v>588</v>
      </c>
      <c r="N772" t="s">
        <v>601</v>
      </c>
    </row>
    <row r="773" spans="1:14" x14ac:dyDescent="0.25">
      <c r="A773" t="s">
        <v>20</v>
      </c>
      <c r="B773" t="s">
        <v>137</v>
      </c>
      <c r="C773" t="s">
        <v>279</v>
      </c>
      <c r="D773" t="s">
        <v>424</v>
      </c>
      <c r="F773" t="s">
        <v>446</v>
      </c>
      <c r="G773" t="str">
        <f>HYPERLINK("https://ca.linkedin.com/jobs/view/senior-data-analyst-at-mueller-water-products-3122544636?refId=qiRp0oawRAKQTKVCaw0U6Q%3D%3D&amp;trackingId=tHijky7azBpjIRcQWD%2B80g%3D%3D&amp;position=22&amp;pageNum=0&amp;trk=public_jobs_jserp-result_search-card", "Job Link")</f>
        <v>Job Link</v>
      </c>
      <c r="H773" t="s">
        <v>478</v>
      </c>
      <c r="I773" t="s">
        <v>481</v>
      </c>
      <c r="J773" t="s">
        <v>486</v>
      </c>
      <c r="K773" t="s">
        <v>530</v>
      </c>
      <c r="L773" t="s">
        <v>582</v>
      </c>
      <c r="M773" t="s">
        <v>588</v>
      </c>
      <c r="N773" t="s">
        <v>601</v>
      </c>
    </row>
    <row r="774" spans="1:14" x14ac:dyDescent="0.25">
      <c r="A774" t="s">
        <v>21</v>
      </c>
      <c r="B774" t="s">
        <v>138</v>
      </c>
      <c r="C774" t="s">
        <v>280</v>
      </c>
      <c r="D774" t="s">
        <v>424</v>
      </c>
      <c r="F774" t="s">
        <v>447</v>
      </c>
      <c r="G774" t="str">
        <f>HYPERLINK("https://ca.linkedin.com/jobs/view/data-entry-jr-analyst-6-month-contract-at-csl-group-ltd-3323214993?refId=qiRp0oawRAKQTKVCaw0U6Q%3D%3D&amp;trackingId=dKrgaM1HQD%2FENycajIL18g%3D%3D&amp;position=23&amp;pageNum=0&amp;trk=public_jobs_jserp-result_search-card", "Job Link")</f>
        <v>Job Link</v>
      </c>
      <c r="H774" t="s">
        <v>476</v>
      </c>
      <c r="I774" t="s">
        <v>484</v>
      </c>
      <c r="J774" t="s">
        <v>489</v>
      </c>
      <c r="K774" t="s">
        <v>531</v>
      </c>
      <c r="L774" t="s">
        <v>593</v>
      </c>
      <c r="M774" t="s">
        <v>588</v>
      </c>
      <c r="N774" t="s">
        <v>601</v>
      </c>
    </row>
    <row r="775" spans="1:14" x14ac:dyDescent="0.25">
      <c r="A775" t="s">
        <v>14</v>
      </c>
      <c r="B775" t="s">
        <v>140</v>
      </c>
      <c r="C775" t="s">
        <v>282</v>
      </c>
      <c r="D775" t="s">
        <v>424</v>
      </c>
      <c r="F775" t="s">
        <v>440</v>
      </c>
      <c r="G775" t="str">
        <f>HYPERLINK("https://ca.linkedin.com/jobs/view/data-analyst-at-scotiabank-3365406993?refId=qiRp0oawRAKQTKVCaw0U6Q%3D%3D&amp;trackingId=prZZhsJ8B9qErhttvponDg%3D%3D&amp;position=24&amp;pageNum=0&amp;trk=public_jobs_jserp-result_search-card", "Job Link")</f>
        <v>Job Link</v>
      </c>
      <c r="H775" t="s">
        <v>479</v>
      </c>
      <c r="I775" t="s">
        <v>481</v>
      </c>
      <c r="J775" t="s">
        <v>486</v>
      </c>
      <c r="K775" t="s">
        <v>533</v>
      </c>
      <c r="L775" t="s">
        <v>582</v>
      </c>
      <c r="M775" t="s">
        <v>588</v>
      </c>
      <c r="N775" t="s">
        <v>601</v>
      </c>
    </row>
    <row r="776" spans="1:14" x14ac:dyDescent="0.25">
      <c r="A776" t="s">
        <v>22</v>
      </c>
      <c r="B776" t="s">
        <v>139</v>
      </c>
      <c r="C776" t="s">
        <v>281</v>
      </c>
      <c r="D776" t="s">
        <v>424</v>
      </c>
      <c r="F776" t="s">
        <v>435</v>
      </c>
      <c r="G776" t="str">
        <f>HYPERLINK("https://ca.linkedin.com/jobs/view/quality-data-analyst-at-lululemon-3341634874?refId=qiRp0oawRAKQTKVCaw0U6Q%3D%3D&amp;trackingId=A7ibKOjEza7tiafQe6CCVA%3D%3D&amp;position=25&amp;pageNum=0&amp;trk=public_jobs_jserp-result_search-card", "Job Link")</f>
        <v>Job Link</v>
      </c>
      <c r="H776" t="s">
        <v>476</v>
      </c>
      <c r="I776" t="s">
        <v>481</v>
      </c>
      <c r="J776" t="s">
        <v>486</v>
      </c>
      <c r="K776" t="s">
        <v>532</v>
      </c>
      <c r="L776" t="s">
        <v>590</v>
      </c>
      <c r="M776" t="s">
        <v>618</v>
      </c>
      <c r="N776" t="s">
        <v>601</v>
      </c>
    </row>
    <row r="777" spans="1:14" x14ac:dyDescent="0.25">
      <c r="A777" t="s">
        <v>14</v>
      </c>
      <c r="B777" t="s">
        <v>118</v>
      </c>
      <c r="C777" t="s">
        <v>258</v>
      </c>
      <c r="D777" t="s">
        <v>424</v>
      </c>
      <c r="F777" t="s">
        <v>430</v>
      </c>
      <c r="G777" t="str">
        <f>HYPERLINK("https://ca.linkedin.com/jobs/view/data-analyst-at-axonify-3324670516?refId=5Iso7gAo6vBK9B8rVujXLQ%3D%3D&amp;trackingId=Ju5KHRzQUrOjXz6HpSO0%2FA%3D%3D&amp;position=1&amp;pageNum=0&amp;trk=public_jobs_jserp-result_search-card", "Job Link")</f>
        <v>Job Link</v>
      </c>
      <c r="H777" t="s">
        <v>476</v>
      </c>
      <c r="I777" t="s">
        <v>481</v>
      </c>
      <c r="J777" t="s">
        <v>486</v>
      </c>
      <c r="K777" t="s">
        <v>516</v>
      </c>
      <c r="L777" t="s">
        <v>581</v>
      </c>
      <c r="M777" t="s">
        <v>588</v>
      </c>
      <c r="N777" t="s">
        <v>601</v>
      </c>
    </row>
    <row r="778" spans="1:14" x14ac:dyDescent="0.25">
      <c r="A778" t="s">
        <v>14</v>
      </c>
      <c r="B778" t="s">
        <v>119</v>
      </c>
      <c r="C778" t="s">
        <v>259</v>
      </c>
      <c r="D778" t="s">
        <v>424</v>
      </c>
      <c r="F778" t="s">
        <v>431</v>
      </c>
      <c r="G778" t="str">
        <f>HYPERLINK("https://ca.linkedin.com/jobs/view/data-analyst-at-b3-systems-3361794123?refId=5Iso7gAo6vBK9B8rVujXLQ%3D%3D&amp;trackingId=cvLTlmVJDjGu3n6ZFVTaFw%3D%3D&amp;position=2&amp;pageNum=0&amp;trk=public_jobs_jserp-result_search-card", "Job Link")</f>
        <v>Job Link</v>
      </c>
      <c r="I778" t="s">
        <v>481</v>
      </c>
      <c r="L778" t="s">
        <v>582</v>
      </c>
      <c r="M778" t="s">
        <v>588</v>
      </c>
      <c r="N778" t="s">
        <v>601</v>
      </c>
    </row>
    <row r="779" spans="1:14" x14ac:dyDescent="0.25">
      <c r="A779" t="s">
        <v>14</v>
      </c>
      <c r="B779" t="s">
        <v>120</v>
      </c>
      <c r="C779" t="s">
        <v>260</v>
      </c>
      <c r="D779" t="s">
        <v>424</v>
      </c>
      <c r="F779" t="s">
        <v>431</v>
      </c>
      <c r="G779" t="str">
        <f>HYPERLINK("https://ca.linkedin.com/jobs/view/data-analyst-at-wood-mackenzie-3271782079?refId=5Iso7gAo6vBK9B8rVujXLQ%3D%3D&amp;trackingId=v0jHcjSS1QkNbG2SGQhvig%3D%3D&amp;position=3&amp;pageNum=0&amp;trk=public_jobs_jserp-result_search-card", "Job Link")</f>
        <v>Job Link</v>
      </c>
      <c r="H779" t="s">
        <v>477</v>
      </c>
      <c r="I779" t="s">
        <v>481</v>
      </c>
      <c r="J779" t="s">
        <v>487</v>
      </c>
      <c r="K779" t="s">
        <v>517</v>
      </c>
      <c r="L779" t="s">
        <v>583</v>
      </c>
      <c r="M779" t="s">
        <v>610</v>
      </c>
      <c r="N779" t="s">
        <v>601</v>
      </c>
    </row>
    <row r="780" spans="1:14" x14ac:dyDescent="0.25">
      <c r="A780" t="s">
        <v>14</v>
      </c>
      <c r="B780" t="s">
        <v>121</v>
      </c>
      <c r="C780" t="s">
        <v>261</v>
      </c>
      <c r="D780" t="s">
        <v>424</v>
      </c>
      <c r="F780" t="s">
        <v>432</v>
      </c>
      <c r="G780" t="str">
        <f>HYPERLINK("https://ca.linkedin.com/jobs/view/data-analyst-at-loft-community-services-3364383026?refId=5Iso7gAo6vBK9B8rVujXLQ%3D%3D&amp;trackingId=SaJ7RdAELBH0t51vJsaNnA%3D%3D&amp;position=4&amp;pageNum=0&amp;trk=public_jobs_jserp-result_search-card", "Job Link")</f>
        <v>Job Link</v>
      </c>
      <c r="I780" t="s">
        <v>482</v>
      </c>
      <c r="L780" t="s">
        <v>582</v>
      </c>
      <c r="M780" t="s">
        <v>588</v>
      </c>
      <c r="N780" t="s">
        <v>601</v>
      </c>
    </row>
    <row r="781" spans="1:14" x14ac:dyDescent="0.25">
      <c r="A781" t="s">
        <v>14</v>
      </c>
      <c r="B781" t="s">
        <v>122</v>
      </c>
      <c r="C781" t="s">
        <v>262</v>
      </c>
      <c r="D781" t="s">
        <v>424</v>
      </c>
      <c r="F781" t="s">
        <v>433</v>
      </c>
      <c r="G781" t="str">
        <f>HYPERLINK("https://ca.linkedin.com/jobs/view/data-analyst-at-nam-info-inc-3351590976?refId=5Iso7gAo6vBK9B8rVujXLQ%3D%3D&amp;trackingId=Qq9F8d65H9DHN70BoPqlgw%3D%3D&amp;position=5&amp;pageNum=0&amp;trk=public_jobs_jserp-result_search-card", "Job Link")</f>
        <v>Job Link</v>
      </c>
      <c r="H781" t="s">
        <v>478</v>
      </c>
      <c r="I781" t="s">
        <v>483</v>
      </c>
      <c r="J781" t="s">
        <v>486</v>
      </c>
      <c r="K781" t="s">
        <v>518</v>
      </c>
      <c r="L781" t="s">
        <v>582</v>
      </c>
      <c r="M781" t="s">
        <v>588</v>
      </c>
      <c r="N781" t="s">
        <v>601</v>
      </c>
    </row>
    <row r="782" spans="1:14" x14ac:dyDescent="0.25">
      <c r="A782" t="s">
        <v>14</v>
      </c>
      <c r="B782" t="s">
        <v>123</v>
      </c>
      <c r="C782" t="s">
        <v>263</v>
      </c>
      <c r="D782" t="s">
        <v>424</v>
      </c>
      <c r="F782" t="s">
        <v>434</v>
      </c>
      <c r="G782" t="str">
        <f>HYPERLINK("https://ca.linkedin.com/jobs/view/data-analyst-at-citi-3263096865?refId=5Iso7gAo6vBK9B8rVujXLQ%3D%3D&amp;trackingId=05pGPJ9fXFjkTZPxW7ywNA%3D%3D&amp;position=6&amp;pageNum=0&amp;trk=public_jobs_jserp-result_search-card", "Job Link")</f>
        <v>Job Link</v>
      </c>
      <c r="H782" t="s">
        <v>479</v>
      </c>
      <c r="I782" t="s">
        <v>481</v>
      </c>
      <c r="J782" t="s">
        <v>486</v>
      </c>
      <c r="K782" t="s">
        <v>519</v>
      </c>
      <c r="L782" t="s">
        <v>584</v>
      </c>
      <c r="M782" t="s">
        <v>588</v>
      </c>
      <c r="N782" t="s">
        <v>601</v>
      </c>
    </row>
    <row r="783" spans="1:14" x14ac:dyDescent="0.25">
      <c r="A783" t="s">
        <v>19</v>
      </c>
      <c r="B783" t="s">
        <v>136</v>
      </c>
      <c r="C783" t="s">
        <v>278</v>
      </c>
      <c r="D783" t="s">
        <v>424</v>
      </c>
      <c r="F783" t="s">
        <v>445</v>
      </c>
      <c r="G783" t="str">
        <f>HYPERLINK("https://ca.linkedin.com/jobs/view/data-analyst-operations-at-sonder-inc-3229442908?refId=5Iso7gAo6vBK9B8rVujXLQ%3D%3D&amp;trackingId=WaF8q44hCDCO02i2w4lCtQ%3D%3D&amp;position=7&amp;pageNum=0&amp;trk=public_jobs_jserp-result_search-card", "Job Link")</f>
        <v>Job Link</v>
      </c>
      <c r="H783" t="s">
        <v>476</v>
      </c>
      <c r="I783" t="s">
        <v>481</v>
      </c>
      <c r="J783" t="s">
        <v>486</v>
      </c>
      <c r="K783" t="s">
        <v>529</v>
      </c>
      <c r="L783" t="s">
        <v>582</v>
      </c>
      <c r="M783" t="s">
        <v>588</v>
      </c>
      <c r="N783" t="s">
        <v>601</v>
      </c>
    </row>
    <row r="784" spans="1:14" x14ac:dyDescent="0.25">
      <c r="A784" t="s">
        <v>14</v>
      </c>
      <c r="B784" t="s">
        <v>124</v>
      </c>
      <c r="C784" t="s">
        <v>284</v>
      </c>
      <c r="D784" t="s">
        <v>424</v>
      </c>
      <c r="F784" t="s">
        <v>435</v>
      </c>
      <c r="G784" t="str">
        <f>HYPERLINK("https://ca.linkedin.com/jobs/view/data-analyst-at-king-s-college-london-3335332409?refId=5Iso7gAo6vBK9B8rVujXLQ%3D%3D&amp;trackingId=KSdajRil3fXkxl3GsRsy1g%3D%3D&amp;position=8&amp;pageNum=0&amp;trk=public_jobs_jserp-result_search-card", "Job Link")</f>
        <v>Job Link</v>
      </c>
      <c r="L784" t="s">
        <v>585</v>
      </c>
      <c r="M784" t="s">
        <v>588</v>
      </c>
      <c r="N784" t="s">
        <v>601</v>
      </c>
    </row>
    <row r="785" spans="1:14" x14ac:dyDescent="0.25">
      <c r="A785" t="s">
        <v>15</v>
      </c>
      <c r="B785" t="s">
        <v>125</v>
      </c>
      <c r="C785" t="s">
        <v>265</v>
      </c>
      <c r="D785" t="s">
        <v>424</v>
      </c>
      <c r="F785" t="s">
        <v>431</v>
      </c>
      <c r="G785" t="str">
        <f>HYPERLINK("https://ca.linkedin.com/jobs/view/data-analyst-remote-at-cognizant-microsoft-business-group-3333618510?refId=5Iso7gAo6vBK9B8rVujXLQ%3D%3D&amp;trackingId=0xaOkDMQOESdqxvWpKbigA%3D%3D&amp;position=9&amp;pageNum=0&amp;trk=public_jobs_jserp-result_search-card", "Job Link")</f>
        <v>Job Link</v>
      </c>
      <c r="H785" t="s">
        <v>476</v>
      </c>
      <c r="I785" t="s">
        <v>481</v>
      </c>
      <c r="J785" t="s">
        <v>486</v>
      </c>
      <c r="K785" t="s">
        <v>521</v>
      </c>
      <c r="L785" t="s">
        <v>582</v>
      </c>
      <c r="M785" t="s">
        <v>588</v>
      </c>
      <c r="N785" t="s">
        <v>601</v>
      </c>
    </row>
    <row r="786" spans="1:14" x14ac:dyDescent="0.25">
      <c r="A786" t="s">
        <v>16</v>
      </c>
      <c r="B786" t="s">
        <v>126</v>
      </c>
      <c r="C786" t="s">
        <v>266</v>
      </c>
      <c r="D786" t="s">
        <v>424</v>
      </c>
      <c r="F786" t="s">
        <v>436</v>
      </c>
      <c r="G786" t="str">
        <f>HYPERLINK("https://ca.linkedin.com/jobs/view/data-analyst-loans-at-tata-consultancy-services-3344804680?refId=5Iso7gAo6vBK9B8rVujXLQ%3D%3D&amp;trackingId=F7Exgyi8nZlAz4MBjnI3Ag%3D%3D&amp;position=10&amp;pageNum=0&amp;trk=public_jobs_jserp-result_search-card", "Job Link")</f>
        <v>Job Link</v>
      </c>
      <c r="H786" t="s">
        <v>477</v>
      </c>
      <c r="I786" t="s">
        <v>481</v>
      </c>
      <c r="J786" t="s">
        <v>486</v>
      </c>
      <c r="K786" t="s">
        <v>517</v>
      </c>
      <c r="L786" t="s">
        <v>584</v>
      </c>
      <c r="M786" t="s">
        <v>588</v>
      </c>
      <c r="N786" t="s">
        <v>601</v>
      </c>
    </row>
    <row r="787" spans="1:14" x14ac:dyDescent="0.25">
      <c r="A787" t="s">
        <v>14</v>
      </c>
      <c r="B787" t="s">
        <v>127</v>
      </c>
      <c r="C787" t="s">
        <v>267</v>
      </c>
      <c r="D787" t="s">
        <v>424</v>
      </c>
      <c r="F787" t="s">
        <v>437</v>
      </c>
      <c r="G787" t="str">
        <f>HYPERLINK("https://ca.linkedin.com/jobs/view/data-analyst-at-vubiquity-3365112221?refId=5Iso7gAo6vBK9B8rVujXLQ%3D%3D&amp;trackingId=flsfzi%2FrWscadclcJTCahw%3D%3D&amp;position=11&amp;pageNum=0&amp;trk=public_jobs_jserp-result_search-card", "Job Link")</f>
        <v>Job Link</v>
      </c>
      <c r="H787" t="s">
        <v>476</v>
      </c>
      <c r="I787" t="s">
        <v>481</v>
      </c>
      <c r="J787" t="s">
        <v>486</v>
      </c>
      <c r="K787" t="s">
        <v>522</v>
      </c>
      <c r="L787" t="s">
        <v>582</v>
      </c>
      <c r="M787" t="s">
        <v>588</v>
      </c>
      <c r="N787" t="s">
        <v>601</v>
      </c>
    </row>
    <row r="788" spans="1:14" x14ac:dyDescent="0.25">
      <c r="A788" t="s">
        <v>14</v>
      </c>
      <c r="B788" t="s">
        <v>129</v>
      </c>
      <c r="C788" t="s">
        <v>270</v>
      </c>
      <c r="D788" t="s">
        <v>424</v>
      </c>
      <c r="F788" t="s">
        <v>440</v>
      </c>
      <c r="G788" t="str">
        <f>HYPERLINK("https://ca.linkedin.com/jobs/view/data-analyst-at-agricorp-3364433441?refId=5Iso7gAo6vBK9B8rVujXLQ%3D%3D&amp;trackingId=1UyqHcc9IebcEun%2FoCdA4w%3D%3D&amp;position=12&amp;pageNum=0&amp;trk=public_jobs_jserp-result_search-card", "Job Link")</f>
        <v>Job Link</v>
      </c>
      <c r="H788" t="s">
        <v>476</v>
      </c>
      <c r="I788" t="s">
        <v>481</v>
      </c>
      <c r="J788" t="s">
        <v>486</v>
      </c>
      <c r="K788" t="s">
        <v>523</v>
      </c>
      <c r="L788" t="s">
        <v>587</v>
      </c>
      <c r="M788" t="s">
        <v>588</v>
      </c>
      <c r="N788" t="s">
        <v>601</v>
      </c>
    </row>
    <row r="789" spans="1:14" x14ac:dyDescent="0.25">
      <c r="A789" t="s">
        <v>17</v>
      </c>
      <c r="B789" t="s">
        <v>123</v>
      </c>
      <c r="C789" t="s">
        <v>268</v>
      </c>
      <c r="D789" t="s">
        <v>424</v>
      </c>
      <c r="F789" t="s">
        <v>438</v>
      </c>
      <c r="G789" t="str">
        <f>HYPERLINK("https://ca.linkedin.com/jobs/view/data-analyst-developer-at-citi-3322089923?refId=5Iso7gAo6vBK9B8rVujXLQ%3D%3D&amp;trackingId=W2DUTzWLuK8d0P5LXmxeug%3D%3D&amp;position=13&amp;pageNum=0&amp;trk=public_jobs_jserp-result_search-card", "Job Link")</f>
        <v>Job Link</v>
      </c>
      <c r="H789" t="s">
        <v>479</v>
      </c>
      <c r="I789" t="s">
        <v>481</v>
      </c>
      <c r="J789" t="s">
        <v>486</v>
      </c>
      <c r="K789" t="s">
        <v>519</v>
      </c>
      <c r="L789" t="s">
        <v>584</v>
      </c>
      <c r="M789" t="s">
        <v>588</v>
      </c>
      <c r="N789" t="s">
        <v>601</v>
      </c>
    </row>
    <row r="790" spans="1:14" x14ac:dyDescent="0.25">
      <c r="A790" t="s">
        <v>14</v>
      </c>
      <c r="B790" t="s">
        <v>128</v>
      </c>
      <c r="C790" t="s">
        <v>269</v>
      </c>
      <c r="D790" t="s">
        <v>424</v>
      </c>
      <c r="F790" t="s">
        <v>439</v>
      </c>
      <c r="G790" t="str">
        <f>HYPERLINK("https://ca.linkedin.com/jobs/view/data-analyst-at-diverse-lynx-3363377240?refId=5Iso7gAo6vBK9B8rVujXLQ%3D%3D&amp;trackingId=26zozVEHPGAjpJKk4Gv0IA%3D%3D&amp;position=14&amp;pageNum=0&amp;trk=public_jobs_jserp-result_search-card", "Job Link")</f>
        <v>Job Link</v>
      </c>
      <c r="H790" t="s">
        <v>476</v>
      </c>
      <c r="I790" t="s">
        <v>481</v>
      </c>
      <c r="J790" t="s">
        <v>486</v>
      </c>
      <c r="K790" t="s">
        <v>516</v>
      </c>
      <c r="L790" t="s">
        <v>586</v>
      </c>
      <c r="M790" t="s">
        <v>617</v>
      </c>
      <c r="N790" t="s">
        <v>601</v>
      </c>
    </row>
    <row r="791" spans="1:14" x14ac:dyDescent="0.25">
      <c r="A791" t="s">
        <v>14</v>
      </c>
      <c r="B791" t="s">
        <v>128</v>
      </c>
      <c r="C791" t="s">
        <v>277</v>
      </c>
      <c r="D791" t="s">
        <v>424</v>
      </c>
      <c r="F791" t="s">
        <v>439</v>
      </c>
      <c r="G791" t="str">
        <f>HYPERLINK("https://ca.linkedin.com/jobs/view/data-analyst-at-diverse-lynx-3363374746?refId=5Iso7gAo6vBK9B8rVujXLQ%3D%3D&amp;trackingId=L%2FwV9AwxOm8w4P0S4FI5sQ%3D%3D&amp;position=15&amp;pageNum=0&amp;trk=public_jobs_jserp-result_search-card", "Job Link")</f>
        <v>Job Link</v>
      </c>
      <c r="H791" t="s">
        <v>476</v>
      </c>
      <c r="I791" t="s">
        <v>481</v>
      </c>
      <c r="J791" t="s">
        <v>486</v>
      </c>
      <c r="K791" t="s">
        <v>516</v>
      </c>
      <c r="L791" t="s">
        <v>586</v>
      </c>
      <c r="M791" t="s">
        <v>617</v>
      </c>
      <c r="N791" t="s">
        <v>601</v>
      </c>
    </row>
    <row r="792" spans="1:14" x14ac:dyDescent="0.25">
      <c r="A792" t="s">
        <v>18</v>
      </c>
      <c r="B792" t="s">
        <v>130</v>
      </c>
      <c r="C792" t="s">
        <v>271</v>
      </c>
      <c r="D792" t="s">
        <v>424</v>
      </c>
      <c r="F792" t="s">
        <v>441</v>
      </c>
      <c r="G792" t="str">
        <f>HYPERLINK("https://ca.linkedin.com/jobs/view/junior-data-analyst-mississauga-on-at-arjo-3323264354?refId=5Iso7gAo6vBK9B8rVujXLQ%3D%3D&amp;trackingId=vWdQfmUawPn5RC05DwFKHQ%3D%3D&amp;position=16&amp;pageNum=0&amp;trk=public_jobs_jserp-result_search-card", "Job Link")</f>
        <v>Job Link</v>
      </c>
      <c r="H792" t="s">
        <v>479</v>
      </c>
      <c r="I792" t="s">
        <v>481</v>
      </c>
      <c r="J792" t="s">
        <v>486</v>
      </c>
      <c r="K792" t="s">
        <v>524</v>
      </c>
      <c r="L792" t="s">
        <v>588</v>
      </c>
      <c r="M792" t="s">
        <v>601</v>
      </c>
    </row>
    <row r="793" spans="1:14" x14ac:dyDescent="0.25">
      <c r="A793" t="s">
        <v>14</v>
      </c>
      <c r="B793" t="s">
        <v>131</v>
      </c>
      <c r="C793" t="s">
        <v>272</v>
      </c>
      <c r="D793" t="s">
        <v>424</v>
      </c>
      <c r="F793" t="s">
        <v>442</v>
      </c>
      <c r="G793" t="str">
        <f>HYPERLINK("https://ca.linkedin.com/jobs/view/data-analyst-at-westland-insurance-group-ltd-3345807760?refId=5Iso7gAo6vBK9B8rVujXLQ%3D%3D&amp;trackingId=%2FOHkQZdUXOL3EsOHzHJbcw%3D%3D&amp;position=17&amp;pageNum=0&amp;trk=public_jobs_jserp-result_search-card", "Job Link")</f>
        <v>Job Link</v>
      </c>
      <c r="H793" t="s">
        <v>476</v>
      </c>
      <c r="I793" t="s">
        <v>481</v>
      </c>
      <c r="J793" t="s">
        <v>486</v>
      </c>
      <c r="K793" t="s">
        <v>525</v>
      </c>
      <c r="L793" t="s">
        <v>589</v>
      </c>
      <c r="M793" t="s">
        <v>618</v>
      </c>
      <c r="N793" t="s">
        <v>601</v>
      </c>
    </row>
    <row r="794" spans="1:14" x14ac:dyDescent="0.25">
      <c r="A794" t="s">
        <v>14</v>
      </c>
      <c r="B794" t="s">
        <v>132</v>
      </c>
      <c r="C794" t="s">
        <v>273</v>
      </c>
      <c r="D794" t="s">
        <v>424</v>
      </c>
      <c r="F794" t="s">
        <v>443</v>
      </c>
      <c r="G794" t="str">
        <f>HYPERLINK("https://ca.linkedin.com/jobs/view/data-analyst-at-fasken-3365947704?refId=5Iso7gAo6vBK9B8rVujXLQ%3D%3D&amp;trackingId=evDiN93wASwiXur%2FzwQggg%3D%3D&amp;position=18&amp;pageNum=0&amp;trk=public_jobs_jserp-result_search-card", "Job Link")</f>
        <v>Job Link</v>
      </c>
      <c r="H794" t="s">
        <v>476</v>
      </c>
      <c r="I794" t="s">
        <v>481</v>
      </c>
      <c r="J794" t="s">
        <v>486</v>
      </c>
      <c r="K794" t="s">
        <v>526</v>
      </c>
      <c r="L794" t="s">
        <v>590</v>
      </c>
      <c r="M794" t="s">
        <v>618</v>
      </c>
      <c r="N794" t="s">
        <v>601</v>
      </c>
    </row>
    <row r="795" spans="1:14" x14ac:dyDescent="0.25">
      <c r="A795" t="s">
        <v>14</v>
      </c>
      <c r="B795" t="s">
        <v>133</v>
      </c>
      <c r="C795" t="s">
        <v>274</v>
      </c>
      <c r="D795" t="s">
        <v>424</v>
      </c>
      <c r="F795" t="s">
        <v>434</v>
      </c>
      <c r="G795" t="str">
        <f>HYPERLINK("https://ca.linkedin.com/jobs/view/data-analyst-at-momentum-financial-services-group-3355811523?refId=5Iso7gAo6vBK9B8rVujXLQ%3D%3D&amp;trackingId=F0tC%2Bt37Ixp7CKyoe6N9yA%3D%3D&amp;position=19&amp;pageNum=0&amp;trk=public_jobs_jserp-result_search-card", "Job Link")</f>
        <v>Job Link</v>
      </c>
      <c r="H795" t="s">
        <v>476</v>
      </c>
      <c r="I795" t="s">
        <v>481</v>
      </c>
      <c r="J795" t="s">
        <v>486</v>
      </c>
      <c r="K795" t="s">
        <v>527</v>
      </c>
      <c r="L795" t="s">
        <v>582</v>
      </c>
      <c r="M795" t="s">
        <v>588</v>
      </c>
      <c r="N795" t="s">
        <v>601</v>
      </c>
    </row>
    <row r="796" spans="1:14" x14ac:dyDescent="0.25">
      <c r="A796" t="s">
        <v>14</v>
      </c>
      <c r="B796" t="s">
        <v>134</v>
      </c>
      <c r="C796" t="s">
        <v>275</v>
      </c>
      <c r="D796" t="s">
        <v>424</v>
      </c>
      <c r="F796" t="s">
        <v>444</v>
      </c>
      <c r="G796" t="str">
        <f>HYPERLINK("https://ca.linkedin.com/jobs/view/data-analyst-at-tes-the-employment-solution-3322589522?refId=5Iso7gAo6vBK9B8rVujXLQ%3D%3D&amp;trackingId=7WRXL3UfHoTM3WIZ2A65rg%3D%3D&amp;position=20&amp;pageNum=0&amp;trk=public_jobs_jserp-result_search-card", "Job Link")</f>
        <v>Job Link</v>
      </c>
      <c r="H796" t="s">
        <v>476</v>
      </c>
      <c r="I796" t="s">
        <v>483</v>
      </c>
      <c r="J796" t="s">
        <v>486</v>
      </c>
      <c r="K796" t="s">
        <v>525</v>
      </c>
      <c r="L796" t="s">
        <v>591</v>
      </c>
      <c r="M796" t="s">
        <v>588</v>
      </c>
      <c r="N796" t="s">
        <v>601</v>
      </c>
    </row>
    <row r="797" spans="1:14" x14ac:dyDescent="0.25">
      <c r="A797" t="s">
        <v>14</v>
      </c>
      <c r="B797" t="s">
        <v>135</v>
      </c>
      <c r="C797" t="s">
        <v>276</v>
      </c>
      <c r="D797" t="s">
        <v>424</v>
      </c>
      <c r="F797" t="s">
        <v>440</v>
      </c>
      <c r="G797" t="str">
        <f>HYPERLINK("https://ca.linkedin.com/jobs/view/data-analyst-at-magna-international-3370822450?refId=5Iso7gAo6vBK9B8rVujXLQ%3D%3D&amp;trackingId=oRWWSxAtWy%2FRpMCxYH7%2Fyg%3D%3D&amp;position=21&amp;pageNum=0&amp;trk=public_jobs_jserp-result_search-card", "Job Link")</f>
        <v>Job Link</v>
      </c>
      <c r="H797" t="s">
        <v>476</v>
      </c>
      <c r="I797" t="s">
        <v>481</v>
      </c>
      <c r="J797" t="s">
        <v>488</v>
      </c>
      <c r="K797" t="s">
        <v>528</v>
      </c>
      <c r="L797" t="s">
        <v>592</v>
      </c>
      <c r="M797" t="s">
        <v>588</v>
      </c>
      <c r="N797" t="s">
        <v>601</v>
      </c>
    </row>
    <row r="798" spans="1:14" x14ac:dyDescent="0.25">
      <c r="A798" t="s">
        <v>20</v>
      </c>
      <c r="B798" t="s">
        <v>137</v>
      </c>
      <c r="C798" t="s">
        <v>279</v>
      </c>
      <c r="D798" t="s">
        <v>424</v>
      </c>
      <c r="F798" t="s">
        <v>446</v>
      </c>
      <c r="G798" t="str">
        <f>HYPERLINK("https://ca.linkedin.com/jobs/view/senior-data-analyst-at-mueller-water-products-3122544636?refId=5Iso7gAo6vBK9B8rVujXLQ%3D%3D&amp;trackingId=y0iR7222TABF6ruZhQTrMQ%3D%3D&amp;position=22&amp;pageNum=0&amp;trk=public_jobs_jserp-result_search-card", "Job Link")</f>
        <v>Job Link</v>
      </c>
      <c r="H798" t="s">
        <v>478</v>
      </c>
      <c r="I798" t="s">
        <v>481</v>
      </c>
      <c r="J798" t="s">
        <v>486</v>
      </c>
      <c r="K798" t="s">
        <v>530</v>
      </c>
      <c r="L798" t="s">
        <v>582</v>
      </c>
      <c r="M798" t="s">
        <v>588</v>
      </c>
      <c r="N798" t="s">
        <v>601</v>
      </c>
    </row>
    <row r="799" spans="1:14" x14ac:dyDescent="0.25">
      <c r="A799" t="s">
        <v>14</v>
      </c>
      <c r="B799" t="s">
        <v>140</v>
      </c>
      <c r="C799" t="s">
        <v>282</v>
      </c>
      <c r="D799" t="s">
        <v>424</v>
      </c>
      <c r="F799" t="s">
        <v>440</v>
      </c>
      <c r="G799" t="str">
        <f>HYPERLINK("https://ca.linkedin.com/jobs/view/data-analyst-at-scotiabank-3365406993?refId=5Iso7gAo6vBK9B8rVujXLQ%3D%3D&amp;trackingId=wYYpWChZIIAs3w3SuMsISw%3D%3D&amp;position=23&amp;pageNum=0&amp;trk=public_jobs_jserp-result_search-card", "Job Link")</f>
        <v>Job Link</v>
      </c>
      <c r="H799" t="s">
        <v>479</v>
      </c>
      <c r="I799" t="s">
        <v>481</v>
      </c>
      <c r="J799" t="s">
        <v>486</v>
      </c>
      <c r="K799" t="s">
        <v>533</v>
      </c>
      <c r="L799" t="s">
        <v>582</v>
      </c>
      <c r="M799" t="s">
        <v>588</v>
      </c>
      <c r="N799" t="s">
        <v>601</v>
      </c>
    </row>
    <row r="800" spans="1:14" x14ac:dyDescent="0.25">
      <c r="A800" t="s">
        <v>21</v>
      </c>
      <c r="B800" t="s">
        <v>138</v>
      </c>
      <c r="C800" t="s">
        <v>280</v>
      </c>
      <c r="D800" t="s">
        <v>424</v>
      </c>
      <c r="F800" t="s">
        <v>447</v>
      </c>
      <c r="G800" t="str">
        <f>HYPERLINK("https://ca.linkedin.com/jobs/view/data-entry-jr-analyst-6-month-contract-at-csl-group-ltd-3323214993?refId=5Iso7gAo6vBK9B8rVujXLQ%3D%3D&amp;trackingId=cIIJWC73xGndp7vRCttJdw%3D%3D&amp;position=24&amp;pageNum=0&amp;trk=public_jobs_jserp-result_search-card", "Job Link")</f>
        <v>Job Link</v>
      </c>
      <c r="H800" t="s">
        <v>476</v>
      </c>
      <c r="I800" t="s">
        <v>484</v>
      </c>
      <c r="J800" t="s">
        <v>489</v>
      </c>
      <c r="K800" t="s">
        <v>531</v>
      </c>
      <c r="L800" t="s">
        <v>593</v>
      </c>
      <c r="M800" t="s">
        <v>588</v>
      </c>
      <c r="N800" t="s">
        <v>601</v>
      </c>
    </row>
    <row r="801" spans="1:14" x14ac:dyDescent="0.25">
      <c r="A801" t="s">
        <v>22</v>
      </c>
      <c r="B801" t="s">
        <v>139</v>
      </c>
      <c r="C801" t="s">
        <v>281</v>
      </c>
      <c r="D801" t="s">
        <v>424</v>
      </c>
      <c r="F801" t="s">
        <v>435</v>
      </c>
      <c r="G801" t="str">
        <f>HYPERLINK("https://ca.linkedin.com/jobs/view/quality-data-analyst-at-lululemon-3341634874?refId=5Iso7gAo6vBK9B8rVujXLQ%3D%3D&amp;trackingId=GhvWd0TSys7O3Adb3u2Tgw%3D%3D&amp;position=25&amp;pageNum=0&amp;trk=public_jobs_jserp-result_search-card", "Job Link")</f>
        <v>Job Link</v>
      </c>
      <c r="H801" t="s">
        <v>476</v>
      </c>
      <c r="I801" t="s">
        <v>481</v>
      </c>
      <c r="J801" t="s">
        <v>486</v>
      </c>
      <c r="K801" t="s">
        <v>532</v>
      </c>
      <c r="L801" t="s">
        <v>590</v>
      </c>
      <c r="M801" t="s">
        <v>618</v>
      </c>
      <c r="N801" t="s">
        <v>601</v>
      </c>
    </row>
    <row r="802" spans="1:14" x14ac:dyDescent="0.25">
      <c r="A802" t="s">
        <v>23</v>
      </c>
      <c r="B802" t="s">
        <v>141</v>
      </c>
      <c r="C802" t="s">
        <v>285</v>
      </c>
      <c r="D802" t="s">
        <v>424</v>
      </c>
      <c r="F802" t="s">
        <v>440</v>
      </c>
      <c r="G802" t="str">
        <f>HYPERLINK("https://ca.linkedin.com/jobs/view/data-governance-analyst-at-canada-life-3355035791?refId=E2vB8eCtbAxq1Ahy90gMyg%3D%3D&amp;trackingId=yaL3S%2Frz0mmwXk6ly%2FgeCQ%3D%3D&amp;position=1&amp;pageNum=0&amp;trk=public_jobs_jserp-result_search-card", "Job Link")</f>
        <v>Job Link</v>
      </c>
      <c r="H802" t="s">
        <v>479</v>
      </c>
      <c r="I802" t="s">
        <v>481</v>
      </c>
      <c r="J802" t="s">
        <v>486</v>
      </c>
      <c r="K802" t="s">
        <v>534</v>
      </c>
      <c r="L802" t="s">
        <v>582</v>
      </c>
      <c r="M802" t="s">
        <v>588</v>
      </c>
      <c r="N802" t="s">
        <v>601</v>
      </c>
    </row>
    <row r="803" spans="1:14" x14ac:dyDescent="0.25">
      <c r="A803" t="s">
        <v>24</v>
      </c>
      <c r="B803" t="s">
        <v>142</v>
      </c>
      <c r="C803" t="s">
        <v>286</v>
      </c>
      <c r="D803" t="s">
        <v>424</v>
      </c>
      <c r="F803" t="s">
        <v>430</v>
      </c>
      <c r="G803" t="str">
        <f>HYPERLINK("https://ca.linkedin.com/jobs/view/quantitative-data-intern-at-ts-imagine-3364629448?refId=E2vB8eCtbAxq1Ahy90gMyg%3D%3D&amp;trackingId=3OwGJooiojTI61tJyCA4dQ%3D%3D&amp;position=2&amp;pageNum=0&amp;trk=public_jobs_jserp-result_search-card", "Job Link")</f>
        <v>Job Link</v>
      </c>
      <c r="H803" t="s">
        <v>480</v>
      </c>
      <c r="I803" t="s">
        <v>480</v>
      </c>
      <c r="J803" t="s">
        <v>486</v>
      </c>
      <c r="K803" t="s">
        <v>527</v>
      </c>
      <c r="L803" t="s">
        <v>586</v>
      </c>
      <c r="M803" t="s">
        <v>617</v>
      </c>
      <c r="N803" t="s">
        <v>601</v>
      </c>
    </row>
    <row r="804" spans="1:14" x14ac:dyDescent="0.25">
      <c r="A804" t="s">
        <v>14</v>
      </c>
      <c r="B804" t="s">
        <v>135</v>
      </c>
      <c r="C804" t="s">
        <v>276</v>
      </c>
      <c r="D804" t="s">
        <v>424</v>
      </c>
      <c r="F804" t="s">
        <v>440</v>
      </c>
      <c r="G804" t="str">
        <f>HYPERLINK("https://ca.linkedin.com/jobs/view/data-analyst-at-magna-international-3370822450?refId=E2vB8eCtbAxq1Ahy90gMyg%3D%3D&amp;trackingId=OIqmjfNYT9TUYoTlyiTsJQ%3D%3D&amp;position=3&amp;pageNum=0&amp;trk=public_jobs_jserp-result_search-card", "Job Link")</f>
        <v>Job Link</v>
      </c>
      <c r="H804" t="s">
        <v>476</v>
      </c>
      <c r="I804" t="s">
        <v>481</v>
      </c>
      <c r="J804" t="s">
        <v>488</v>
      </c>
      <c r="K804" t="s">
        <v>528</v>
      </c>
      <c r="L804" t="s">
        <v>592</v>
      </c>
      <c r="M804" t="s">
        <v>588</v>
      </c>
      <c r="N804" t="s">
        <v>601</v>
      </c>
    </row>
    <row r="805" spans="1:14" x14ac:dyDescent="0.25">
      <c r="A805" t="s">
        <v>14</v>
      </c>
      <c r="B805" t="s">
        <v>131</v>
      </c>
      <c r="C805" t="s">
        <v>272</v>
      </c>
      <c r="D805" t="s">
        <v>424</v>
      </c>
      <c r="F805" t="s">
        <v>442</v>
      </c>
      <c r="G805" t="str">
        <f>HYPERLINK("https://ca.linkedin.com/jobs/view/data-analyst-at-westland-insurance-group-ltd-3345807760?refId=E2vB8eCtbAxq1Ahy90gMyg%3D%3D&amp;trackingId=0IIptw1eAOI2fINhUi3vHA%3D%3D&amp;position=4&amp;pageNum=0&amp;trk=public_jobs_jserp-result_search-card", "Job Link")</f>
        <v>Job Link</v>
      </c>
      <c r="H805" t="s">
        <v>476</v>
      </c>
      <c r="I805" t="s">
        <v>481</v>
      </c>
      <c r="J805" t="s">
        <v>486</v>
      </c>
      <c r="K805" t="s">
        <v>525</v>
      </c>
      <c r="L805" t="s">
        <v>589</v>
      </c>
      <c r="M805" t="s">
        <v>618</v>
      </c>
      <c r="N805" t="s">
        <v>601</v>
      </c>
    </row>
    <row r="806" spans="1:14" x14ac:dyDescent="0.25">
      <c r="A806" t="s">
        <v>20</v>
      </c>
      <c r="B806" t="s">
        <v>143</v>
      </c>
      <c r="C806" t="s">
        <v>287</v>
      </c>
      <c r="D806" t="s">
        <v>424</v>
      </c>
      <c r="F806" t="s">
        <v>448</v>
      </c>
      <c r="G806" t="str">
        <f>HYPERLINK("https://ca.linkedin.com/jobs/view/senior-data-analyst-at-zortech-solutions-3277942907?refId=E2vB8eCtbAxq1Ahy90gMyg%3D%3D&amp;trackingId=80k6Xoj5Ho8ef8rm5tM0sA%3D%3D&amp;position=5&amp;pageNum=0&amp;trk=public_jobs_jserp-result_search-card", "Job Link")</f>
        <v>Job Link</v>
      </c>
      <c r="H806" t="s">
        <v>478</v>
      </c>
      <c r="I806" t="s">
        <v>483</v>
      </c>
      <c r="J806" t="s">
        <v>486</v>
      </c>
      <c r="K806" t="s">
        <v>535</v>
      </c>
      <c r="L806" t="s">
        <v>582</v>
      </c>
      <c r="M806" t="s">
        <v>588</v>
      </c>
      <c r="N806" t="s">
        <v>601</v>
      </c>
    </row>
    <row r="807" spans="1:14" x14ac:dyDescent="0.25">
      <c r="A807" t="s">
        <v>25</v>
      </c>
      <c r="B807" t="s">
        <v>142</v>
      </c>
      <c r="C807" t="s">
        <v>288</v>
      </c>
      <c r="D807" t="s">
        <v>424</v>
      </c>
      <c r="F807" t="s">
        <v>449</v>
      </c>
      <c r="G807" t="str">
        <f>HYPERLINK("https://ca.linkedin.com/jobs/view/data-entry-analyst-risk-at-ts-imagine-3364631105?refId=E2vB8eCtbAxq1Ahy90gMyg%3D%3D&amp;trackingId=u6AN%2FlbqnvroFyTs%2Fio9tA%3D%3D&amp;position=6&amp;pageNum=0&amp;trk=public_jobs_jserp-result_search-card", "Job Link")</f>
        <v>Job Link</v>
      </c>
      <c r="H807" t="s">
        <v>476</v>
      </c>
      <c r="I807" t="s">
        <v>481</v>
      </c>
      <c r="J807" t="s">
        <v>486</v>
      </c>
      <c r="K807" t="s">
        <v>527</v>
      </c>
      <c r="L807" t="s">
        <v>586</v>
      </c>
      <c r="M807" t="s">
        <v>617</v>
      </c>
      <c r="N807" t="s">
        <v>601</v>
      </c>
    </row>
    <row r="808" spans="1:14" x14ac:dyDescent="0.25">
      <c r="A808" t="s">
        <v>26</v>
      </c>
      <c r="B808" t="s">
        <v>144</v>
      </c>
      <c r="C808" t="s">
        <v>289</v>
      </c>
      <c r="D808" t="s">
        <v>424</v>
      </c>
      <c r="F808" t="s">
        <v>450</v>
      </c>
      <c r="G808" t="str">
        <f>HYPERLINK("https://ca.linkedin.com/jobs/view/analyste-bi-at-levio-3340013242?refId=E2vB8eCtbAxq1Ahy90gMyg%3D%3D&amp;trackingId=79l8CqdDeFIMbpwwcuud2Q%3D%3D&amp;position=7&amp;pageNum=0&amp;trk=public_jobs_jserp-result_search-card", "Job Link")</f>
        <v>Job Link</v>
      </c>
      <c r="H808" t="s">
        <v>477</v>
      </c>
      <c r="I808" t="s">
        <v>481</v>
      </c>
      <c r="J808" t="s">
        <v>486</v>
      </c>
      <c r="K808" t="s">
        <v>521</v>
      </c>
      <c r="L808" t="s">
        <v>586</v>
      </c>
      <c r="M808" t="s">
        <v>617</v>
      </c>
      <c r="N808" t="s">
        <v>601</v>
      </c>
    </row>
    <row r="809" spans="1:14" x14ac:dyDescent="0.25">
      <c r="A809" t="s">
        <v>27</v>
      </c>
      <c r="B809" t="s">
        <v>128</v>
      </c>
      <c r="C809" t="s">
        <v>290</v>
      </c>
      <c r="D809" t="s">
        <v>424</v>
      </c>
      <c r="F809" t="s">
        <v>439</v>
      </c>
      <c r="G809" t="str">
        <f>HYPERLINK("https://ca.linkedin.com/jobs/view/sr-data-analyst-at-diverse-lynx-3365317558?refId=E2vB8eCtbAxq1Ahy90gMyg%3D%3D&amp;trackingId=I44yyJ9njjXKiPq8rx%2BB1A%3D%3D&amp;position=8&amp;pageNum=0&amp;trk=public_jobs_jserp-result_search-card", "Job Link")</f>
        <v>Job Link</v>
      </c>
      <c r="H809" t="s">
        <v>478</v>
      </c>
      <c r="I809" t="s">
        <v>481</v>
      </c>
      <c r="J809" t="s">
        <v>486</v>
      </c>
      <c r="K809" t="s">
        <v>516</v>
      </c>
      <c r="L809" t="s">
        <v>582</v>
      </c>
      <c r="M809" t="s">
        <v>588</v>
      </c>
      <c r="N809" t="s">
        <v>601</v>
      </c>
    </row>
    <row r="810" spans="1:14" x14ac:dyDescent="0.25">
      <c r="A810" t="s">
        <v>28</v>
      </c>
      <c r="B810" t="s">
        <v>123</v>
      </c>
      <c r="C810" t="s">
        <v>291</v>
      </c>
      <c r="D810" t="s">
        <v>424</v>
      </c>
      <c r="F810" t="s">
        <v>434</v>
      </c>
      <c r="G810" t="str">
        <f>HYPERLINK("https://ca.linkedin.com/jobs/view/it-data-analyst-sql-banking-finance-at-citi-3297241644?refId=E2vB8eCtbAxq1Ahy90gMyg%3D%3D&amp;trackingId=5LQZKLeHZltGJRsEi5iI2A%3D%3D&amp;position=9&amp;pageNum=0&amp;trk=public_jobs_jserp-result_search-card", "Job Link")</f>
        <v>Job Link</v>
      </c>
      <c r="H810" t="s">
        <v>479</v>
      </c>
      <c r="I810" t="s">
        <v>481</v>
      </c>
      <c r="J810" t="s">
        <v>486</v>
      </c>
      <c r="K810" t="s">
        <v>519</v>
      </c>
      <c r="L810" t="s">
        <v>584</v>
      </c>
      <c r="M810" t="s">
        <v>588</v>
      </c>
      <c r="N810" t="s">
        <v>601</v>
      </c>
    </row>
    <row r="811" spans="1:14" x14ac:dyDescent="0.25">
      <c r="A811" t="s">
        <v>14</v>
      </c>
      <c r="B811" t="s">
        <v>128</v>
      </c>
      <c r="C811" t="s">
        <v>277</v>
      </c>
      <c r="D811" t="s">
        <v>424</v>
      </c>
      <c r="F811" t="s">
        <v>439</v>
      </c>
      <c r="G811" t="str">
        <f>HYPERLINK("https://ca.linkedin.com/jobs/view/data-analyst-at-diverse-lynx-3363374746?refId=E2vB8eCtbAxq1Ahy90gMyg%3D%3D&amp;trackingId=ieOC3%2Bo5DJPazN1PrI6mQA%3D%3D&amp;position=10&amp;pageNum=0&amp;trk=public_jobs_jserp-result_search-card", "Job Link")</f>
        <v>Job Link</v>
      </c>
      <c r="H811" t="s">
        <v>476</v>
      </c>
      <c r="I811" t="s">
        <v>481</v>
      </c>
      <c r="J811" t="s">
        <v>486</v>
      </c>
      <c r="K811" t="s">
        <v>516</v>
      </c>
      <c r="L811" t="s">
        <v>586</v>
      </c>
      <c r="M811" t="s">
        <v>617</v>
      </c>
      <c r="N811" t="s">
        <v>601</v>
      </c>
    </row>
    <row r="812" spans="1:14" x14ac:dyDescent="0.25">
      <c r="A812" t="s">
        <v>29</v>
      </c>
      <c r="B812" t="s">
        <v>145</v>
      </c>
      <c r="C812" t="s">
        <v>292</v>
      </c>
      <c r="D812" t="s">
        <v>424</v>
      </c>
      <c r="F812" t="s">
        <v>451</v>
      </c>
      <c r="G812" t="str">
        <f>HYPERLINK("https://ca.linkedin.com/jobs/view/sr-market-data-analyst-at-lightbox-3339175573?refId=E2vB8eCtbAxq1Ahy90gMyg%3D%3D&amp;trackingId=3Ol28DN7Jh0Jp5MZvKf2yQ%3D%3D&amp;position=11&amp;pageNum=0&amp;trk=public_jobs_jserp-result_search-card", "Job Link")</f>
        <v>Job Link</v>
      </c>
      <c r="H812" t="s">
        <v>478</v>
      </c>
      <c r="I812" t="s">
        <v>481</v>
      </c>
      <c r="J812" t="s">
        <v>486</v>
      </c>
      <c r="K812" t="s">
        <v>536</v>
      </c>
      <c r="L812" t="s">
        <v>595</v>
      </c>
      <c r="M812" t="s">
        <v>588</v>
      </c>
      <c r="N812" t="s">
        <v>601</v>
      </c>
    </row>
    <row r="813" spans="1:14" x14ac:dyDescent="0.25">
      <c r="A813" t="s">
        <v>30</v>
      </c>
      <c r="B813" t="s">
        <v>141</v>
      </c>
      <c r="C813" t="s">
        <v>293</v>
      </c>
      <c r="D813" t="s">
        <v>424</v>
      </c>
      <c r="F813" t="s">
        <v>452</v>
      </c>
      <c r="G813" t="str">
        <f>HYPERLINK("https://ca.linkedin.com/jobs/view/market-conduct-data-analyst-4-month-co-op-at-canada-life-3362624837?refId=E2vB8eCtbAxq1Ahy90gMyg%3D%3D&amp;trackingId=PynfVhrn%2B08ukY%2BP%2BnNwKg%3D%3D&amp;position=12&amp;pageNum=0&amp;trk=public_jobs_jserp-result_search-card", "Job Link")</f>
        <v>Job Link</v>
      </c>
      <c r="H813" t="s">
        <v>478</v>
      </c>
      <c r="I813" t="s">
        <v>481</v>
      </c>
      <c r="J813" t="s">
        <v>486</v>
      </c>
      <c r="K813" t="s">
        <v>523</v>
      </c>
      <c r="L813" t="s">
        <v>596</v>
      </c>
      <c r="M813" t="s">
        <v>588</v>
      </c>
      <c r="N813" t="s">
        <v>601</v>
      </c>
    </row>
    <row r="814" spans="1:14" x14ac:dyDescent="0.25">
      <c r="A814" t="s">
        <v>31</v>
      </c>
      <c r="B814" t="s">
        <v>128</v>
      </c>
      <c r="C814" t="s">
        <v>294</v>
      </c>
      <c r="D814" t="s">
        <v>424</v>
      </c>
      <c r="F814" t="s">
        <v>439</v>
      </c>
      <c r="G814" t="str">
        <f>HYPERLINK("https://ca.linkedin.com/jobs/view/data-analysts-at-diverse-lynx-3364905644?refId=E2vB8eCtbAxq1Ahy90gMyg%3D%3D&amp;trackingId=KgAY8XadXMuIOeS%2BkszZCg%3D%3D&amp;position=13&amp;pageNum=0&amp;trk=public_jobs_jserp-result_search-card", "Job Link")</f>
        <v>Job Link</v>
      </c>
      <c r="H814" t="s">
        <v>476</v>
      </c>
      <c r="I814" t="s">
        <v>483</v>
      </c>
      <c r="J814" t="s">
        <v>486</v>
      </c>
      <c r="K814" t="s">
        <v>516</v>
      </c>
      <c r="L814" t="s">
        <v>582</v>
      </c>
      <c r="M814" t="s">
        <v>588</v>
      </c>
      <c r="N814" t="s">
        <v>601</v>
      </c>
    </row>
    <row r="815" spans="1:14" x14ac:dyDescent="0.25">
      <c r="A815" t="s">
        <v>32</v>
      </c>
      <c r="B815" t="s">
        <v>146</v>
      </c>
      <c r="C815" t="s">
        <v>295</v>
      </c>
      <c r="D815" t="s">
        <v>424</v>
      </c>
      <c r="F815" t="s">
        <v>440</v>
      </c>
      <c r="G815" t="str">
        <f>HYPERLINK("https://ca.linkedin.com/jobs/view/hr-data-analyst-at-gfl-environmental-inc-3365665909?refId=E2vB8eCtbAxq1Ahy90gMyg%3D%3D&amp;trackingId=YdtmmDI7qKzMbi76ltYb5w%3D%3D&amp;position=14&amp;pageNum=0&amp;trk=public_jobs_jserp-result_search-card", "Job Link")</f>
        <v>Job Link</v>
      </c>
      <c r="H815" t="s">
        <v>477</v>
      </c>
      <c r="I815" t="s">
        <v>481</v>
      </c>
      <c r="J815" t="s">
        <v>490</v>
      </c>
      <c r="K815" t="s">
        <v>537</v>
      </c>
      <c r="L815" t="s">
        <v>597</v>
      </c>
      <c r="M815" t="s">
        <v>588</v>
      </c>
      <c r="N815" t="s">
        <v>601</v>
      </c>
    </row>
    <row r="816" spans="1:14" x14ac:dyDescent="0.25">
      <c r="A816" t="s">
        <v>20</v>
      </c>
      <c r="B816" t="s">
        <v>147</v>
      </c>
      <c r="C816" t="s">
        <v>296</v>
      </c>
      <c r="D816" t="s">
        <v>424</v>
      </c>
      <c r="F816" t="s">
        <v>453</v>
      </c>
      <c r="G816" t="str">
        <f>HYPERLINK("https://ca.linkedin.com/jobs/view/senior-data-analyst-at-dbrs-morningstar-3361244229?refId=E2vB8eCtbAxq1Ahy90gMyg%3D%3D&amp;trackingId=e1bxZBF6KHCWm%2BTfOm0b0w%3D%3D&amp;position=15&amp;pageNum=0&amp;trk=public_jobs_jserp-result_search-card", "Job Link")</f>
        <v>Job Link</v>
      </c>
      <c r="H816" t="s">
        <v>478</v>
      </c>
      <c r="I816" t="s">
        <v>481</v>
      </c>
      <c r="J816" t="s">
        <v>486</v>
      </c>
      <c r="K816" t="s">
        <v>527</v>
      </c>
      <c r="L816" t="s">
        <v>582</v>
      </c>
      <c r="M816" t="s">
        <v>588</v>
      </c>
      <c r="N816" t="s">
        <v>601</v>
      </c>
    </row>
    <row r="817" spans="1:14" x14ac:dyDescent="0.25">
      <c r="A817" t="s">
        <v>33</v>
      </c>
      <c r="B817" t="s">
        <v>148</v>
      </c>
      <c r="C817" t="s">
        <v>297</v>
      </c>
      <c r="D817" t="s">
        <v>424</v>
      </c>
      <c r="F817" t="s">
        <v>437</v>
      </c>
      <c r="G817" t="str">
        <f>HYPERLINK("https://ca.linkedin.com/jobs/view/data-analyst-oracle-at-beachhead-3333722591?refId=E2vB8eCtbAxq1Ahy90gMyg%3D%3D&amp;trackingId=7Iz0ILTF5dMbcLtWE2zeXQ%3D%3D&amp;position=16&amp;pageNum=0&amp;trk=public_jobs_jserp-result_search-card", "Job Link")</f>
        <v>Job Link</v>
      </c>
      <c r="H817" t="s">
        <v>476</v>
      </c>
      <c r="I817" t="s">
        <v>483</v>
      </c>
      <c r="J817" t="s">
        <v>486</v>
      </c>
      <c r="K817" t="s">
        <v>525</v>
      </c>
      <c r="L817" t="s">
        <v>598</v>
      </c>
      <c r="M817" t="s">
        <v>614</v>
      </c>
      <c r="N817" t="s">
        <v>601</v>
      </c>
    </row>
    <row r="818" spans="1:14" x14ac:dyDescent="0.25">
      <c r="A818" t="s">
        <v>34</v>
      </c>
      <c r="B818" t="s">
        <v>149</v>
      </c>
      <c r="C818" t="s">
        <v>298</v>
      </c>
      <c r="D818" t="s">
        <v>424</v>
      </c>
      <c r="F818" t="s">
        <v>437</v>
      </c>
      <c r="G818" t="str">
        <f>HYPERLINK("https://ca.linkedin.com/jobs/view/analyste-de-donn%C3%A9es-at-mindgeek-3365663973?refId=E2vB8eCtbAxq1Ahy90gMyg%3D%3D&amp;trackingId=yScqBR5vkFYwtE4qT3zq2A%3D%3D&amp;position=17&amp;pageNum=0&amp;trk=public_jobs_jserp-result_search-card", "Job Link")</f>
        <v>Job Link</v>
      </c>
      <c r="H818" t="s">
        <v>476</v>
      </c>
      <c r="I818" t="s">
        <v>481</v>
      </c>
      <c r="J818" t="s">
        <v>486</v>
      </c>
      <c r="K818" t="s">
        <v>538</v>
      </c>
      <c r="L818" t="s">
        <v>586</v>
      </c>
      <c r="M818" t="s">
        <v>617</v>
      </c>
      <c r="N818" t="s">
        <v>601</v>
      </c>
    </row>
    <row r="819" spans="1:14" x14ac:dyDescent="0.25">
      <c r="A819" t="s">
        <v>35</v>
      </c>
      <c r="B819" t="s">
        <v>150</v>
      </c>
      <c r="C819" t="s">
        <v>299</v>
      </c>
      <c r="D819" t="s">
        <v>424</v>
      </c>
      <c r="F819" t="s">
        <v>454</v>
      </c>
      <c r="G819" t="str">
        <f>HYPERLINK("https://ca.linkedin.com/jobs/view/data-analyst-%E2%80%93-loans-capital-markets-at-synechron-3341623029?refId=E2vB8eCtbAxq1Ahy90gMyg%3D%3D&amp;trackingId=T8Rf2NLUT9SdmYe6w43jKg%3D%3D&amp;position=18&amp;pageNum=0&amp;trk=public_jobs_jserp-result_search-card", "Job Link")</f>
        <v>Job Link</v>
      </c>
      <c r="H819" t="s">
        <v>478</v>
      </c>
      <c r="I819" t="s">
        <v>483</v>
      </c>
      <c r="J819" t="s">
        <v>486</v>
      </c>
      <c r="K819" t="s">
        <v>539</v>
      </c>
      <c r="L819" t="s">
        <v>584</v>
      </c>
      <c r="M819" t="s">
        <v>588</v>
      </c>
      <c r="N819" t="s">
        <v>601</v>
      </c>
    </row>
    <row r="820" spans="1:14" x14ac:dyDescent="0.25">
      <c r="A820" t="s">
        <v>36</v>
      </c>
      <c r="B820" t="s">
        <v>151</v>
      </c>
      <c r="C820" t="s">
        <v>300</v>
      </c>
      <c r="D820" t="s">
        <v>424</v>
      </c>
      <c r="F820" t="s">
        <v>455</v>
      </c>
      <c r="G820" t="str">
        <f>HYPERLINK("https://ca.linkedin.com/jobs/view/data-specialist-at-enerkem-3348399448?refId=E2vB8eCtbAxq1Ahy90gMyg%3D%3D&amp;trackingId=i8NfdOcqloVGZ3nZwNSOUg%3D%3D&amp;position=19&amp;pageNum=0&amp;trk=public_jobs_jserp-result_search-card", "Job Link")</f>
        <v>Job Link</v>
      </c>
      <c r="H820" t="s">
        <v>478</v>
      </c>
      <c r="I820" t="s">
        <v>481</v>
      </c>
      <c r="J820" t="s">
        <v>486</v>
      </c>
      <c r="K820" t="s">
        <v>540</v>
      </c>
      <c r="L820" t="s">
        <v>586</v>
      </c>
      <c r="M820" t="s">
        <v>617</v>
      </c>
      <c r="N820" t="s">
        <v>601</v>
      </c>
    </row>
    <row r="821" spans="1:14" x14ac:dyDescent="0.25">
      <c r="A821" t="s">
        <v>37</v>
      </c>
      <c r="B821" t="s">
        <v>152</v>
      </c>
      <c r="C821" t="s">
        <v>301</v>
      </c>
      <c r="D821" t="s">
        <v>424</v>
      </c>
      <c r="F821" t="s">
        <v>440</v>
      </c>
      <c r="G821" t="str">
        <f>HYPERLINK("https://ca.linkedin.com/jobs/view/data-engineer-at-wunderman-thompson-3367064774?refId=E2vB8eCtbAxq1Ahy90gMyg%3D%3D&amp;trackingId=5F6MK8upZUxIJTw8kG%2BupA%3D%3D&amp;position=20&amp;pageNum=0&amp;trk=public_jobs_jserp-result_search-card", "Job Link")</f>
        <v>Job Link</v>
      </c>
      <c r="H821" t="s">
        <v>476</v>
      </c>
      <c r="I821" t="s">
        <v>481</v>
      </c>
      <c r="J821" t="s">
        <v>486</v>
      </c>
      <c r="K821" t="s">
        <v>541</v>
      </c>
      <c r="L821" t="s">
        <v>582</v>
      </c>
      <c r="M821" t="s">
        <v>588</v>
      </c>
      <c r="N821" t="s">
        <v>601</v>
      </c>
    </row>
    <row r="822" spans="1:14" x14ac:dyDescent="0.25">
      <c r="A822" t="s">
        <v>14</v>
      </c>
      <c r="B822" t="s">
        <v>153</v>
      </c>
      <c r="C822" t="s">
        <v>302</v>
      </c>
      <c r="D822" t="s">
        <v>424</v>
      </c>
      <c r="F822" t="s">
        <v>456</v>
      </c>
      <c r="G822" t="str">
        <f>HYPERLINK("https://ca.linkedin.com/jobs/view/data-analyst-at-integrated-resources-inc-iri-3211617367?refId=E2vB8eCtbAxq1Ahy90gMyg%3D%3D&amp;trackingId=xJ8dUWmiFIXVeyQaWKSw%2Fg%3D%3D&amp;position=21&amp;pageNum=0&amp;trk=public_jobs_jserp-result_search-card", "Job Link")</f>
        <v>Job Link</v>
      </c>
      <c r="H822" t="s">
        <v>476</v>
      </c>
      <c r="I822" t="s">
        <v>483</v>
      </c>
      <c r="J822" t="s">
        <v>486</v>
      </c>
      <c r="K822" t="s">
        <v>518</v>
      </c>
      <c r="L822" t="s">
        <v>584</v>
      </c>
      <c r="M822" t="s">
        <v>588</v>
      </c>
      <c r="N822" t="s">
        <v>601</v>
      </c>
    </row>
    <row r="823" spans="1:14" x14ac:dyDescent="0.25">
      <c r="A823" t="s">
        <v>37</v>
      </c>
      <c r="B823" t="s">
        <v>154</v>
      </c>
      <c r="C823" t="s">
        <v>303</v>
      </c>
      <c r="D823" t="s">
        <v>424</v>
      </c>
      <c r="F823" t="s">
        <v>440</v>
      </c>
      <c r="G823" t="str">
        <f>HYPERLINK("https://ca.linkedin.com/jobs/view/data-engineer-at-brp-3370332609?refId=E2vB8eCtbAxq1Ahy90gMyg%3D%3D&amp;trackingId=D3PGzi%2BlII6p1nRQV1A%2B4w%3D%3D&amp;position=22&amp;pageNum=0&amp;trk=public_jobs_jserp-result_search-card", "Job Link")</f>
        <v>Job Link</v>
      </c>
      <c r="H823" t="s">
        <v>476</v>
      </c>
      <c r="I823" t="s">
        <v>481</v>
      </c>
      <c r="J823" t="s">
        <v>486</v>
      </c>
      <c r="K823" t="s">
        <v>542</v>
      </c>
      <c r="L823" t="s">
        <v>599</v>
      </c>
    </row>
    <row r="824" spans="1:14" x14ac:dyDescent="0.25">
      <c r="A824" t="s">
        <v>14</v>
      </c>
      <c r="B824" t="s">
        <v>155</v>
      </c>
      <c r="C824" t="s">
        <v>304</v>
      </c>
      <c r="D824" t="s">
        <v>424</v>
      </c>
      <c r="F824" t="s">
        <v>437</v>
      </c>
      <c r="G824" t="str">
        <f>HYPERLINK("https://ca.linkedin.com/jobs/view/data-analyst-at-alstom-3368960192?refId=E2vB8eCtbAxq1Ahy90gMyg%3D%3D&amp;trackingId=EUs%2B1%2FBXkLpepuGSNZWy3Q%3D%3D&amp;position=23&amp;pageNum=0&amp;trk=public_jobs_jserp-result_search-card", "Job Link")</f>
        <v>Job Link</v>
      </c>
      <c r="H824" t="s">
        <v>479</v>
      </c>
      <c r="I824" t="s">
        <v>485</v>
      </c>
      <c r="J824" t="s">
        <v>491</v>
      </c>
      <c r="K824" t="s">
        <v>543</v>
      </c>
      <c r="L824" t="s">
        <v>582</v>
      </c>
      <c r="M824" t="s">
        <v>588</v>
      </c>
      <c r="N824" t="s">
        <v>601</v>
      </c>
    </row>
    <row r="825" spans="1:14" x14ac:dyDescent="0.25">
      <c r="A825" t="s">
        <v>14</v>
      </c>
      <c r="B825" t="s">
        <v>128</v>
      </c>
      <c r="C825" t="s">
        <v>269</v>
      </c>
      <c r="D825" t="s">
        <v>424</v>
      </c>
      <c r="F825" t="s">
        <v>439</v>
      </c>
      <c r="G825" t="str">
        <f>HYPERLINK("https://ca.linkedin.com/jobs/view/data-analyst-at-diverse-lynx-3363377240?refId=E2vB8eCtbAxq1Ahy90gMyg%3D%3D&amp;trackingId=1p58FWS%2BuLum3%2BF0hFq4Og%3D%3D&amp;position=24&amp;pageNum=0&amp;trk=public_jobs_jserp-result_search-card", "Job Link")</f>
        <v>Job Link</v>
      </c>
      <c r="H825" t="s">
        <v>476</v>
      </c>
      <c r="I825" t="s">
        <v>481</v>
      </c>
      <c r="J825" t="s">
        <v>486</v>
      </c>
      <c r="K825" t="s">
        <v>516</v>
      </c>
      <c r="L825" t="s">
        <v>586</v>
      </c>
      <c r="M825" t="s">
        <v>617</v>
      </c>
      <c r="N825" t="s">
        <v>601</v>
      </c>
    </row>
    <row r="826" spans="1:14" x14ac:dyDescent="0.25">
      <c r="A826" t="s">
        <v>38</v>
      </c>
      <c r="B826" t="s">
        <v>156</v>
      </c>
      <c r="C826" t="s">
        <v>305</v>
      </c>
      <c r="D826" t="s">
        <v>424</v>
      </c>
      <c r="F826" t="s">
        <v>457</v>
      </c>
      <c r="G826" t="str">
        <f>HYPERLINK("https://ca.linkedin.com/jobs/view/data-analyst-contract-at-tundra-technical-solutions-3281771186?refId=E2vB8eCtbAxq1Ahy90gMyg%3D%3D&amp;trackingId=wfHv0MsqHYFw970hc86cEA%3D%3D&amp;position=25&amp;pageNum=0&amp;trk=public_jobs_jserp-result_search-card", "Job Link")</f>
        <v>Job Link</v>
      </c>
      <c r="H826" t="s">
        <v>478</v>
      </c>
      <c r="I826" t="s">
        <v>483</v>
      </c>
      <c r="J826" t="s">
        <v>486</v>
      </c>
      <c r="K826" t="s">
        <v>518</v>
      </c>
      <c r="L826" t="s">
        <v>600</v>
      </c>
      <c r="M826" t="s">
        <v>618</v>
      </c>
      <c r="N826" t="s">
        <v>601</v>
      </c>
    </row>
    <row r="827" spans="1:14" x14ac:dyDescent="0.25">
      <c r="A827" t="s">
        <v>14</v>
      </c>
      <c r="B827" t="s">
        <v>118</v>
      </c>
      <c r="C827" t="s">
        <v>258</v>
      </c>
      <c r="D827" t="s">
        <v>424</v>
      </c>
      <c r="F827" t="s">
        <v>430</v>
      </c>
      <c r="G827" t="str">
        <f>HYPERLINK("https://ca.linkedin.com/jobs/view/data-analyst-at-axonify-3324670516?refId=lQYkT3Z4WQCjSz%2B3iAxW9A%3D%3D&amp;trackingId=IU6xIvOOb%2BSRENI20Yjntw%3D%3D&amp;position=1&amp;pageNum=0&amp;trk=public_jobs_jserp-result_search-card", "Job Link")</f>
        <v>Job Link</v>
      </c>
      <c r="H827" t="s">
        <v>476</v>
      </c>
      <c r="I827" t="s">
        <v>481</v>
      </c>
      <c r="J827" t="s">
        <v>486</v>
      </c>
      <c r="K827" t="s">
        <v>516</v>
      </c>
      <c r="L827" t="s">
        <v>581</v>
      </c>
      <c r="M827" t="s">
        <v>588</v>
      </c>
      <c r="N827" t="s">
        <v>601</v>
      </c>
    </row>
    <row r="828" spans="1:14" x14ac:dyDescent="0.25">
      <c r="A828" t="s">
        <v>14</v>
      </c>
      <c r="B828" t="s">
        <v>119</v>
      </c>
      <c r="C828" t="s">
        <v>259</v>
      </c>
      <c r="D828" t="s">
        <v>424</v>
      </c>
      <c r="F828" t="s">
        <v>431</v>
      </c>
      <c r="G828" t="str">
        <f>HYPERLINK("https://ca.linkedin.com/jobs/view/data-analyst-at-b3-systems-3361794123?refId=lQYkT3Z4WQCjSz%2B3iAxW9A%3D%3D&amp;trackingId=wTloDcVlAK6psAj2K1pESQ%3D%3D&amp;position=2&amp;pageNum=0&amp;trk=public_jobs_jserp-result_search-card", "Job Link")</f>
        <v>Job Link</v>
      </c>
      <c r="I828" t="s">
        <v>481</v>
      </c>
      <c r="L828" t="s">
        <v>582</v>
      </c>
      <c r="M828" t="s">
        <v>588</v>
      </c>
      <c r="N828" t="s">
        <v>601</v>
      </c>
    </row>
    <row r="829" spans="1:14" x14ac:dyDescent="0.25">
      <c r="A829" t="s">
        <v>14</v>
      </c>
      <c r="B829" t="s">
        <v>120</v>
      </c>
      <c r="C829" t="s">
        <v>260</v>
      </c>
      <c r="D829" t="s">
        <v>424</v>
      </c>
      <c r="F829" t="s">
        <v>431</v>
      </c>
      <c r="G829" t="str">
        <f>HYPERLINK("https://ca.linkedin.com/jobs/view/data-analyst-at-wood-mackenzie-3271782079?refId=lQYkT3Z4WQCjSz%2B3iAxW9A%3D%3D&amp;trackingId=7sDXBLULcaMRelXCz7uSag%3D%3D&amp;position=3&amp;pageNum=0&amp;trk=public_jobs_jserp-result_search-card", "Job Link")</f>
        <v>Job Link</v>
      </c>
      <c r="H829" t="s">
        <v>477</v>
      </c>
      <c r="I829" t="s">
        <v>481</v>
      </c>
      <c r="J829" t="s">
        <v>487</v>
      </c>
      <c r="K829" t="s">
        <v>517</v>
      </c>
      <c r="L829" t="s">
        <v>583</v>
      </c>
      <c r="M829" t="s">
        <v>610</v>
      </c>
      <c r="N829" t="s">
        <v>601</v>
      </c>
    </row>
    <row r="830" spans="1:14" x14ac:dyDescent="0.25">
      <c r="A830" t="s">
        <v>14</v>
      </c>
      <c r="B830" t="s">
        <v>122</v>
      </c>
      <c r="C830" t="s">
        <v>262</v>
      </c>
      <c r="D830" t="s">
        <v>424</v>
      </c>
      <c r="F830" t="s">
        <v>433</v>
      </c>
      <c r="G830" t="str">
        <f>HYPERLINK("https://ca.linkedin.com/jobs/view/data-analyst-at-nam-info-inc-3351590976?refId=lQYkT3Z4WQCjSz%2B3iAxW9A%3D%3D&amp;trackingId=zX6QbuKiFrlPt8fAC%2Fi7gw%3D%3D&amp;position=4&amp;pageNum=0&amp;trk=public_jobs_jserp-result_search-card", "Job Link")</f>
        <v>Job Link</v>
      </c>
      <c r="H830" t="s">
        <v>478</v>
      </c>
      <c r="I830" t="s">
        <v>483</v>
      </c>
      <c r="J830" t="s">
        <v>486</v>
      </c>
      <c r="K830" t="s">
        <v>518</v>
      </c>
      <c r="L830" t="s">
        <v>582</v>
      </c>
      <c r="M830" t="s">
        <v>588</v>
      </c>
      <c r="N830" t="s">
        <v>601</v>
      </c>
    </row>
    <row r="831" spans="1:14" x14ac:dyDescent="0.25">
      <c r="A831" t="s">
        <v>14</v>
      </c>
      <c r="B831" t="s">
        <v>123</v>
      </c>
      <c r="C831" t="s">
        <v>263</v>
      </c>
      <c r="D831" t="s">
        <v>424</v>
      </c>
      <c r="F831" t="s">
        <v>434</v>
      </c>
      <c r="G831" t="str">
        <f>HYPERLINK("https://ca.linkedin.com/jobs/view/data-analyst-at-citi-3263096865?refId=lQYkT3Z4WQCjSz%2B3iAxW9A%3D%3D&amp;trackingId=3GkJ67dFpvlPoZnUec6nhA%3D%3D&amp;position=5&amp;pageNum=0&amp;trk=public_jobs_jserp-result_search-card", "Job Link")</f>
        <v>Job Link</v>
      </c>
      <c r="H831" t="s">
        <v>479</v>
      </c>
      <c r="I831" t="s">
        <v>481</v>
      </c>
      <c r="J831" t="s">
        <v>486</v>
      </c>
      <c r="K831" t="s">
        <v>519</v>
      </c>
      <c r="L831" t="s">
        <v>584</v>
      </c>
      <c r="M831" t="s">
        <v>588</v>
      </c>
      <c r="N831" t="s">
        <v>601</v>
      </c>
    </row>
    <row r="832" spans="1:14" x14ac:dyDescent="0.25">
      <c r="A832" t="s">
        <v>14</v>
      </c>
      <c r="B832" t="s">
        <v>121</v>
      </c>
      <c r="C832" t="s">
        <v>261</v>
      </c>
      <c r="D832" t="s">
        <v>424</v>
      </c>
      <c r="F832" t="s">
        <v>432</v>
      </c>
      <c r="G832" t="str">
        <f>HYPERLINK("https://ca.linkedin.com/jobs/view/data-analyst-at-loft-community-services-3364383026?refId=lQYkT3Z4WQCjSz%2B3iAxW9A%3D%3D&amp;trackingId=f1kc26PpN5dG699%2B4XJUBg%3D%3D&amp;position=6&amp;pageNum=0&amp;trk=public_jobs_jserp-result_search-card", "Job Link")</f>
        <v>Job Link</v>
      </c>
      <c r="I832" t="s">
        <v>482</v>
      </c>
      <c r="L832" t="s">
        <v>582</v>
      </c>
      <c r="M832" t="s">
        <v>588</v>
      </c>
      <c r="N832" t="s">
        <v>601</v>
      </c>
    </row>
    <row r="833" spans="1:14" x14ac:dyDescent="0.25">
      <c r="A833" t="s">
        <v>14</v>
      </c>
      <c r="B833" t="s">
        <v>124</v>
      </c>
      <c r="C833" t="s">
        <v>264</v>
      </c>
      <c r="D833" t="s">
        <v>424</v>
      </c>
      <c r="F833" t="s">
        <v>435</v>
      </c>
      <c r="G833" t="str">
        <f>HYPERLINK("https://ca.linkedin.com/jobs/view/data-analyst-at-king-s-college-london-3335332409?refId=lQYkT3Z4WQCjSz%2B3iAxW9A%3D%3D&amp;trackingId=gdTlibXMcGX60FDO18NEZw%3D%3D&amp;position=7&amp;pageNum=0&amp;trk=public_jobs_jserp-result_search-card", "Job Link")</f>
        <v>Job Link</v>
      </c>
      <c r="H833" t="s">
        <v>476</v>
      </c>
      <c r="I833" t="s">
        <v>481</v>
      </c>
      <c r="J833" t="s">
        <v>486</v>
      </c>
      <c r="K833" t="s">
        <v>520</v>
      </c>
      <c r="L833" t="s">
        <v>585</v>
      </c>
      <c r="M833" t="s">
        <v>588</v>
      </c>
      <c r="N833" t="s">
        <v>601</v>
      </c>
    </row>
    <row r="834" spans="1:14" x14ac:dyDescent="0.25">
      <c r="A834" t="s">
        <v>15</v>
      </c>
      <c r="B834" t="s">
        <v>125</v>
      </c>
      <c r="C834" t="s">
        <v>265</v>
      </c>
      <c r="D834" t="s">
        <v>424</v>
      </c>
      <c r="F834" t="s">
        <v>431</v>
      </c>
      <c r="G834" t="str">
        <f>HYPERLINK("https://ca.linkedin.com/jobs/view/data-analyst-remote-at-cognizant-microsoft-business-group-3333618510?refId=lQYkT3Z4WQCjSz%2B3iAxW9A%3D%3D&amp;trackingId=c6EmUZDR2yuiUQV1mzrPFA%3D%3D&amp;position=8&amp;pageNum=0&amp;trk=public_jobs_jserp-result_search-card", "Job Link")</f>
        <v>Job Link</v>
      </c>
      <c r="H834" t="s">
        <v>476</v>
      </c>
      <c r="I834" t="s">
        <v>481</v>
      </c>
      <c r="J834" t="s">
        <v>486</v>
      </c>
      <c r="K834" t="s">
        <v>521</v>
      </c>
      <c r="L834" t="s">
        <v>582</v>
      </c>
      <c r="M834" t="s">
        <v>588</v>
      </c>
      <c r="N834" t="s">
        <v>601</v>
      </c>
    </row>
    <row r="835" spans="1:14" x14ac:dyDescent="0.25">
      <c r="A835" t="s">
        <v>16</v>
      </c>
      <c r="B835" t="s">
        <v>126</v>
      </c>
      <c r="C835" t="s">
        <v>266</v>
      </c>
      <c r="D835" t="s">
        <v>424</v>
      </c>
      <c r="F835" t="s">
        <v>436</v>
      </c>
      <c r="G835" t="str">
        <f>HYPERLINK("https://ca.linkedin.com/jobs/view/data-analyst-loans-at-tata-consultancy-services-3344804680?refId=lQYkT3Z4WQCjSz%2B3iAxW9A%3D%3D&amp;trackingId=cYtJ1wgsJ8EPw%2Bs1WC3xSQ%3D%3D&amp;position=9&amp;pageNum=0&amp;trk=public_jobs_jserp-result_search-card", "Job Link")</f>
        <v>Job Link</v>
      </c>
      <c r="H835" t="s">
        <v>477</v>
      </c>
      <c r="I835" t="s">
        <v>481</v>
      </c>
      <c r="J835" t="s">
        <v>486</v>
      </c>
      <c r="K835" t="s">
        <v>517</v>
      </c>
      <c r="L835" t="s">
        <v>584</v>
      </c>
      <c r="M835" t="s">
        <v>588</v>
      </c>
      <c r="N835" t="s">
        <v>601</v>
      </c>
    </row>
    <row r="836" spans="1:14" x14ac:dyDescent="0.25">
      <c r="A836" t="s">
        <v>17</v>
      </c>
      <c r="B836" t="s">
        <v>123</v>
      </c>
      <c r="C836" t="s">
        <v>268</v>
      </c>
      <c r="D836" t="s">
        <v>424</v>
      </c>
      <c r="F836" t="s">
        <v>438</v>
      </c>
      <c r="G836" t="str">
        <f>HYPERLINK("https://ca.linkedin.com/jobs/view/data-analyst-developer-at-citi-3322089923?refId=lQYkT3Z4WQCjSz%2B3iAxW9A%3D%3D&amp;trackingId=XpMLC4MT9J%2FK4C3wceD3ow%3D%3D&amp;position=10&amp;pageNum=0&amp;trk=public_jobs_jserp-result_search-card", "Job Link")</f>
        <v>Job Link</v>
      </c>
      <c r="H836" t="s">
        <v>479</v>
      </c>
      <c r="I836" t="s">
        <v>481</v>
      </c>
      <c r="J836" t="s">
        <v>486</v>
      </c>
      <c r="K836" t="s">
        <v>519</v>
      </c>
      <c r="L836" t="s">
        <v>584</v>
      </c>
      <c r="M836" t="s">
        <v>588</v>
      </c>
      <c r="N836" t="s">
        <v>601</v>
      </c>
    </row>
    <row r="837" spans="1:14" x14ac:dyDescent="0.25">
      <c r="A837" t="s">
        <v>14</v>
      </c>
      <c r="B837" t="s">
        <v>128</v>
      </c>
      <c r="C837" t="s">
        <v>269</v>
      </c>
      <c r="D837" t="s">
        <v>424</v>
      </c>
      <c r="F837" t="s">
        <v>439</v>
      </c>
      <c r="G837" t="str">
        <f>HYPERLINK("https://ca.linkedin.com/jobs/view/data-analyst-at-diverse-lynx-3363377240?refId=lQYkT3Z4WQCjSz%2B3iAxW9A%3D%3D&amp;trackingId=dniCg7Ia4JIcwbSNITdbpg%3D%3D&amp;position=11&amp;pageNum=0&amp;trk=public_jobs_jserp-result_search-card", "Job Link")</f>
        <v>Job Link</v>
      </c>
      <c r="H837" t="s">
        <v>476</v>
      </c>
      <c r="I837" t="s">
        <v>481</v>
      </c>
      <c r="J837" t="s">
        <v>486</v>
      </c>
      <c r="K837" t="s">
        <v>516</v>
      </c>
      <c r="L837" t="s">
        <v>586</v>
      </c>
      <c r="M837" t="s">
        <v>617</v>
      </c>
      <c r="N837" t="s">
        <v>601</v>
      </c>
    </row>
    <row r="838" spans="1:14" x14ac:dyDescent="0.25">
      <c r="A838" t="s">
        <v>14</v>
      </c>
      <c r="B838" t="s">
        <v>129</v>
      </c>
      <c r="C838" t="s">
        <v>270</v>
      </c>
      <c r="D838" t="s">
        <v>424</v>
      </c>
      <c r="F838" t="s">
        <v>440</v>
      </c>
      <c r="G838" t="str">
        <f>HYPERLINK("https://ca.linkedin.com/jobs/view/data-analyst-at-agricorp-3364433441?refId=lQYkT3Z4WQCjSz%2B3iAxW9A%3D%3D&amp;trackingId=9hX6YCMJwEu11mYRy0NFxw%3D%3D&amp;position=12&amp;pageNum=0&amp;trk=public_jobs_jserp-result_search-card", "Job Link")</f>
        <v>Job Link</v>
      </c>
      <c r="H838" t="s">
        <v>476</v>
      </c>
      <c r="I838" t="s">
        <v>481</v>
      </c>
      <c r="J838" t="s">
        <v>486</v>
      </c>
      <c r="K838" t="s">
        <v>523</v>
      </c>
      <c r="L838" t="s">
        <v>587</v>
      </c>
      <c r="M838" t="s">
        <v>588</v>
      </c>
      <c r="N838" t="s">
        <v>601</v>
      </c>
    </row>
    <row r="839" spans="1:14" x14ac:dyDescent="0.25">
      <c r="A839" t="s">
        <v>14</v>
      </c>
      <c r="B839" t="s">
        <v>128</v>
      </c>
      <c r="C839" t="s">
        <v>277</v>
      </c>
      <c r="D839" t="s">
        <v>424</v>
      </c>
      <c r="F839" t="s">
        <v>439</v>
      </c>
      <c r="G839" t="str">
        <f>HYPERLINK("https://ca.linkedin.com/jobs/view/data-analyst-at-diverse-lynx-3363374746?refId=lQYkT3Z4WQCjSz%2B3iAxW9A%3D%3D&amp;trackingId=twd1qV3P94%2BlQrBqwLl%2Bwg%3D%3D&amp;position=13&amp;pageNum=0&amp;trk=public_jobs_jserp-result_search-card", "Job Link")</f>
        <v>Job Link</v>
      </c>
      <c r="H839" t="s">
        <v>476</v>
      </c>
      <c r="I839" t="s">
        <v>481</v>
      </c>
      <c r="J839" t="s">
        <v>486</v>
      </c>
      <c r="K839" t="s">
        <v>516</v>
      </c>
      <c r="L839" t="s">
        <v>586</v>
      </c>
      <c r="M839" t="s">
        <v>617</v>
      </c>
      <c r="N839" t="s">
        <v>601</v>
      </c>
    </row>
    <row r="840" spans="1:14" x14ac:dyDescent="0.25">
      <c r="A840" t="s">
        <v>18</v>
      </c>
      <c r="B840" t="s">
        <v>130</v>
      </c>
      <c r="C840" t="s">
        <v>271</v>
      </c>
      <c r="D840" t="s">
        <v>424</v>
      </c>
      <c r="F840" t="s">
        <v>441</v>
      </c>
      <c r="G840" t="str">
        <f>HYPERLINK("https://ca.linkedin.com/jobs/view/junior-data-analyst-mississauga-on-at-arjo-3323264354?refId=lQYkT3Z4WQCjSz%2B3iAxW9A%3D%3D&amp;trackingId=daLyAegRDkHJby2FsFjo4Q%3D%3D&amp;position=14&amp;pageNum=0&amp;trk=public_jobs_jserp-result_search-card", "Job Link")</f>
        <v>Job Link</v>
      </c>
      <c r="H840" t="s">
        <v>479</v>
      </c>
      <c r="I840" t="s">
        <v>481</v>
      </c>
      <c r="J840" t="s">
        <v>486</v>
      </c>
      <c r="K840" t="s">
        <v>524</v>
      </c>
      <c r="L840" t="s">
        <v>588</v>
      </c>
      <c r="M840" t="s">
        <v>601</v>
      </c>
    </row>
    <row r="841" spans="1:14" x14ac:dyDescent="0.25">
      <c r="A841" t="s">
        <v>14</v>
      </c>
      <c r="B841" t="s">
        <v>127</v>
      </c>
      <c r="C841" t="s">
        <v>267</v>
      </c>
      <c r="D841" t="s">
        <v>424</v>
      </c>
      <c r="F841" t="s">
        <v>437</v>
      </c>
      <c r="G841" t="str">
        <f>HYPERLINK("https://ca.linkedin.com/jobs/view/data-analyst-at-vubiquity-3365112221?refId=lQYkT3Z4WQCjSz%2B3iAxW9A%3D%3D&amp;trackingId=xDOlH9vXgGyFaDHUwG4CMg%3D%3D&amp;position=15&amp;pageNum=0&amp;trk=public_jobs_jserp-result_search-card", "Job Link")</f>
        <v>Job Link</v>
      </c>
      <c r="H841" t="s">
        <v>476</v>
      </c>
      <c r="I841" t="s">
        <v>481</v>
      </c>
      <c r="J841" t="s">
        <v>486</v>
      </c>
      <c r="K841" t="s">
        <v>522</v>
      </c>
      <c r="L841" t="s">
        <v>582</v>
      </c>
      <c r="M841" t="s">
        <v>588</v>
      </c>
      <c r="N841" t="s">
        <v>601</v>
      </c>
    </row>
    <row r="842" spans="1:14" x14ac:dyDescent="0.25">
      <c r="A842" t="s">
        <v>14</v>
      </c>
      <c r="B842" t="s">
        <v>135</v>
      </c>
      <c r="C842" t="s">
        <v>276</v>
      </c>
      <c r="D842" t="s">
        <v>424</v>
      </c>
      <c r="F842" t="s">
        <v>440</v>
      </c>
      <c r="G842" t="str">
        <f>HYPERLINK("https://ca.linkedin.com/jobs/view/data-analyst-at-magna-international-3370822450?refId=lQYkT3Z4WQCjSz%2B3iAxW9A%3D%3D&amp;trackingId=FX4yW%2BXDw35dmtunOrjTmg%3D%3D&amp;position=16&amp;pageNum=0&amp;trk=public_jobs_jserp-result_search-card", "Job Link")</f>
        <v>Job Link</v>
      </c>
      <c r="H842" t="s">
        <v>476</v>
      </c>
      <c r="I842" t="s">
        <v>481</v>
      </c>
      <c r="J842" t="s">
        <v>488</v>
      </c>
      <c r="K842" t="s">
        <v>528</v>
      </c>
      <c r="L842" t="s">
        <v>592</v>
      </c>
      <c r="M842" t="s">
        <v>588</v>
      </c>
      <c r="N842" t="s">
        <v>601</v>
      </c>
    </row>
    <row r="843" spans="1:14" x14ac:dyDescent="0.25">
      <c r="A843" t="s">
        <v>14</v>
      </c>
      <c r="B843" t="s">
        <v>131</v>
      </c>
      <c r="C843" t="s">
        <v>272</v>
      </c>
      <c r="D843" t="s">
        <v>424</v>
      </c>
      <c r="F843" t="s">
        <v>442</v>
      </c>
      <c r="G843" t="str">
        <f>HYPERLINK("https://ca.linkedin.com/jobs/view/data-analyst-at-westland-insurance-group-ltd-3345807760?refId=lQYkT3Z4WQCjSz%2B3iAxW9A%3D%3D&amp;trackingId=20UtUe5DuMIbq1V0iicW0g%3D%3D&amp;position=17&amp;pageNum=0&amp;trk=public_jobs_jserp-result_search-card", "Job Link")</f>
        <v>Job Link</v>
      </c>
      <c r="H843" t="s">
        <v>476</v>
      </c>
      <c r="I843" t="s">
        <v>481</v>
      </c>
      <c r="J843" t="s">
        <v>486</v>
      </c>
      <c r="K843" t="s">
        <v>525</v>
      </c>
      <c r="L843" t="s">
        <v>589</v>
      </c>
      <c r="M843" t="s">
        <v>618</v>
      </c>
      <c r="N843" t="s">
        <v>601</v>
      </c>
    </row>
    <row r="844" spans="1:14" x14ac:dyDescent="0.25">
      <c r="A844" t="s">
        <v>14</v>
      </c>
      <c r="B844" t="s">
        <v>133</v>
      </c>
      <c r="C844" t="s">
        <v>274</v>
      </c>
      <c r="D844" t="s">
        <v>424</v>
      </c>
      <c r="F844" t="s">
        <v>434</v>
      </c>
      <c r="G844" t="str">
        <f>HYPERLINK("https://ca.linkedin.com/jobs/view/data-analyst-at-momentum-financial-services-group-3355811523?refId=lQYkT3Z4WQCjSz%2B3iAxW9A%3D%3D&amp;trackingId=R3GLL%2BEOrx89pkeDRpaMsw%3D%3D&amp;position=18&amp;pageNum=0&amp;trk=public_jobs_jserp-result_search-card", "Job Link")</f>
        <v>Job Link</v>
      </c>
      <c r="H844" t="s">
        <v>476</v>
      </c>
      <c r="I844" t="s">
        <v>481</v>
      </c>
      <c r="J844" t="s">
        <v>486</v>
      </c>
      <c r="K844" t="s">
        <v>527</v>
      </c>
      <c r="L844" t="s">
        <v>582</v>
      </c>
      <c r="M844" t="s">
        <v>588</v>
      </c>
      <c r="N844" t="s">
        <v>601</v>
      </c>
    </row>
    <row r="845" spans="1:14" x14ac:dyDescent="0.25">
      <c r="A845" t="s">
        <v>14</v>
      </c>
      <c r="B845" t="s">
        <v>134</v>
      </c>
      <c r="C845" t="s">
        <v>275</v>
      </c>
      <c r="D845" t="s">
        <v>424</v>
      </c>
      <c r="F845" t="s">
        <v>444</v>
      </c>
      <c r="G845" t="str">
        <f>HYPERLINK("https://ca.linkedin.com/jobs/view/data-analyst-at-tes-the-employment-solution-3322589522?refId=lQYkT3Z4WQCjSz%2B3iAxW9A%3D%3D&amp;trackingId=%2BzmlJk6UIiFzwxgS7rkBbw%3D%3D&amp;position=19&amp;pageNum=0&amp;trk=public_jobs_jserp-result_search-card", "Job Link")</f>
        <v>Job Link</v>
      </c>
      <c r="H845" t="s">
        <v>476</v>
      </c>
      <c r="I845" t="s">
        <v>483</v>
      </c>
      <c r="J845" t="s">
        <v>486</v>
      </c>
      <c r="K845" t="s">
        <v>525</v>
      </c>
      <c r="L845" t="s">
        <v>591</v>
      </c>
      <c r="M845" t="s">
        <v>588</v>
      </c>
      <c r="N845" t="s">
        <v>601</v>
      </c>
    </row>
    <row r="846" spans="1:14" x14ac:dyDescent="0.25">
      <c r="A846" t="s">
        <v>19</v>
      </c>
      <c r="B846" t="s">
        <v>136</v>
      </c>
      <c r="C846" t="s">
        <v>278</v>
      </c>
      <c r="D846" t="s">
        <v>424</v>
      </c>
      <c r="F846" t="s">
        <v>445</v>
      </c>
      <c r="G846" t="str">
        <f>HYPERLINK("https://ca.linkedin.com/jobs/view/data-analyst-operations-at-sonder-inc-3229442908?refId=lQYkT3Z4WQCjSz%2B3iAxW9A%3D%3D&amp;trackingId=YIiZOryfrDLrp%2BAlmq5hAQ%3D%3D&amp;position=20&amp;pageNum=0&amp;trk=public_jobs_jserp-result_search-card", "Job Link")</f>
        <v>Job Link</v>
      </c>
      <c r="H846" t="s">
        <v>476</v>
      </c>
      <c r="I846" t="s">
        <v>481</v>
      </c>
      <c r="J846" t="s">
        <v>486</v>
      </c>
      <c r="K846" t="s">
        <v>529</v>
      </c>
      <c r="L846" t="s">
        <v>582</v>
      </c>
      <c r="M846" t="s">
        <v>588</v>
      </c>
      <c r="N846" t="s">
        <v>601</v>
      </c>
    </row>
    <row r="847" spans="1:14" x14ac:dyDescent="0.25">
      <c r="A847" t="s">
        <v>20</v>
      </c>
      <c r="B847" t="s">
        <v>137</v>
      </c>
      <c r="C847" t="s">
        <v>279</v>
      </c>
      <c r="D847" t="s">
        <v>424</v>
      </c>
      <c r="F847" t="s">
        <v>446</v>
      </c>
      <c r="G847" t="str">
        <f>HYPERLINK("https://ca.linkedin.com/jobs/view/senior-data-analyst-at-mueller-water-products-3122544636?refId=lQYkT3Z4WQCjSz%2B3iAxW9A%3D%3D&amp;trackingId=9dZtmmHWW2DaEjc77PHP9A%3D%3D&amp;position=21&amp;pageNum=0&amp;trk=public_jobs_jserp-result_search-card", "Job Link")</f>
        <v>Job Link</v>
      </c>
      <c r="H847" t="s">
        <v>478</v>
      </c>
      <c r="I847" t="s">
        <v>481</v>
      </c>
      <c r="J847" t="s">
        <v>486</v>
      </c>
      <c r="K847" t="s">
        <v>530</v>
      </c>
      <c r="L847" t="s">
        <v>582</v>
      </c>
      <c r="M847" t="s">
        <v>588</v>
      </c>
      <c r="N847" t="s">
        <v>601</v>
      </c>
    </row>
    <row r="848" spans="1:14" x14ac:dyDescent="0.25">
      <c r="A848" t="s">
        <v>14</v>
      </c>
      <c r="B848" t="s">
        <v>128</v>
      </c>
      <c r="C848" t="s">
        <v>283</v>
      </c>
      <c r="D848" t="s">
        <v>424</v>
      </c>
      <c r="F848" t="s">
        <v>439</v>
      </c>
      <c r="G848" t="str">
        <f>HYPERLINK("https://ca.linkedin.com/jobs/view/data-analyst-at-diverse-lynx-3363122507?refId=lQYkT3Z4WQCjSz%2B3iAxW9A%3D%3D&amp;trackingId=34Of373n%2FqaWbnouDDm7sA%3D%3D&amp;position=22&amp;pageNum=0&amp;trk=public_jobs_jserp-result_search-card", "Job Link")</f>
        <v>Job Link</v>
      </c>
      <c r="H848" t="s">
        <v>476</v>
      </c>
      <c r="I848" t="s">
        <v>483</v>
      </c>
      <c r="J848" t="s">
        <v>486</v>
      </c>
      <c r="K848" t="s">
        <v>516</v>
      </c>
      <c r="L848" t="s">
        <v>594</v>
      </c>
      <c r="M848" t="s">
        <v>588</v>
      </c>
      <c r="N848" t="s">
        <v>601</v>
      </c>
    </row>
    <row r="849" spans="1:14" x14ac:dyDescent="0.25">
      <c r="A849" t="s">
        <v>21</v>
      </c>
      <c r="B849" t="s">
        <v>138</v>
      </c>
      <c r="C849" t="s">
        <v>280</v>
      </c>
      <c r="D849" t="s">
        <v>424</v>
      </c>
      <c r="F849" t="s">
        <v>447</v>
      </c>
      <c r="G849" t="str">
        <f>HYPERLINK("https://ca.linkedin.com/jobs/view/data-entry-jr-analyst-6-month-contract-at-csl-group-ltd-3323214993?refId=lQYkT3Z4WQCjSz%2B3iAxW9A%3D%3D&amp;trackingId=7aV3gkDbsOcOt5loolfAWQ%3D%3D&amp;position=23&amp;pageNum=0&amp;trk=public_jobs_jserp-result_search-card", "Job Link")</f>
        <v>Job Link</v>
      </c>
      <c r="H849" t="s">
        <v>476</v>
      </c>
      <c r="I849" t="s">
        <v>484</v>
      </c>
      <c r="J849" t="s">
        <v>489</v>
      </c>
      <c r="K849" t="s">
        <v>531</v>
      </c>
      <c r="L849" t="s">
        <v>593</v>
      </c>
      <c r="M849" t="s">
        <v>588</v>
      </c>
      <c r="N849" t="s">
        <v>601</v>
      </c>
    </row>
    <row r="850" spans="1:14" x14ac:dyDescent="0.25">
      <c r="A850" t="s">
        <v>14</v>
      </c>
      <c r="B850" t="s">
        <v>132</v>
      </c>
      <c r="C850" t="s">
        <v>273</v>
      </c>
      <c r="D850" t="s">
        <v>424</v>
      </c>
      <c r="F850" t="s">
        <v>443</v>
      </c>
      <c r="G850" t="str">
        <f>HYPERLINK("https://ca.linkedin.com/jobs/view/data-analyst-at-fasken-3365947704?refId=lQYkT3Z4WQCjSz%2B3iAxW9A%3D%3D&amp;trackingId=qNizD%2BuFPUfxFrBulN6UTw%3D%3D&amp;position=24&amp;pageNum=0&amp;trk=public_jobs_jserp-result_search-card", "Job Link")</f>
        <v>Job Link</v>
      </c>
      <c r="H850" t="s">
        <v>476</v>
      </c>
      <c r="I850" t="s">
        <v>481</v>
      </c>
      <c r="J850" t="s">
        <v>486</v>
      </c>
      <c r="K850" t="s">
        <v>526</v>
      </c>
      <c r="L850" t="s">
        <v>590</v>
      </c>
      <c r="M850" t="s">
        <v>618</v>
      </c>
      <c r="N850" t="s">
        <v>601</v>
      </c>
    </row>
    <row r="851" spans="1:14" x14ac:dyDescent="0.25">
      <c r="A851" t="s">
        <v>22</v>
      </c>
      <c r="B851" t="s">
        <v>139</v>
      </c>
      <c r="C851" t="s">
        <v>281</v>
      </c>
      <c r="D851" t="s">
        <v>424</v>
      </c>
      <c r="F851" t="s">
        <v>435</v>
      </c>
      <c r="G851" t="str">
        <f>HYPERLINK("https://ca.linkedin.com/jobs/view/quality-data-analyst-at-lululemon-3341634874?refId=lQYkT3Z4WQCjSz%2B3iAxW9A%3D%3D&amp;trackingId=cB3iaRebqQqikhFBQRm1YA%3D%3D&amp;position=25&amp;pageNum=0&amp;trk=public_jobs_jserp-result_search-card", "Job Link")</f>
        <v>Job Link</v>
      </c>
      <c r="H851" t="s">
        <v>476</v>
      </c>
      <c r="I851" t="s">
        <v>481</v>
      </c>
      <c r="J851" t="s">
        <v>486</v>
      </c>
      <c r="K851" t="s">
        <v>532</v>
      </c>
      <c r="L851" t="s">
        <v>590</v>
      </c>
      <c r="M851" t="s">
        <v>618</v>
      </c>
      <c r="N851" t="s">
        <v>601</v>
      </c>
    </row>
    <row r="852" spans="1:14" x14ac:dyDescent="0.25">
      <c r="A852" t="s">
        <v>14</v>
      </c>
      <c r="B852" t="s">
        <v>118</v>
      </c>
      <c r="C852" t="s">
        <v>258</v>
      </c>
      <c r="D852" t="s">
        <v>424</v>
      </c>
      <c r="F852" t="s">
        <v>430</v>
      </c>
      <c r="G852" t="str">
        <f>HYPERLINK("https://ca.linkedin.com/jobs/view/data-analyst-at-axonify-3324670516?refId=PFSlxchA3hE2lJshHApaag%3D%3D&amp;trackingId=5eKlaP79kVphGe9BpmAwog%3D%3D&amp;position=1&amp;pageNum=0&amp;trk=public_jobs_jserp-result_search-card", "Job Link")</f>
        <v>Job Link</v>
      </c>
      <c r="H852" t="s">
        <v>476</v>
      </c>
      <c r="I852" t="s">
        <v>481</v>
      </c>
      <c r="J852" t="s">
        <v>486</v>
      </c>
      <c r="K852" t="s">
        <v>516</v>
      </c>
      <c r="L852" t="s">
        <v>581</v>
      </c>
      <c r="M852" t="s">
        <v>588</v>
      </c>
      <c r="N852" t="s">
        <v>601</v>
      </c>
    </row>
    <row r="853" spans="1:14" x14ac:dyDescent="0.25">
      <c r="A853" t="s">
        <v>14</v>
      </c>
      <c r="B853" t="s">
        <v>119</v>
      </c>
      <c r="C853" t="s">
        <v>259</v>
      </c>
      <c r="D853" t="s">
        <v>424</v>
      </c>
      <c r="F853" t="s">
        <v>431</v>
      </c>
      <c r="G853" t="str">
        <f>HYPERLINK("https://ca.linkedin.com/jobs/view/data-analyst-at-b3-systems-3361794123?refId=PFSlxchA3hE2lJshHApaag%3D%3D&amp;trackingId=2ZWxJOdaujR%2FDxMCIfOy2A%3D%3D&amp;position=2&amp;pageNum=0&amp;trk=public_jobs_jserp-result_search-card", "Job Link")</f>
        <v>Job Link</v>
      </c>
      <c r="I853" t="s">
        <v>481</v>
      </c>
      <c r="L853" t="s">
        <v>582</v>
      </c>
      <c r="M853" t="s">
        <v>588</v>
      </c>
      <c r="N853" t="s">
        <v>601</v>
      </c>
    </row>
    <row r="854" spans="1:14" x14ac:dyDescent="0.25">
      <c r="A854" t="s">
        <v>14</v>
      </c>
      <c r="B854" t="s">
        <v>120</v>
      </c>
      <c r="C854" t="s">
        <v>260</v>
      </c>
      <c r="D854" t="s">
        <v>424</v>
      </c>
      <c r="F854" t="s">
        <v>431</v>
      </c>
      <c r="G854" t="str">
        <f>HYPERLINK("https://ca.linkedin.com/jobs/view/data-analyst-at-wood-mackenzie-3271782079?refId=PFSlxchA3hE2lJshHApaag%3D%3D&amp;trackingId=yk1ZWEgy3WnG4TiF03865A%3D%3D&amp;position=3&amp;pageNum=0&amp;trk=public_jobs_jserp-result_search-card", "Job Link")</f>
        <v>Job Link</v>
      </c>
      <c r="H854" t="s">
        <v>477</v>
      </c>
      <c r="I854" t="s">
        <v>481</v>
      </c>
      <c r="J854" t="s">
        <v>487</v>
      </c>
      <c r="K854" t="s">
        <v>517</v>
      </c>
      <c r="L854" t="s">
        <v>583</v>
      </c>
      <c r="M854" t="s">
        <v>610</v>
      </c>
      <c r="N854" t="s">
        <v>601</v>
      </c>
    </row>
    <row r="855" spans="1:14" x14ac:dyDescent="0.25">
      <c r="A855" t="s">
        <v>14</v>
      </c>
      <c r="B855" t="s">
        <v>121</v>
      </c>
      <c r="C855" t="s">
        <v>261</v>
      </c>
      <c r="D855" t="s">
        <v>424</v>
      </c>
      <c r="F855" t="s">
        <v>432</v>
      </c>
      <c r="G855" t="str">
        <f>HYPERLINK("https://ca.linkedin.com/jobs/view/data-analyst-at-loft-community-services-3364383026?refId=PFSlxchA3hE2lJshHApaag%3D%3D&amp;trackingId=9oX%2F49T%2Bn9ELCbUW010jog%3D%3D&amp;position=4&amp;pageNum=0&amp;trk=public_jobs_jserp-result_search-card", "Job Link")</f>
        <v>Job Link</v>
      </c>
      <c r="I855" t="s">
        <v>482</v>
      </c>
      <c r="L855" t="s">
        <v>582</v>
      </c>
      <c r="M855" t="s">
        <v>588</v>
      </c>
      <c r="N855" t="s">
        <v>601</v>
      </c>
    </row>
    <row r="856" spans="1:14" x14ac:dyDescent="0.25">
      <c r="A856" t="s">
        <v>14</v>
      </c>
      <c r="B856" t="s">
        <v>122</v>
      </c>
      <c r="C856" t="s">
        <v>262</v>
      </c>
      <c r="D856" t="s">
        <v>424</v>
      </c>
      <c r="F856" t="s">
        <v>433</v>
      </c>
      <c r="G856" t="str">
        <f>HYPERLINK("https://ca.linkedin.com/jobs/view/data-analyst-at-nam-info-inc-3351590976?refId=PFSlxchA3hE2lJshHApaag%3D%3D&amp;trackingId=FCDTcR52ubE1%2FE0Z7DCLhQ%3D%3D&amp;position=5&amp;pageNum=0&amp;trk=public_jobs_jserp-result_search-card", "Job Link")</f>
        <v>Job Link</v>
      </c>
      <c r="H856" t="s">
        <v>478</v>
      </c>
      <c r="I856" t="s">
        <v>483</v>
      </c>
      <c r="J856" t="s">
        <v>486</v>
      </c>
      <c r="K856" t="s">
        <v>518</v>
      </c>
      <c r="L856" t="s">
        <v>582</v>
      </c>
      <c r="M856" t="s">
        <v>588</v>
      </c>
      <c r="N856" t="s">
        <v>601</v>
      </c>
    </row>
    <row r="857" spans="1:14" x14ac:dyDescent="0.25">
      <c r="A857" t="s">
        <v>14</v>
      </c>
      <c r="B857" t="s">
        <v>123</v>
      </c>
      <c r="C857" t="s">
        <v>263</v>
      </c>
      <c r="D857" t="s">
        <v>424</v>
      </c>
      <c r="F857" t="s">
        <v>434</v>
      </c>
      <c r="G857" t="str">
        <f>HYPERLINK("https://ca.linkedin.com/jobs/view/data-analyst-at-citi-3263096865?refId=PFSlxchA3hE2lJshHApaag%3D%3D&amp;trackingId=YdpNWgRBtNxPyRwlSFgg8A%3D%3D&amp;position=6&amp;pageNum=0&amp;trk=public_jobs_jserp-result_search-card", "Job Link")</f>
        <v>Job Link</v>
      </c>
      <c r="H857" t="s">
        <v>479</v>
      </c>
      <c r="I857" t="s">
        <v>481</v>
      </c>
      <c r="J857" t="s">
        <v>486</v>
      </c>
      <c r="K857" t="s">
        <v>519</v>
      </c>
      <c r="L857" t="s">
        <v>584</v>
      </c>
      <c r="M857" t="s">
        <v>588</v>
      </c>
      <c r="N857" t="s">
        <v>601</v>
      </c>
    </row>
    <row r="858" spans="1:14" x14ac:dyDescent="0.25">
      <c r="A858" t="s">
        <v>19</v>
      </c>
      <c r="B858" t="s">
        <v>136</v>
      </c>
      <c r="C858" t="s">
        <v>278</v>
      </c>
      <c r="D858" t="s">
        <v>424</v>
      </c>
      <c r="F858" t="s">
        <v>445</v>
      </c>
      <c r="G858" t="str">
        <f>HYPERLINK("https://ca.linkedin.com/jobs/view/data-analyst-operations-at-sonder-inc-3229442908?refId=PFSlxchA3hE2lJshHApaag%3D%3D&amp;trackingId=FmWGamo0ZB8OcI5AG79dKA%3D%3D&amp;position=7&amp;pageNum=0&amp;trk=public_jobs_jserp-result_search-card", "Job Link")</f>
        <v>Job Link</v>
      </c>
      <c r="H858" t="s">
        <v>476</v>
      </c>
      <c r="I858" t="s">
        <v>481</v>
      </c>
      <c r="J858" t="s">
        <v>486</v>
      </c>
      <c r="K858" t="s">
        <v>529</v>
      </c>
      <c r="L858" t="s">
        <v>582</v>
      </c>
      <c r="M858" t="s">
        <v>588</v>
      </c>
      <c r="N858" t="s">
        <v>601</v>
      </c>
    </row>
    <row r="859" spans="1:14" x14ac:dyDescent="0.25">
      <c r="A859" t="s">
        <v>14</v>
      </c>
      <c r="B859" t="s">
        <v>124</v>
      </c>
      <c r="C859" t="s">
        <v>264</v>
      </c>
      <c r="D859" t="s">
        <v>424</v>
      </c>
      <c r="F859" t="s">
        <v>435</v>
      </c>
      <c r="G859" t="str">
        <f>HYPERLINK("https://ca.linkedin.com/jobs/view/data-analyst-at-king-s-college-london-3335332409?refId=PFSlxchA3hE2lJshHApaag%3D%3D&amp;trackingId=V7MdDIjNpa33RDayE7vt8Q%3D%3D&amp;position=8&amp;pageNum=0&amp;trk=public_jobs_jserp-result_search-card", "Job Link")</f>
        <v>Job Link</v>
      </c>
      <c r="H859" t="s">
        <v>476</v>
      </c>
      <c r="I859" t="s">
        <v>481</v>
      </c>
      <c r="J859" t="s">
        <v>486</v>
      </c>
      <c r="K859" t="s">
        <v>520</v>
      </c>
      <c r="L859" t="s">
        <v>585</v>
      </c>
      <c r="M859" t="s">
        <v>588</v>
      </c>
      <c r="N859" t="s">
        <v>601</v>
      </c>
    </row>
    <row r="860" spans="1:14" x14ac:dyDescent="0.25">
      <c r="A860" t="s">
        <v>15</v>
      </c>
      <c r="B860" t="s">
        <v>125</v>
      </c>
      <c r="C860" t="s">
        <v>265</v>
      </c>
      <c r="D860" t="s">
        <v>424</v>
      </c>
      <c r="F860" t="s">
        <v>431</v>
      </c>
      <c r="G860" t="str">
        <f>HYPERLINK("https://ca.linkedin.com/jobs/view/data-analyst-remote-at-cognizant-microsoft-business-group-3333618510?refId=PFSlxchA3hE2lJshHApaag%3D%3D&amp;trackingId=6%2FV2YkHw8Wd7uAhGiESxeQ%3D%3D&amp;position=9&amp;pageNum=0&amp;trk=public_jobs_jserp-result_search-card", "Job Link")</f>
        <v>Job Link</v>
      </c>
      <c r="H860" t="s">
        <v>476</v>
      </c>
      <c r="I860" t="s">
        <v>481</v>
      </c>
      <c r="J860" t="s">
        <v>486</v>
      </c>
      <c r="K860" t="s">
        <v>521</v>
      </c>
      <c r="L860" t="s">
        <v>582</v>
      </c>
      <c r="M860" t="s">
        <v>588</v>
      </c>
      <c r="N860" t="s">
        <v>601</v>
      </c>
    </row>
    <row r="861" spans="1:14" x14ac:dyDescent="0.25">
      <c r="A861" t="s">
        <v>16</v>
      </c>
      <c r="B861" t="s">
        <v>126</v>
      </c>
      <c r="C861" t="s">
        <v>266</v>
      </c>
      <c r="D861" t="s">
        <v>424</v>
      </c>
      <c r="F861" t="s">
        <v>436</v>
      </c>
      <c r="G861" t="str">
        <f>HYPERLINK("https://ca.linkedin.com/jobs/view/data-analyst-loans-at-tata-consultancy-services-3344804680?refId=PFSlxchA3hE2lJshHApaag%3D%3D&amp;trackingId=Ki3Nuok1jGyaC9rTw4B%2BTQ%3D%3D&amp;position=10&amp;pageNum=0&amp;trk=public_jobs_jserp-result_search-card", "Job Link")</f>
        <v>Job Link</v>
      </c>
      <c r="H861" t="s">
        <v>477</v>
      </c>
      <c r="I861" t="s">
        <v>481</v>
      </c>
      <c r="J861" t="s">
        <v>486</v>
      </c>
      <c r="K861" t="s">
        <v>517</v>
      </c>
      <c r="L861" t="s">
        <v>584</v>
      </c>
      <c r="M861" t="s">
        <v>588</v>
      </c>
      <c r="N861" t="s">
        <v>601</v>
      </c>
    </row>
    <row r="862" spans="1:14" x14ac:dyDescent="0.25">
      <c r="A862" t="s">
        <v>14</v>
      </c>
      <c r="B862" t="s">
        <v>127</v>
      </c>
      <c r="C862" t="s">
        <v>267</v>
      </c>
      <c r="D862" t="s">
        <v>424</v>
      </c>
      <c r="F862" t="s">
        <v>437</v>
      </c>
      <c r="G862" t="str">
        <f>HYPERLINK("https://ca.linkedin.com/jobs/view/data-analyst-at-vubiquity-3365112221?refId=PFSlxchA3hE2lJshHApaag%3D%3D&amp;trackingId=Vts8ZgDOLIbYsf4hiD4uCQ%3D%3D&amp;position=11&amp;pageNum=0&amp;trk=public_jobs_jserp-result_search-card", "Job Link")</f>
        <v>Job Link</v>
      </c>
      <c r="H862" t="s">
        <v>476</v>
      </c>
      <c r="I862" t="s">
        <v>481</v>
      </c>
      <c r="J862" t="s">
        <v>486</v>
      </c>
      <c r="K862" t="s">
        <v>522</v>
      </c>
      <c r="L862" t="s">
        <v>582</v>
      </c>
      <c r="M862" t="s">
        <v>588</v>
      </c>
      <c r="N862" t="s">
        <v>601</v>
      </c>
    </row>
    <row r="863" spans="1:14" x14ac:dyDescent="0.25">
      <c r="A863" t="s">
        <v>14</v>
      </c>
      <c r="B863" t="s">
        <v>129</v>
      </c>
      <c r="C863" t="s">
        <v>270</v>
      </c>
      <c r="D863" t="s">
        <v>424</v>
      </c>
      <c r="F863" t="s">
        <v>440</v>
      </c>
      <c r="G863" t="str">
        <f>HYPERLINK("https://ca.linkedin.com/jobs/view/data-analyst-at-agricorp-3364433441?refId=PFSlxchA3hE2lJshHApaag%3D%3D&amp;trackingId=cQ0ZBMgAcyafeRbsXyxeLw%3D%3D&amp;position=12&amp;pageNum=0&amp;trk=public_jobs_jserp-result_search-card", "Job Link")</f>
        <v>Job Link</v>
      </c>
      <c r="H863" t="s">
        <v>476</v>
      </c>
      <c r="I863" t="s">
        <v>481</v>
      </c>
      <c r="J863" t="s">
        <v>486</v>
      </c>
      <c r="K863" t="s">
        <v>523</v>
      </c>
      <c r="L863" t="s">
        <v>587</v>
      </c>
      <c r="M863" t="s">
        <v>588</v>
      </c>
      <c r="N863" t="s">
        <v>601</v>
      </c>
    </row>
    <row r="864" spans="1:14" x14ac:dyDescent="0.25">
      <c r="A864" t="s">
        <v>17</v>
      </c>
      <c r="B864" t="s">
        <v>123</v>
      </c>
      <c r="C864" t="s">
        <v>268</v>
      </c>
      <c r="D864" t="s">
        <v>424</v>
      </c>
      <c r="F864" t="s">
        <v>438</v>
      </c>
      <c r="G864" t="str">
        <f>HYPERLINK("https://ca.linkedin.com/jobs/view/data-analyst-developer-at-citi-3322089923?refId=PFSlxchA3hE2lJshHApaag%3D%3D&amp;trackingId=fFVpMoigbFAcAZ%2F3NwI7pQ%3D%3D&amp;position=13&amp;pageNum=0&amp;trk=public_jobs_jserp-result_search-card", "Job Link")</f>
        <v>Job Link</v>
      </c>
      <c r="H864" t="s">
        <v>479</v>
      </c>
      <c r="I864" t="s">
        <v>481</v>
      </c>
      <c r="J864" t="s">
        <v>486</v>
      </c>
      <c r="K864" t="s">
        <v>519</v>
      </c>
      <c r="L864" t="s">
        <v>584</v>
      </c>
      <c r="M864" t="s">
        <v>588</v>
      </c>
      <c r="N864" t="s">
        <v>601</v>
      </c>
    </row>
    <row r="865" spans="1:14" x14ac:dyDescent="0.25">
      <c r="A865" t="s">
        <v>14</v>
      </c>
      <c r="B865" t="s">
        <v>128</v>
      </c>
      <c r="C865" t="s">
        <v>269</v>
      </c>
      <c r="D865" t="s">
        <v>424</v>
      </c>
      <c r="F865" t="s">
        <v>439</v>
      </c>
      <c r="G865" t="str">
        <f>HYPERLINK("https://ca.linkedin.com/jobs/view/data-analyst-at-diverse-lynx-3363377240?refId=PFSlxchA3hE2lJshHApaag%3D%3D&amp;trackingId=Dkhn3QyR%2FvAGFMhoi5jVRg%3D%3D&amp;position=14&amp;pageNum=0&amp;trk=public_jobs_jserp-result_search-card", "Job Link")</f>
        <v>Job Link</v>
      </c>
      <c r="H865" t="s">
        <v>476</v>
      </c>
      <c r="I865" t="s">
        <v>481</v>
      </c>
      <c r="J865" t="s">
        <v>486</v>
      </c>
      <c r="K865" t="s">
        <v>516</v>
      </c>
      <c r="L865" t="s">
        <v>586</v>
      </c>
      <c r="M865" t="s">
        <v>617</v>
      </c>
      <c r="N865" t="s">
        <v>601</v>
      </c>
    </row>
    <row r="866" spans="1:14" x14ac:dyDescent="0.25">
      <c r="A866" t="s">
        <v>14</v>
      </c>
      <c r="B866" t="s">
        <v>128</v>
      </c>
      <c r="C866" t="s">
        <v>277</v>
      </c>
      <c r="D866" t="s">
        <v>424</v>
      </c>
      <c r="F866" t="s">
        <v>439</v>
      </c>
      <c r="G866" t="str">
        <f>HYPERLINK("https://ca.linkedin.com/jobs/view/data-analyst-at-diverse-lynx-3363374746?refId=PFSlxchA3hE2lJshHApaag%3D%3D&amp;trackingId=ROG4vV123xh5V1BWSUw%2FJA%3D%3D&amp;position=15&amp;pageNum=0&amp;trk=public_jobs_jserp-result_search-card", "Job Link")</f>
        <v>Job Link</v>
      </c>
      <c r="H866" t="s">
        <v>476</v>
      </c>
      <c r="I866" t="s">
        <v>481</v>
      </c>
      <c r="J866" t="s">
        <v>486</v>
      </c>
      <c r="K866" t="s">
        <v>516</v>
      </c>
      <c r="L866" t="s">
        <v>586</v>
      </c>
      <c r="M866" t="s">
        <v>617</v>
      </c>
      <c r="N866" t="s">
        <v>601</v>
      </c>
    </row>
    <row r="867" spans="1:14" x14ac:dyDescent="0.25">
      <c r="A867" t="s">
        <v>18</v>
      </c>
      <c r="B867" t="s">
        <v>130</v>
      </c>
      <c r="C867" t="s">
        <v>271</v>
      </c>
      <c r="D867" t="s">
        <v>424</v>
      </c>
      <c r="F867" t="s">
        <v>441</v>
      </c>
      <c r="G867" t="str">
        <f>HYPERLINK("https://ca.linkedin.com/jobs/view/junior-data-analyst-mississauga-on-at-arjo-3323264354?refId=PFSlxchA3hE2lJshHApaag%3D%3D&amp;trackingId=lrvUu9pstD3rsGjBUdN1tA%3D%3D&amp;position=16&amp;pageNum=0&amp;trk=public_jobs_jserp-result_search-card", "Job Link")</f>
        <v>Job Link</v>
      </c>
      <c r="H867" t="s">
        <v>479</v>
      </c>
      <c r="I867" t="s">
        <v>481</v>
      </c>
      <c r="J867" t="s">
        <v>486</v>
      </c>
      <c r="K867" t="s">
        <v>524</v>
      </c>
      <c r="L867" t="s">
        <v>588</v>
      </c>
      <c r="M867" t="s">
        <v>601</v>
      </c>
    </row>
    <row r="868" spans="1:14" x14ac:dyDescent="0.25">
      <c r="A868" t="s">
        <v>14</v>
      </c>
      <c r="B868" t="s">
        <v>131</v>
      </c>
      <c r="C868" t="s">
        <v>272</v>
      </c>
      <c r="D868" t="s">
        <v>424</v>
      </c>
      <c r="F868" t="s">
        <v>442</v>
      </c>
      <c r="G868" t="str">
        <f>HYPERLINK("https://ca.linkedin.com/jobs/view/data-analyst-at-westland-insurance-group-ltd-3345807760?refId=PFSlxchA3hE2lJshHApaag%3D%3D&amp;trackingId=dtg5uxaXRemjn0oSGgI%2FeQ%3D%3D&amp;position=17&amp;pageNum=0&amp;trk=public_jobs_jserp-result_search-card", "Job Link")</f>
        <v>Job Link</v>
      </c>
      <c r="H868" t="s">
        <v>476</v>
      </c>
      <c r="I868" t="s">
        <v>481</v>
      </c>
      <c r="J868" t="s">
        <v>486</v>
      </c>
      <c r="K868" t="s">
        <v>525</v>
      </c>
      <c r="L868" t="s">
        <v>589</v>
      </c>
      <c r="M868" t="s">
        <v>618</v>
      </c>
      <c r="N868" t="s">
        <v>601</v>
      </c>
    </row>
    <row r="869" spans="1:14" x14ac:dyDescent="0.25">
      <c r="A869" t="s">
        <v>14</v>
      </c>
      <c r="B869" t="s">
        <v>132</v>
      </c>
      <c r="C869" t="s">
        <v>273</v>
      </c>
      <c r="D869" t="s">
        <v>424</v>
      </c>
      <c r="F869" t="s">
        <v>443</v>
      </c>
      <c r="G869" t="str">
        <f>HYPERLINK("https://ca.linkedin.com/jobs/view/data-analyst-at-fasken-3365947704?refId=PFSlxchA3hE2lJshHApaag%3D%3D&amp;trackingId=KZyfaENZ85lK4%2F%2B1fnWiaQ%3D%3D&amp;position=18&amp;pageNum=0&amp;trk=public_jobs_jserp-result_search-card", "Job Link")</f>
        <v>Job Link</v>
      </c>
      <c r="H869" t="s">
        <v>476</v>
      </c>
      <c r="I869" t="s">
        <v>481</v>
      </c>
      <c r="J869" t="s">
        <v>486</v>
      </c>
      <c r="K869" t="s">
        <v>526</v>
      </c>
      <c r="L869" t="s">
        <v>590</v>
      </c>
      <c r="M869" t="s">
        <v>618</v>
      </c>
      <c r="N869" t="s">
        <v>601</v>
      </c>
    </row>
    <row r="870" spans="1:14" x14ac:dyDescent="0.25">
      <c r="A870" t="s">
        <v>14</v>
      </c>
      <c r="B870" t="s">
        <v>133</v>
      </c>
      <c r="C870" t="s">
        <v>274</v>
      </c>
      <c r="D870" t="s">
        <v>424</v>
      </c>
      <c r="F870" t="s">
        <v>434</v>
      </c>
      <c r="G870" t="str">
        <f>HYPERLINK("https://ca.linkedin.com/jobs/view/data-analyst-at-momentum-financial-services-group-3355811523?refId=PFSlxchA3hE2lJshHApaag%3D%3D&amp;trackingId=evmz3t%2Bp%2FIHXBERCvCdY5w%3D%3D&amp;position=19&amp;pageNum=0&amp;trk=public_jobs_jserp-result_search-card", "Job Link")</f>
        <v>Job Link</v>
      </c>
      <c r="H870" t="s">
        <v>476</v>
      </c>
      <c r="I870" t="s">
        <v>481</v>
      </c>
      <c r="J870" t="s">
        <v>486</v>
      </c>
      <c r="K870" t="s">
        <v>527</v>
      </c>
      <c r="L870" t="s">
        <v>582</v>
      </c>
      <c r="M870" t="s">
        <v>588</v>
      </c>
      <c r="N870" t="s">
        <v>601</v>
      </c>
    </row>
    <row r="871" spans="1:14" x14ac:dyDescent="0.25">
      <c r="A871" t="s">
        <v>14</v>
      </c>
      <c r="B871" t="s">
        <v>134</v>
      </c>
      <c r="C871" t="s">
        <v>275</v>
      </c>
      <c r="D871" t="s">
        <v>424</v>
      </c>
      <c r="F871" t="s">
        <v>444</v>
      </c>
      <c r="G871" t="str">
        <f>HYPERLINK("https://ca.linkedin.com/jobs/view/data-analyst-at-tes-the-employment-solution-3322589522?refId=PFSlxchA3hE2lJshHApaag%3D%3D&amp;trackingId=wzUQ%2BIe6mtk1Ile3iAqlpQ%3D%3D&amp;position=20&amp;pageNum=0&amp;trk=public_jobs_jserp-result_search-card", "Job Link")</f>
        <v>Job Link</v>
      </c>
      <c r="H871" t="s">
        <v>476</v>
      </c>
      <c r="I871" t="s">
        <v>483</v>
      </c>
      <c r="J871" t="s">
        <v>486</v>
      </c>
      <c r="K871" t="s">
        <v>525</v>
      </c>
      <c r="L871" t="s">
        <v>591</v>
      </c>
      <c r="M871" t="s">
        <v>588</v>
      </c>
      <c r="N871" t="s">
        <v>601</v>
      </c>
    </row>
    <row r="872" spans="1:14" x14ac:dyDescent="0.25">
      <c r="A872" t="s">
        <v>14</v>
      </c>
      <c r="B872" t="s">
        <v>135</v>
      </c>
      <c r="C872" t="s">
        <v>276</v>
      </c>
      <c r="D872" t="s">
        <v>424</v>
      </c>
      <c r="F872" t="s">
        <v>440</v>
      </c>
      <c r="G872" t="str">
        <f>HYPERLINK("https://ca.linkedin.com/jobs/view/data-analyst-at-magna-international-3370822450?refId=PFSlxchA3hE2lJshHApaag%3D%3D&amp;trackingId=1zmqS5Z%2FQXqZzjx4tRos0g%3D%3D&amp;position=21&amp;pageNum=0&amp;trk=public_jobs_jserp-result_search-card", "Job Link")</f>
        <v>Job Link</v>
      </c>
      <c r="H872" t="s">
        <v>476</v>
      </c>
      <c r="I872" t="s">
        <v>481</v>
      </c>
      <c r="J872" t="s">
        <v>488</v>
      </c>
      <c r="K872" t="s">
        <v>528</v>
      </c>
      <c r="L872" t="s">
        <v>592</v>
      </c>
      <c r="M872" t="s">
        <v>588</v>
      </c>
      <c r="N872" t="s">
        <v>601</v>
      </c>
    </row>
    <row r="873" spans="1:14" x14ac:dyDescent="0.25">
      <c r="A873" t="s">
        <v>20</v>
      </c>
      <c r="B873" t="s">
        <v>137</v>
      </c>
      <c r="C873" t="s">
        <v>279</v>
      </c>
      <c r="D873" t="s">
        <v>424</v>
      </c>
      <c r="F873" t="s">
        <v>446</v>
      </c>
      <c r="G873" t="str">
        <f>HYPERLINK("https://ca.linkedin.com/jobs/view/senior-data-analyst-at-mueller-water-products-3122544636?refId=PFSlxchA3hE2lJshHApaag%3D%3D&amp;trackingId=%2FN6%2FNeajdhjFLseZgh55bA%3D%3D&amp;position=22&amp;pageNum=0&amp;trk=public_jobs_jserp-result_search-card", "Job Link")</f>
        <v>Job Link</v>
      </c>
      <c r="H873" t="s">
        <v>478</v>
      </c>
      <c r="I873" t="s">
        <v>481</v>
      </c>
      <c r="J873" t="s">
        <v>486</v>
      </c>
      <c r="K873" t="s">
        <v>530</v>
      </c>
      <c r="L873" t="s">
        <v>582</v>
      </c>
      <c r="M873" t="s">
        <v>588</v>
      </c>
      <c r="N873" t="s">
        <v>601</v>
      </c>
    </row>
    <row r="874" spans="1:14" x14ac:dyDescent="0.25">
      <c r="A874" t="s">
        <v>14</v>
      </c>
      <c r="B874" t="s">
        <v>140</v>
      </c>
      <c r="C874" t="s">
        <v>282</v>
      </c>
      <c r="D874" t="s">
        <v>424</v>
      </c>
      <c r="F874" t="s">
        <v>440</v>
      </c>
      <c r="G874" t="str">
        <f>HYPERLINK("https://ca.linkedin.com/jobs/view/data-analyst-at-scotiabank-3365406993?refId=PFSlxchA3hE2lJshHApaag%3D%3D&amp;trackingId=5rZNcLFqUS7fsVJNX2uN4w%3D%3D&amp;position=23&amp;pageNum=0&amp;trk=public_jobs_jserp-result_search-card", "Job Link")</f>
        <v>Job Link</v>
      </c>
      <c r="H874" t="s">
        <v>479</v>
      </c>
      <c r="I874" t="s">
        <v>481</v>
      </c>
      <c r="J874" t="s">
        <v>486</v>
      </c>
      <c r="K874" t="s">
        <v>533</v>
      </c>
      <c r="L874" t="s">
        <v>582</v>
      </c>
      <c r="M874" t="s">
        <v>588</v>
      </c>
      <c r="N874" t="s">
        <v>601</v>
      </c>
    </row>
    <row r="875" spans="1:14" x14ac:dyDescent="0.25">
      <c r="A875" t="s">
        <v>21</v>
      </c>
      <c r="B875" t="s">
        <v>138</v>
      </c>
      <c r="C875" t="s">
        <v>280</v>
      </c>
      <c r="D875" t="s">
        <v>424</v>
      </c>
      <c r="F875" t="s">
        <v>447</v>
      </c>
      <c r="G875" t="str">
        <f>HYPERLINK("https://ca.linkedin.com/jobs/view/data-entry-jr-analyst-6-month-contract-at-csl-group-ltd-3323214993?refId=PFSlxchA3hE2lJshHApaag%3D%3D&amp;trackingId=vfyaPAtbHthGtbjRXLj%2Bjw%3D%3D&amp;position=24&amp;pageNum=0&amp;trk=public_jobs_jserp-result_search-card", "Job Link")</f>
        <v>Job Link</v>
      </c>
      <c r="H875" t="s">
        <v>476</v>
      </c>
      <c r="I875" t="s">
        <v>484</v>
      </c>
      <c r="J875" t="s">
        <v>489</v>
      </c>
      <c r="K875" t="s">
        <v>531</v>
      </c>
      <c r="L875" t="s">
        <v>593</v>
      </c>
      <c r="M875" t="s">
        <v>588</v>
      </c>
      <c r="N875" t="s">
        <v>601</v>
      </c>
    </row>
    <row r="876" spans="1:14" x14ac:dyDescent="0.25">
      <c r="A876" t="s">
        <v>22</v>
      </c>
      <c r="B876" t="s">
        <v>139</v>
      </c>
      <c r="C876" t="s">
        <v>281</v>
      </c>
      <c r="D876" t="s">
        <v>424</v>
      </c>
      <c r="F876" t="s">
        <v>435</v>
      </c>
      <c r="G876" t="str">
        <f>HYPERLINK("https://ca.linkedin.com/jobs/view/quality-data-analyst-at-lululemon-3341634874?refId=PFSlxchA3hE2lJshHApaag%3D%3D&amp;trackingId=uw7nw2mv6dSB9bKXBsfwnw%3D%3D&amp;position=25&amp;pageNum=0&amp;trk=public_jobs_jserp-result_search-card", "Job Link")</f>
        <v>Job Link</v>
      </c>
      <c r="H876" t="s">
        <v>476</v>
      </c>
      <c r="I876" t="s">
        <v>481</v>
      </c>
      <c r="J876" t="s">
        <v>486</v>
      </c>
      <c r="K876" t="s">
        <v>532</v>
      </c>
      <c r="L876" t="s">
        <v>590</v>
      </c>
      <c r="M876" t="s">
        <v>618</v>
      </c>
      <c r="N876" t="s">
        <v>601</v>
      </c>
    </row>
    <row r="877" spans="1:14" x14ac:dyDescent="0.25">
      <c r="A877" t="s">
        <v>14</v>
      </c>
      <c r="B877" t="s">
        <v>118</v>
      </c>
      <c r="C877" t="s">
        <v>258</v>
      </c>
      <c r="D877" t="s">
        <v>424</v>
      </c>
      <c r="F877" t="s">
        <v>430</v>
      </c>
      <c r="G877" t="str">
        <f>HYPERLINK("https://ca.linkedin.com/jobs/view/data-analyst-at-axonify-3324670516?refId=9Za838QzbixSUmq8uh2ZMQ%3D%3D&amp;trackingId=9wyg88kAchUWEkdnG3RMag%3D%3D&amp;position=1&amp;pageNum=0&amp;trk=public_jobs_jserp-result_search-card", "Job Link")</f>
        <v>Job Link</v>
      </c>
      <c r="H877" t="s">
        <v>476</v>
      </c>
      <c r="I877" t="s">
        <v>481</v>
      </c>
      <c r="J877" t="s">
        <v>486</v>
      </c>
      <c r="K877" t="s">
        <v>516</v>
      </c>
      <c r="L877" t="s">
        <v>581</v>
      </c>
      <c r="M877" t="s">
        <v>588</v>
      </c>
      <c r="N877" t="s">
        <v>601</v>
      </c>
    </row>
    <row r="878" spans="1:14" x14ac:dyDescent="0.25">
      <c r="A878" t="s">
        <v>14</v>
      </c>
      <c r="B878" t="s">
        <v>119</v>
      </c>
      <c r="C878" t="s">
        <v>259</v>
      </c>
      <c r="D878" t="s">
        <v>424</v>
      </c>
      <c r="F878" t="s">
        <v>431</v>
      </c>
      <c r="G878" t="str">
        <f>HYPERLINK("https://ca.linkedin.com/jobs/view/data-analyst-at-b3-systems-3361794123?refId=9Za838QzbixSUmq8uh2ZMQ%3D%3D&amp;trackingId=N8BX6k9N0bYzI1fUPM8YwA%3D%3D&amp;position=2&amp;pageNum=0&amp;trk=public_jobs_jserp-result_search-card", "Job Link")</f>
        <v>Job Link</v>
      </c>
      <c r="I878" t="s">
        <v>481</v>
      </c>
      <c r="L878" t="s">
        <v>582</v>
      </c>
      <c r="M878" t="s">
        <v>588</v>
      </c>
      <c r="N878" t="s">
        <v>601</v>
      </c>
    </row>
    <row r="879" spans="1:14" x14ac:dyDescent="0.25">
      <c r="A879" t="s">
        <v>14</v>
      </c>
      <c r="B879" t="s">
        <v>120</v>
      </c>
      <c r="C879" t="s">
        <v>284</v>
      </c>
      <c r="D879" t="s">
        <v>424</v>
      </c>
      <c r="F879" t="s">
        <v>431</v>
      </c>
      <c r="G879" t="str">
        <f>HYPERLINK("https://ca.linkedin.com/jobs/view/data-analyst-at-wood-mackenzie-3271782079?refId=9Za838QzbixSUmq8uh2ZMQ%3D%3D&amp;trackingId=lTpdaewACWVhs8%2FE0WQDmQ%3D%3D&amp;position=3&amp;pageNum=0&amp;trk=public_jobs_jserp-result_search-card", "Job Link")</f>
        <v>Job Link</v>
      </c>
      <c r="L879" t="s">
        <v>583</v>
      </c>
      <c r="M879" t="s">
        <v>610</v>
      </c>
      <c r="N879" t="s">
        <v>601</v>
      </c>
    </row>
    <row r="880" spans="1:14" x14ac:dyDescent="0.25">
      <c r="A880" t="s">
        <v>14</v>
      </c>
      <c r="B880" t="s">
        <v>121</v>
      </c>
      <c r="C880" t="s">
        <v>261</v>
      </c>
      <c r="D880" t="s">
        <v>424</v>
      </c>
      <c r="F880" t="s">
        <v>432</v>
      </c>
      <c r="G880" t="str">
        <f>HYPERLINK("https://ca.linkedin.com/jobs/view/data-analyst-at-loft-community-services-3364383026?refId=9Za838QzbixSUmq8uh2ZMQ%3D%3D&amp;trackingId=7HIwfeNUUrXYSD4RFaBRJA%3D%3D&amp;position=4&amp;pageNum=0&amp;trk=public_jobs_jserp-result_search-card", "Job Link")</f>
        <v>Job Link</v>
      </c>
      <c r="I880" t="s">
        <v>482</v>
      </c>
      <c r="L880" t="s">
        <v>582</v>
      </c>
      <c r="M880" t="s">
        <v>588</v>
      </c>
      <c r="N880" t="s">
        <v>601</v>
      </c>
    </row>
    <row r="881" spans="1:14" x14ac:dyDescent="0.25">
      <c r="A881" t="s">
        <v>14</v>
      </c>
      <c r="B881" t="s">
        <v>122</v>
      </c>
      <c r="C881" t="s">
        <v>262</v>
      </c>
      <c r="D881" t="s">
        <v>424</v>
      </c>
      <c r="F881" t="s">
        <v>433</v>
      </c>
      <c r="G881" t="str">
        <f>HYPERLINK("https://ca.linkedin.com/jobs/view/data-analyst-at-nam-info-inc-3351590976?refId=9Za838QzbixSUmq8uh2ZMQ%3D%3D&amp;trackingId=f0czhqBEoj7gASHdEK7M8Q%3D%3D&amp;position=5&amp;pageNum=0&amp;trk=public_jobs_jserp-result_search-card", "Job Link")</f>
        <v>Job Link</v>
      </c>
      <c r="H881" t="s">
        <v>478</v>
      </c>
      <c r="I881" t="s">
        <v>483</v>
      </c>
      <c r="J881" t="s">
        <v>486</v>
      </c>
      <c r="K881" t="s">
        <v>518</v>
      </c>
      <c r="L881" t="s">
        <v>582</v>
      </c>
      <c r="M881" t="s">
        <v>588</v>
      </c>
      <c r="N881" t="s">
        <v>601</v>
      </c>
    </row>
    <row r="882" spans="1:14" x14ac:dyDescent="0.25">
      <c r="A882" t="s">
        <v>14</v>
      </c>
      <c r="B882" t="s">
        <v>123</v>
      </c>
      <c r="C882" t="s">
        <v>263</v>
      </c>
      <c r="D882" t="s">
        <v>424</v>
      </c>
      <c r="F882" t="s">
        <v>434</v>
      </c>
      <c r="G882" t="str">
        <f>HYPERLINK("https://ca.linkedin.com/jobs/view/data-analyst-at-citi-3263096865?refId=9Za838QzbixSUmq8uh2ZMQ%3D%3D&amp;trackingId=YMFSKAp44VDV7C4P3ALYBg%3D%3D&amp;position=6&amp;pageNum=0&amp;trk=public_jobs_jserp-result_search-card", "Job Link")</f>
        <v>Job Link</v>
      </c>
      <c r="H882" t="s">
        <v>479</v>
      </c>
      <c r="I882" t="s">
        <v>481</v>
      </c>
      <c r="J882" t="s">
        <v>486</v>
      </c>
      <c r="K882" t="s">
        <v>519</v>
      </c>
      <c r="L882" t="s">
        <v>584</v>
      </c>
      <c r="M882" t="s">
        <v>588</v>
      </c>
      <c r="N882" t="s">
        <v>601</v>
      </c>
    </row>
    <row r="883" spans="1:14" x14ac:dyDescent="0.25">
      <c r="A883" t="s">
        <v>19</v>
      </c>
      <c r="B883" t="s">
        <v>136</v>
      </c>
      <c r="C883" t="s">
        <v>278</v>
      </c>
      <c r="D883" t="s">
        <v>424</v>
      </c>
      <c r="F883" t="s">
        <v>445</v>
      </c>
      <c r="G883" t="str">
        <f>HYPERLINK("https://ca.linkedin.com/jobs/view/data-analyst-operations-at-sonder-inc-3229442908?refId=9Za838QzbixSUmq8uh2ZMQ%3D%3D&amp;trackingId=FAkhkDLUlC4F2TB7uybiqQ%3D%3D&amp;position=7&amp;pageNum=0&amp;trk=public_jobs_jserp-result_search-card", "Job Link")</f>
        <v>Job Link</v>
      </c>
      <c r="H883" t="s">
        <v>476</v>
      </c>
      <c r="I883" t="s">
        <v>481</v>
      </c>
      <c r="J883" t="s">
        <v>486</v>
      </c>
      <c r="K883" t="s">
        <v>529</v>
      </c>
      <c r="L883" t="s">
        <v>582</v>
      </c>
      <c r="M883" t="s">
        <v>588</v>
      </c>
      <c r="N883" t="s">
        <v>601</v>
      </c>
    </row>
    <row r="884" spans="1:14" x14ac:dyDescent="0.25">
      <c r="A884" t="s">
        <v>14</v>
      </c>
      <c r="B884" t="s">
        <v>124</v>
      </c>
      <c r="C884" t="s">
        <v>264</v>
      </c>
      <c r="D884" t="s">
        <v>424</v>
      </c>
      <c r="F884" t="s">
        <v>435</v>
      </c>
      <c r="G884" t="str">
        <f>HYPERLINK("https://ca.linkedin.com/jobs/view/data-analyst-at-king-s-college-london-3335332409?refId=9Za838QzbixSUmq8uh2ZMQ%3D%3D&amp;trackingId=gXyQG9r7gHYAOigb%2BO8nSA%3D%3D&amp;position=8&amp;pageNum=0&amp;trk=public_jobs_jserp-result_search-card", "Job Link")</f>
        <v>Job Link</v>
      </c>
      <c r="H884" t="s">
        <v>476</v>
      </c>
      <c r="I884" t="s">
        <v>481</v>
      </c>
      <c r="J884" t="s">
        <v>486</v>
      </c>
      <c r="K884" t="s">
        <v>520</v>
      </c>
      <c r="L884" t="s">
        <v>585</v>
      </c>
      <c r="M884" t="s">
        <v>588</v>
      </c>
      <c r="N884" t="s">
        <v>601</v>
      </c>
    </row>
    <row r="885" spans="1:14" x14ac:dyDescent="0.25">
      <c r="A885" t="s">
        <v>15</v>
      </c>
      <c r="B885" t="s">
        <v>125</v>
      </c>
      <c r="C885" t="s">
        <v>265</v>
      </c>
      <c r="D885" t="s">
        <v>424</v>
      </c>
      <c r="F885" t="s">
        <v>431</v>
      </c>
      <c r="G885" t="str">
        <f>HYPERLINK("https://ca.linkedin.com/jobs/view/data-analyst-remote-at-cognizant-microsoft-business-group-3333618510?refId=9Za838QzbixSUmq8uh2ZMQ%3D%3D&amp;trackingId=0jjIFNw%2FNSfvbgaTmoG4uQ%3D%3D&amp;position=9&amp;pageNum=0&amp;trk=public_jobs_jserp-result_search-card", "Job Link")</f>
        <v>Job Link</v>
      </c>
      <c r="H885" t="s">
        <v>476</v>
      </c>
      <c r="I885" t="s">
        <v>481</v>
      </c>
      <c r="J885" t="s">
        <v>486</v>
      </c>
      <c r="K885" t="s">
        <v>521</v>
      </c>
      <c r="L885" t="s">
        <v>582</v>
      </c>
      <c r="M885" t="s">
        <v>588</v>
      </c>
      <c r="N885" t="s">
        <v>601</v>
      </c>
    </row>
    <row r="886" spans="1:14" x14ac:dyDescent="0.25">
      <c r="A886" t="s">
        <v>16</v>
      </c>
      <c r="B886" t="s">
        <v>126</v>
      </c>
      <c r="C886" t="s">
        <v>266</v>
      </c>
      <c r="D886" t="s">
        <v>424</v>
      </c>
      <c r="F886" t="s">
        <v>436</v>
      </c>
      <c r="G886" t="str">
        <f>HYPERLINK("https://ca.linkedin.com/jobs/view/data-analyst-loans-at-tata-consultancy-services-3344804680?refId=9Za838QzbixSUmq8uh2ZMQ%3D%3D&amp;trackingId=oiuxYdTtKUv2otyqXyJbrQ%3D%3D&amp;position=10&amp;pageNum=0&amp;trk=public_jobs_jserp-result_search-card", "Job Link")</f>
        <v>Job Link</v>
      </c>
      <c r="H886" t="s">
        <v>477</v>
      </c>
      <c r="I886" t="s">
        <v>481</v>
      </c>
      <c r="J886" t="s">
        <v>486</v>
      </c>
      <c r="K886" t="s">
        <v>517</v>
      </c>
      <c r="L886" t="s">
        <v>584</v>
      </c>
      <c r="M886" t="s">
        <v>588</v>
      </c>
      <c r="N886" t="s">
        <v>601</v>
      </c>
    </row>
    <row r="887" spans="1:14" x14ac:dyDescent="0.25">
      <c r="A887" t="s">
        <v>14</v>
      </c>
      <c r="B887" t="s">
        <v>127</v>
      </c>
      <c r="C887" t="s">
        <v>267</v>
      </c>
      <c r="D887" t="s">
        <v>424</v>
      </c>
      <c r="F887" t="s">
        <v>437</v>
      </c>
      <c r="G887" t="str">
        <f>HYPERLINK("https://ca.linkedin.com/jobs/view/data-analyst-at-vubiquity-3365112221?refId=9Za838QzbixSUmq8uh2ZMQ%3D%3D&amp;trackingId=svBZexnLke%2Fnbw2381mySQ%3D%3D&amp;position=11&amp;pageNum=0&amp;trk=public_jobs_jserp-result_search-card", "Job Link")</f>
        <v>Job Link</v>
      </c>
      <c r="H887" t="s">
        <v>476</v>
      </c>
      <c r="I887" t="s">
        <v>481</v>
      </c>
      <c r="J887" t="s">
        <v>486</v>
      </c>
      <c r="K887" t="s">
        <v>522</v>
      </c>
      <c r="L887" t="s">
        <v>582</v>
      </c>
      <c r="M887" t="s">
        <v>588</v>
      </c>
      <c r="N887" t="s">
        <v>601</v>
      </c>
    </row>
    <row r="888" spans="1:14" x14ac:dyDescent="0.25">
      <c r="A888" t="s">
        <v>14</v>
      </c>
      <c r="B888" t="s">
        <v>129</v>
      </c>
      <c r="C888" t="s">
        <v>270</v>
      </c>
      <c r="D888" t="s">
        <v>424</v>
      </c>
      <c r="F888" t="s">
        <v>440</v>
      </c>
      <c r="G888" t="str">
        <f>HYPERLINK("https://ca.linkedin.com/jobs/view/data-analyst-at-agricorp-3364433441?refId=9Za838QzbixSUmq8uh2ZMQ%3D%3D&amp;trackingId=hXOMA53F12cZKYznFq5tJg%3D%3D&amp;position=12&amp;pageNum=0&amp;trk=public_jobs_jserp-result_search-card", "Job Link")</f>
        <v>Job Link</v>
      </c>
      <c r="H888" t="s">
        <v>476</v>
      </c>
      <c r="I888" t="s">
        <v>481</v>
      </c>
      <c r="J888" t="s">
        <v>486</v>
      </c>
      <c r="K888" t="s">
        <v>523</v>
      </c>
      <c r="L888" t="s">
        <v>587</v>
      </c>
      <c r="M888" t="s">
        <v>588</v>
      </c>
      <c r="N888" t="s">
        <v>601</v>
      </c>
    </row>
    <row r="889" spans="1:14" x14ac:dyDescent="0.25">
      <c r="A889" t="s">
        <v>17</v>
      </c>
      <c r="B889" t="s">
        <v>123</v>
      </c>
      <c r="C889" t="s">
        <v>268</v>
      </c>
      <c r="D889" t="s">
        <v>424</v>
      </c>
      <c r="F889" t="s">
        <v>438</v>
      </c>
      <c r="G889" t="str">
        <f>HYPERLINK("https://ca.linkedin.com/jobs/view/data-analyst-developer-at-citi-3322089923?refId=9Za838QzbixSUmq8uh2ZMQ%3D%3D&amp;trackingId=TS6vR5eeS4RG4RzOqjHk6w%3D%3D&amp;position=13&amp;pageNum=0&amp;trk=public_jobs_jserp-result_search-card", "Job Link")</f>
        <v>Job Link</v>
      </c>
      <c r="H889" t="s">
        <v>479</v>
      </c>
      <c r="I889" t="s">
        <v>481</v>
      </c>
      <c r="J889" t="s">
        <v>486</v>
      </c>
      <c r="K889" t="s">
        <v>519</v>
      </c>
      <c r="L889" t="s">
        <v>584</v>
      </c>
      <c r="M889" t="s">
        <v>588</v>
      </c>
      <c r="N889" t="s">
        <v>601</v>
      </c>
    </row>
    <row r="890" spans="1:14" x14ac:dyDescent="0.25">
      <c r="A890" t="s">
        <v>14</v>
      </c>
      <c r="B890" t="s">
        <v>128</v>
      </c>
      <c r="C890" t="s">
        <v>269</v>
      </c>
      <c r="D890" t="s">
        <v>424</v>
      </c>
      <c r="F890" t="s">
        <v>439</v>
      </c>
      <c r="G890" t="str">
        <f>HYPERLINK("https://ca.linkedin.com/jobs/view/data-analyst-at-diverse-lynx-3363377240?refId=9Za838QzbixSUmq8uh2ZMQ%3D%3D&amp;trackingId=bbx6QlBdbKHVWkBLL076tA%3D%3D&amp;position=14&amp;pageNum=0&amp;trk=public_jobs_jserp-result_search-card", "Job Link")</f>
        <v>Job Link</v>
      </c>
      <c r="H890" t="s">
        <v>476</v>
      </c>
      <c r="I890" t="s">
        <v>481</v>
      </c>
      <c r="J890" t="s">
        <v>486</v>
      </c>
      <c r="K890" t="s">
        <v>516</v>
      </c>
      <c r="L890" t="s">
        <v>586</v>
      </c>
      <c r="M890" t="s">
        <v>617</v>
      </c>
      <c r="N890" t="s">
        <v>601</v>
      </c>
    </row>
    <row r="891" spans="1:14" x14ac:dyDescent="0.25">
      <c r="A891" t="s">
        <v>14</v>
      </c>
      <c r="B891" t="s">
        <v>128</v>
      </c>
      <c r="C891" t="s">
        <v>277</v>
      </c>
      <c r="D891" t="s">
        <v>424</v>
      </c>
      <c r="F891" t="s">
        <v>439</v>
      </c>
      <c r="G891" t="str">
        <f>HYPERLINK("https://ca.linkedin.com/jobs/view/data-analyst-at-diverse-lynx-3363374746?refId=9Za838QzbixSUmq8uh2ZMQ%3D%3D&amp;trackingId=1fGVll1s1jpdLfyyMJk84Q%3D%3D&amp;position=15&amp;pageNum=0&amp;trk=public_jobs_jserp-result_search-card", "Job Link")</f>
        <v>Job Link</v>
      </c>
      <c r="H891" t="s">
        <v>476</v>
      </c>
      <c r="I891" t="s">
        <v>481</v>
      </c>
      <c r="J891" t="s">
        <v>486</v>
      </c>
      <c r="K891" t="s">
        <v>516</v>
      </c>
      <c r="L891" t="s">
        <v>586</v>
      </c>
      <c r="M891" t="s">
        <v>617</v>
      </c>
      <c r="N891" t="s">
        <v>601</v>
      </c>
    </row>
    <row r="892" spans="1:14" x14ac:dyDescent="0.25">
      <c r="A892" t="s">
        <v>18</v>
      </c>
      <c r="B892" t="s">
        <v>130</v>
      </c>
      <c r="C892" t="s">
        <v>271</v>
      </c>
      <c r="D892" t="s">
        <v>424</v>
      </c>
      <c r="F892" t="s">
        <v>441</v>
      </c>
      <c r="G892" t="str">
        <f>HYPERLINK("https://ca.linkedin.com/jobs/view/junior-data-analyst-mississauga-on-at-arjo-3323264354?refId=9Za838QzbixSUmq8uh2ZMQ%3D%3D&amp;trackingId=tfbdirUegL5%2BrTzUUsOJtA%3D%3D&amp;position=16&amp;pageNum=0&amp;trk=public_jobs_jserp-result_search-card", "Job Link")</f>
        <v>Job Link</v>
      </c>
      <c r="H892" t="s">
        <v>479</v>
      </c>
      <c r="I892" t="s">
        <v>481</v>
      </c>
      <c r="J892" t="s">
        <v>486</v>
      </c>
      <c r="K892" t="s">
        <v>524</v>
      </c>
      <c r="L892" t="s">
        <v>588</v>
      </c>
      <c r="M892" t="s">
        <v>601</v>
      </c>
    </row>
    <row r="893" spans="1:14" x14ac:dyDescent="0.25">
      <c r="A893" t="s">
        <v>14</v>
      </c>
      <c r="B893" t="s">
        <v>131</v>
      </c>
      <c r="C893" t="s">
        <v>272</v>
      </c>
      <c r="D893" t="s">
        <v>424</v>
      </c>
      <c r="F893" t="s">
        <v>442</v>
      </c>
      <c r="G893" t="str">
        <f>HYPERLINK("https://ca.linkedin.com/jobs/view/data-analyst-at-westland-insurance-group-ltd-3345807760?refId=9Za838QzbixSUmq8uh2ZMQ%3D%3D&amp;trackingId=sqAmanpMTzafI5839pgivQ%3D%3D&amp;position=17&amp;pageNum=0&amp;trk=public_jobs_jserp-result_search-card", "Job Link")</f>
        <v>Job Link</v>
      </c>
      <c r="H893" t="s">
        <v>476</v>
      </c>
      <c r="I893" t="s">
        <v>481</v>
      </c>
      <c r="J893" t="s">
        <v>486</v>
      </c>
      <c r="K893" t="s">
        <v>525</v>
      </c>
      <c r="L893" t="s">
        <v>589</v>
      </c>
      <c r="M893" t="s">
        <v>618</v>
      </c>
      <c r="N893" t="s">
        <v>601</v>
      </c>
    </row>
    <row r="894" spans="1:14" x14ac:dyDescent="0.25">
      <c r="A894" t="s">
        <v>14</v>
      </c>
      <c r="B894" t="s">
        <v>132</v>
      </c>
      <c r="C894" t="s">
        <v>273</v>
      </c>
      <c r="D894" t="s">
        <v>424</v>
      </c>
      <c r="F894" t="s">
        <v>443</v>
      </c>
      <c r="G894" t="str">
        <f>HYPERLINK("https://ca.linkedin.com/jobs/view/data-analyst-at-fasken-3365947704?refId=9Za838QzbixSUmq8uh2ZMQ%3D%3D&amp;trackingId=9kxJbS6zzGsvAJv1BqlLyA%3D%3D&amp;position=18&amp;pageNum=0&amp;trk=public_jobs_jserp-result_search-card", "Job Link")</f>
        <v>Job Link</v>
      </c>
      <c r="H894" t="s">
        <v>476</v>
      </c>
      <c r="I894" t="s">
        <v>481</v>
      </c>
      <c r="J894" t="s">
        <v>486</v>
      </c>
      <c r="K894" t="s">
        <v>526</v>
      </c>
      <c r="L894" t="s">
        <v>590</v>
      </c>
      <c r="M894" t="s">
        <v>618</v>
      </c>
      <c r="N894" t="s">
        <v>601</v>
      </c>
    </row>
    <row r="895" spans="1:14" x14ac:dyDescent="0.25">
      <c r="A895" t="s">
        <v>14</v>
      </c>
      <c r="B895" t="s">
        <v>133</v>
      </c>
      <c r="C895" t="s">
        <v>274</v>
      </c>
      <c r="D895" t="s">
        <v>424</v>
      </c>
      <c r="F895" t="s">
        <v>434</v>
      </c>
      <c r="G895" t="str">
        <f>HYPERLINK("https://ca.linkedin.com/jobs/view/data-analyst-at-momentum-financial-services-group-3355811523?refId=9Za838QzbixSUmq8uh2ZMQ%3D%3D&amp;trackingId=fiNN7%2F39Z%2B4yammIPDquFg%3D%3D&amp;position=19&amp;pageNum=0&amp;trk=public_jobs_jserp-result_search-card", "Job Link")</f>
        <v>Job Link</v>
      </c>
      <c r="H895" t="s">
        <v>476</v>
      </c>
      <c r="I895" t="s">
        <v>481</v>
      </c>
      <c r="J895" t="s">
        <v>486</v>
      </c>
      <c r="K895" t="s">
        <v>527</v>
      </c>
      <c r="L895" t="s">
        <v>582</v>
      </c>
      <c r="M895" t="s">
        <v>588</v>
      </c>
      <c r="N895" t="s">
        <v>601</v>
      </c>
    </row>
    <row r="896" spans="1:14" x14ac:dyDescent="0.25">
      <c r="A896" t="s">
        <v>14</v>
      </c>
      <c r="B896" t="s">
        <v>134</v>
      </c>
      <c r="C896" t="s">
        <v>275</v>
      </c>
      <c r="D896" t="s">
        <v>424</v>
      </c>
      <c r="F896" t="s">
        <v>444</v>
      </c>
      <c r="G896" t="str">
        <f>HYPERLINK("https://ca.linkedin.com/jobs/view/data-analyst-at-tes-the-employment-solution-3322589522?refId=9Za838QzbixSUmq8uh2ZMQ%3D%3D&amp;trackingId=SrIiA2jpW5HzCMAvCRpWVQ%3D%3D&amp;position=20&amp;pageNum=0&amp;trk=public_jobs_jserp-result_search-card", "Job Link")</f>
        <v>Job Link</v>
      </c>
      <c r="H896" t="s">
        <v>476</v>
      </c>
      <c r="I896" t="s">
        <v>483</v>
      </c>
      <c r="J896" t="s">
        <v>486</v>
      </c>
      <c r="K896" t="s">
        <v>525</v>
      </c>
      <c r="L896" t="s">
        <v>591</v>
      </c>
      <c r="M896" t="s">
        <v>588</v>
      </c>
      <c r="N896" t="s">
        <v>601</v>
      </c>
    </row>
    <row r="897" spans="1:14" x14ac:dyDescent="0.25">
      <c r="A897" t="s">
        <v>14</v>
      </c>
      <c r="B897" t="s">
        <v>135</v>
      </c>
      <c r="C897" t="s">
        <v>276</v>
      </c>
      <c r="D897" t="s">
        <v>424</v>
      </c>
      <c r="F897" t="s">
        <v>440</v>
      </c>
      <c r="G897" t="str">
        <f>HYPERLINK("https://ca.linkedin.com/jobs/view/data-analyst-at-magna-international-3370822450?refId=9Za838QzbixSUmq8uh2ZMQ%3D%3D&amp;trackingId=vCJ5MeMYAs4SOqNfTQ%2BFjw%3D%3D&amp;position=21&amp;pageNum=0&amp;trk=public_jobs_jserp-result_search-card", "Job Link")</f>
        <v>Job Link</v>
      </c>
      <c r="H897" t="s">
        <v>476</v>
      </c>
      <c r="I897" t="s">
        <v>481</v>
      </c>
      <c r="J897" t="s">
        <v>488</v>
      </c>
      <c r="K897" t="s">
        <v>528</v>
      </c>
      <c r="L897" t="s">
        <v>592</v>
      </c>
      <c r="M897" t="s">
        <v>588</v>
      </c>
      <c r="N897" t="s">
        <v>601</v>
      </c>
    </row>
    <row r="898" spans="1:14" x14ac:dyDescent="0.25">
      <c r="A898" t="s">
        <v>20</v>
      </c>
      <c r="B898" t="s">
        <v>137</v>
      </c>
      <c r="C898" t="s">
        <v>279</v>
      </c>
      <c r="D898" t="s">
        <v>424</v>
      </c>
      <c r="F898" t="s">
        <v>446</v>
      </c>
      <c r="G898" t="str">
        <f>HYPERLINK("https://ca.linkedin.com/jobs/view/senior-data-analyst-at-mueller-water-products-3122544636?refId=9Za838QzbixSUmq8uh2ZMQ%3D%3D&amp;trackingId=JV3j0Suq2Al67%2FdnZ%2Ft%2FCw%3D%3D&amp;position=22&amp;pageNum=0&amp;trk=public_jobs_jserp-result_search-card", "Job Link")</f>
        <v>Job Link</v>
      </c>
      <c r="H898" t="s">
        <v>478</v>
      </c>
      <c r="I898" t="s">
        <v>481</v>
      </c>
      <c r="J898" t="s">
        <v>486</v>
      </c>
      <c r="K898" t="s">
        <v>530</v>
      </c>
      <c r="L898" t="s">
        <v>582</v>
      </c>
      <c r="M898" t="s">
        <v>588</v>
      </c>
      <c r="N898" t="s">
        <v>601</v>
      </c>
    </row>
    <row r="899" spans="1:14" x14ac:dyDescent="0.25">
      <c r="A899" t="s">
        <v>14</v>
      </c>
      <c r="B899" t="s">
        <v>140</v>
      </c>
      <c r="C899" t="s">
        <v>282</v>
      </c>
      <c r="D899" t="s">
        <v>424</v>
      </c>
      <c r="F899" t="s">
        <v>440</v>
      </c>
      <c r="G899" t="str">
        <f>HYPERLINK("https://ca.linkedin.com/jobs/view/data-analyst-at-scotiabank-3365406993?refId=9Za838QzbixSUmq8uh2ZMQ%3D%3D&amp;trackingId=fattzlxgzbEsoXepcKNF0w%3D%3D&amp;position=23&amp;pageNum=0&amp;trk=public_jobs_jserp-result_search-card", "Job Link")</f>
        <v>Job Link</v>
      </c>
      <c r="H899" t="s">
        <v>479</v>
      </c>
      <c r="I899" t="s">
        <v>481</v>
      </c>
      <c r="J899" t="s">
        <v>486</v>
      </c>
      <c r="K899" t="s">
        <v>533</v>
      </c>
      <c r="L899" t="s">
        <v>582</v>
      </c>
      <c r="M899" t="s">
        <v>588</v>
      </c>
      <c r="N899" t="s">
        <v>601</v>
      </c>
    </row>
    <row r="900" spans="1:14" x14ac:dyDescent="0.25">
      <c r="A900" t="s">
        <v>21</v>
      </c>
      <c r="B900" t="s">
        <v>138</v>
      </c>
      <c r="C900" t="s">
        <v>280</v>
      </c>
      <c r="D900" t="s">
        <v>424</v>
      </c>
      <c r="F900" t="s">
        <v>447</v>
      </c>
      <c r="G900" t="str">
        <f>HYPERLINK("https://ca.linkedin.com/jobs/view/data-entry-jr-analyst-6-month-contract-at-csl-group-ltd-3323214993?refId=9Za838QzbixSUmq8uh2ZMQ%3D%3D&amp;trackingId=vv7adjcA0%2BkXkbbXlU0v4A%3D%3D&amp;position=24&amp;pageNum=0&amp;trk=public_jobs_jserp-result_search-card", "Job Link")</f>
        <v>Job Link</v>
      </c>
      <c r="H900" t="s">
        <v>476</v>
      </c>
      <c r="I900" t="s">
        <v>484</v>
      </c>
      <c r="J900" t="s">
        <v>489</v>
      </c>
      <c r="K900" t="s">
        <v>531</v>
      </c>
      <c r="L900" t="s">
        <v>593</v>
      </c>
      <c r="M900" t="s">
        <v>588</v>
      </c>
      <c r="N900" t="s">
        <v>601</v>
      </c>
    </row>
    <row r="901" spans="1:14" x14ac:dyDescent="0.25">
      <c r="A901" t="s">
        <v>22</v>
      </c>
      <c r="B901" t="s">
        <v>139</v>
      </c>
      <c r="C901" t="s">
        <v>281</v>
      </c>
      <c r="D901" t="s">
        <v>424</v>
      </c>
      <c r="F901" t="s">
        <v>435</v>
      </c>
      <c r="G901" t="str">
        <f>HYPERLINK("https://ca.linkedin.com/jobs/view/quality-data-analyst-at-lululemon-3341634874?refId=9Za838QzbixSUmq8uh2ZMQ%3D%3D&amp;trackingId=vD3Woafw0DsaNdJDnBzA4g%3D%3D&amp;position=25&amp;pageNum=0&amp;trk=public_jobs_jserp-result_search-card", "Job Link")</f>
        <v>Job Link</v>
      </c>
      <c r="H901" t="s">
        <v>476</v>
      </c>
      <c r="I901" t="s">
        <v>481</v>
      </c>
      <c r="J901" t="s">
        <v>486</v>
      </c>
      <c r="K901" t="s">
        <v>532</v>
      </c>
      <c r="L901" t="s">
        <v>590</v>
      </c>
      <c r="M901" t="s">
        <v>618</v>
      </c>
      <c r="N901" t="s">
        <v>601</v>
      </c>
    </row>
    <row r="902" spans="1:14" x14ac:dyDescent="0.25">
      <c r="A902" t="s">
        <v>14</v>
      </c>
      <c r="B902" t="s">
        <v>118</v>
      </c>
      <c r="C902" t="s">
        <v>258</v>
      </c>
      <c r="D902" t="s">
        <v>424</v>
      </c>
      <c r="F902" t="s">
        <v>430</v>
      </c>
      <c r="G902" t="str">
        <f>HYPERLINK("https://ca.linkedin.com/jobs/view/data-analyst-at-axonify-3324670516?refId=LDgQRZkQuxeJQ2Ig27BMKg%3D%3D&amp;trackingId=prLcWhxTmO926NCC15X6mg%3D%3D&amp;position=1&amp;pageNum=0&amp;trk=public_jobs_jserp-result_search-card", "Job Link")</f>
        <v>Job Link</v>
      </c>
      <c r="H902" t="s">
        <v>476</v>
      </c>
      <c r="I902" t="s">
        <v>481</v>
      </c>
      <c r="J902" t="s">
        <v>486</v>
      </c>
      <c r="K902" t="s">
        <v>516</v>
      </c>
      <c r="L902" t="s">
        <v>581</v>
      </c>
      <c r="M902" t="s">
        <v>588</v>
      </c>
      <c r="N902" t="s">
        <v>601</v>
      </c>
    </row>
    <row r="903" spans="1:14" x14ac:dyDescent="0.25">
      <c r="A903" t="s">
        <v>14</v>
      </c>
      <c r="B903" t="s">
        <v>119</v>
      </c>
      <c r="C903" t="s">
        <v>259</v>
      </c>
      <c r="D903" t="s">
        <v>424</v>
      </c>
      <c r="F903" t="s">
        <v>431</v>
      </c>
      <c r="G903" t="str">
        <f>HYPERLINK("https://ca.linkedin.com/jobs/view/data-analyst-at-b3-systems-3361794123?refId=LDgQRZkQuxeJQ2Ig27BMKg%3D%3D&amp;trackingId=yKMVe3h5cjXp5IrVrfoPzQ%3D%3D&amp;position=2&amp;pageNum=0&amp;trk=public_jobs_jserp-result_search-card", "Job Link")</f>
        <v>Job Link</v>
      </c>
      <c r="I903" t="s">
        <v>481</v>
      </c>
      <c r="L903" t="s">
        <v>582</v>
      </c>
      <c r="M903" t="s">
        <v>588</v>
      </c>
      <c r="N903" t="s">
        <v>601</v>
      </c>
    </row>
    <row r="904" spans="1:14" x14ac:dyDescent="0.25">
      <c r="A904" t="s">
        <v>14</v>
      </c>
      <c r="B904" t="s">
        <v>120</v>
      </c>
      <c r="C904" t="s">
        <v>260</v>
      </c>
      <c r="D904" t="s">
        <v>424</v>
      </c>
      <c r="F904" t="s">
        <v>431</v>
      </c>
      <c r="G904" t="str">
        <f>HYPERLINK("https://ca.linkedin.com/jobs/view/data-analyst-at-wood-mackenzie-3271782079?refId=LDgQRZkQuxeJQ2Ig27BMKg%3D%3D&amp;trackingId=8VHAFmoUw9MGexs5EwJgNg%3D%3D&amp;position=3&amp;pageNum=0&amp;trk=public_jobs_jserp-result_search-card", "Job Link")</f>
        <v>Job Link</v>
      </c>
      <c r="H904" t="s">
        <v>477</v>
      </c>
      <c r="I904" t="s">
        <v>481</v>
      </c>
      <c r="J904" t="s">
        <v>487</v>
      </c>
      <c r="K904" t="s">
        <v>517</v>
      </c>
      <c r="L904" t="s">
        <v>583</v>
      </c>
      <c r="M904" t="s">
        <v>610</v>
      </c>
      <c r="N904" t="s">
        <v>601</v>
      </c>
    </row>
    <row r="905" spans="1:14" x14ac:dyDescent="0.25">
      <c r="A905" t="s">
        <v>14</v>
      </c>
      <c r="B905" t="s">
        <v>121</v>
      </c>
      <c r="C905" t="s">
        <v>261</v>
      </c>
      <c r="D905" t="s">
        <v>424</v>
      </c>
      <c r="F905" t="s">
        <v>432</v>
      </c>
      <c r="G905" t="str">
        <f>HYPERLINK("https://ca.linkedin.com/jobs/view/data-analyst-at-loft-community-services-3364383026?refId=LDgQRZkQuxeJQ2Ig27BMKg%3D%3D&amp;trackingId=Lhac%2FJCrVC0WhCWjczz3DQ%3D%3D&amp;position=4&amp;pageNum=0&amp;trk=public_jobs_jserp-result_search-card", "Job Link")</f>
        <v>Job Link</v>
      </c>
      <c r="I905" t="s">
        <v>482</v>
      </c>
      <c r="L905" t="s">
        <v>582</v>
      </c>
      <c r="M905" t="s">
        <v>588</v>
      </c>
      <c r="N905" t="s">
        <v>601</v>
      </c>
    </row>
    <row r="906" spans="1:14" x14ac:dyDescent="0.25">
      <c r="A906" t="s">
        <v>14</v>
      </c>
      <c r="B906" t="s">
        <v>122</v>
      </c>
      <c r="C906" t="s">
        <v>262</v>
      </c>
      <c r="D906" t="s">
        <v>424</v>
      </c>
      <c r="F906" t="s">
        <v>433</v>
      </c>
      <c r="G906" t="str">
        <f>HYPERLINK("https://ca.linkedin.com/jobs/view/data-analyst-at-nam-info-inc-3351590976?refId=LDgQRZkQuxeJQ2Ig27BMKg%3D%3D&amp;trackingId=7N%2BxhF3ihC5PGytYFMSGiA%3D%3D&amp;position=5&amp;pageNum=0&amp;trk=public_jobs_jserp-result_search-card", "Job Link")</f>
        <v>Job Link</v>
      </c>
      <c r="H906" t="s">
        <v>478</v>
      </c>
      <c r="I906" t="s">
        <v>483</v>
      </c>
      <c r="J906" t="s">
        <v>486</v>
      </c>
      <c r="K906" t="s">
        <v>518</v>
      </c>
      <c r="L906" t="s">
        <v>582</v>
      </c>
      <c r="M906" t="s">
        <v>588</v>
      </c>
      <c r="N906" t="s">
        <v>601</v>
      </c>
    </row>
    <row r="907" spans="1:14" x14ac:dyDescent="0.25">
      <c r="A907" t="s">
        <v>14</v>
      </c>
      <c r="B907" t="s">
        <v>123</v>
      </c>
      <c r="C907" t="s">
        <v>263</v>
      </c>
      <c r="D907" t="s">
        <v>424</v>
      </c>
      <c r="F907" t="s">
        <v>434</v>
      </c>
      <c r="G907" t="str">
        <f>HYPERLINK("https://ca.linkedin.com/jobs/view/data-analyst-at-citi-3263096865?refId=LDgQRZkQuxeJQ2Ig27BMKg%3D%3D&amp;trackingId=jVDaN1w3KjtyuUz5Ek9K5w%3D%3D&amp;position=6&amp;pageNum=0&amp;trk=public_jobs_jserp-result_search-card", "Job Link")</f>
        <v>Job Link</v>
      </c>
      <c r="H907" t="s">
        <v>479</v>
      </c>
      <c r="I907" t="s">
        <v>481</v>
      </c>
      <c r="J907" t="s">
        <v>486</v>
      </c>
      <c r="K907" t="s">
        <v>519</v>
      </c>
      <c r="L907" t="s">
        <v>584</v>
      </c>
      <c r="M907" t="s">
        <v>588</v>
      </c>
      <c r="N907" t="s">
        <v>601</v>
      </c>
    </row>
    <row r="908" spans="1:14" x14ac:dyDescent="0.25">
      <c r="A908" t="s">
        <v>19</v>
      </c>
      <c r="B908" t="s">
        <v>136</v>
      </c>
      <c r="C908" t="s">
        <v>278</v>
      </c>
      <c r="D908" t="s">
        <v>424</v>
      </c>
      <c r="F908" t="s">
        <v>445</v>
      </c>
      <c r="G908" t="str">
        <f>HYPERLINK("https://ca.linkedin.com/jobs/view/data-analyst-operations-at-sonder-inc-3229442908?refId=LDgQRZkQuxeJQ2Ig27BMKg%3D%3D&amp;trackingId=tYSKK%2BkUpFtoucF5KNdovw%3D%3D&amp;position=7&amp;pageNum=0&amp;trk=public_jobs_jserp-result_search-card", "Job Link")</f>
        <v>Job Link</v>
      </c>
      <c r="H908" t="s">
        <v>476</v>
      </c>
      <c r="I908" t="s">
        <v>481</v>
      </c>
      <c r="J908" t="s">
        <v>486</v>
      </c>
      <c r="K908" t="s">
        <v>529</v>
      </c>
      <c r="L908" t="s">
        <v>582</v>
      </c>
      <c r="M908" t="s">
        <v>588</v>
      </c>
      <c r="N908" t="s">
        <v>601</v>
      </c>
    </row>
    <row r="909" spans="1:14" x14ac:dyDescent="0.25">
      <c r="A909" t="s">
        <v>14</v>
      </c>
      <c r="B909" t="s">
        <v>124</v>
      </c>
      <c r="C909" t="s">
        <v>264</v>
      </c>
      <c r="D909" t="s">
        <v>424</v>
      </c>
      <c r="F909" t="s">
        <v>435</v>
      </c>
      <c r="G909" t="str">
        <f>HYPERLINK("https://ca.linkedin.com/jobs/view/data-analyst-at-king-s-college-london-3335332409?refId=LDgQRZkQuxeJQ2Ig27BMKg%3D%3D&amp;trackingId=nsgoVUwrig3PSrs6lmiGLg%3D%3D&amp;position=8&amp;pageNum=0&amp;trk=public_jobs_jserp-result_search-card", "Job Link")</f>
        <v>Job Link</v>
      </c>
      <c r="H909" t="s">
        <v>476</v>
      </c>
      <c r="I909" t="s">
        <v>481</v>
      </c>
      <c r="J909" t="s">
        <v>486</v>
      </c>
      <c r="K909" t="s">
        <v>520</v>
      </c>
      <c r="L909" t="s">
        <v>585</v>
      </c>
      <c r="M909" t="s">
        <v>588</v>
      </c>
      <c r="N909" t="s">
        <v>601</v>
      </c>
    </row>
    <row r="910" spans="1:14" x14ac:dyDescent="0.25">
      <c r="A910" t="s">
        <v>15</v>
      </c>
      <c r="B910" t="s">
        <v>125</v>
      </c>
      <c r="C910" t="s">
        <v>265</v>
      </c>
      <c r="D910" t="s">
        <v>424</v>
      </c>
      <c r="F910" t="s">
        <v>431</v>
      </c>
      <c r="G910" t="str">
        <f>HYPERLINK("https://ca.linkedin.com/jobs/view/data-analyst-remote-at-cognizant-microsoft-business-group-3333618510?refId=LDgQRZkQuxeJQ2Ig27BMKg%3D%3D&amp;trackingId=uk9ryzwEtv8WP%2FW%2F81EFAA%3D%3D&amp;position=9&amp;pageNum=0&amp;trk=public_jobs_jserp-result_search-card", "Job Link")</f>
        <v>Job Link</v>
      </c>
      <c r="H910" t="s">
        <v>476</v>
      </c>
      <c r="I910" t="s">
        <v>481</v>
      </c>
      <c r="J910" t="s">
        <v>486</v>
      </c>
      <c r="K910" t="s">
        <v>521</v>
      </c>
      <c r="L910" t="s">
        <v>582</v>
      </c>
      <c r="M910" t="s">
        <v>588</v>
      </c>
      <c r="N910" t="s">
        <v>601</v>
      </c>
    </row>
    <row r="911" spans="1:14" x14ac:dyDescent="0.25">
      <c r="A911" t="s">
        <v>16</v>
      </c>
      <c r="B911" t="s">
        <v>126</v>
      </c>
      <c r="C911" t="s">
        <v>266</v>
      </c>
      <c r="D911" t="s">
        <v>424</v>
      </c>
      <c r="F911" t="s">
        <v>436</v>
      </c>
      <c r="G911" t="str">
        <f>HYPERLINK("https://ca.linkedin.com/jobs/view/data-analyst-loans-at-tata-consultancy-services-3344804680?refId=LDgQRZkQuxeJQ2Ig27BMKg%3D%3D&amp;trackingId=z%2FtH0l0%2B%2Fm4vGy%2FPL10I1A%3D%3D&amp;position=10&amp;pageNum=0&amp;trk=public_jobs_jserp-result_search-card", "Job Link")</f>
        <v>Job Link</v>
      </c>
      <c r="H911" t="s">
        <v>477</v>
      </c>
      <c r="I911" t="s">
        <v>481</v>
      </c>
      <c r="J911" t="s">
        <v>486</v>
      </c>
      <c r="K911" t="s">
        <v>517</v>
      </c>
      <c r="L911" t="s">
        <v>584</v>
      </c>
      <c r="M911" t="s">
        <v>588</v>
      </c>
      <c r="N911" t="s">
        <v>601</v>
      </c>
    </row>
    <row r="912" spans="1:14" x14ac:dyDescent="0.25">
      <c r="A912" t="s">
        <v>14</v>
      </c>
      <c r="B912" t="s">
        <v>127</v>
      </c>
      <c r="C912" t="s">
        <v>267</v>
      </c>
      <c r="D912" t="s">
        <v>424</v>
      </c>
      <c r="F912" t="s">
        <v>437</v>
      </c>
      <c r="G912" t="str">
        <f>HYPERLINK("https://ca.linkedin.com/jobs/view/data-analyst-at-vubiquity-3365112221?refId=LDgQRZkQuxeJQ2Ig27BMKg%3D%3D&amp;trackingId=JnXNopOKNwIIujDH6b%2BZKg%3D%3D&amp;position=11&amp;pageNum=0&amp;trk=public_jobs_jserp-result_search-card", "Job Link")</f>
        <v>Job Link</v>
      </c>
      <c r="H912" t="s">
        <v>476</v>
      </c>
      <c r="I912" t="s">
        <v>481</v>
      </c>
      <c r="J912" t="s">
        <v>486</v>
      </c>
      <c r="K912" t="s">
        <v>522</v>
      </c>
      <c r="L912" t="s">
        <v>582</v>
      </c>
      <c r="M912" t="s">
        <v>588</v>
      </c>
      <c r="N912" t="s">
        <v>601</v>
      </c>
    </row>
    <row r="913" spans="1:14" x14ac:dyDescent="0.25">
      <c r="A913" t="s">
        <v>14</v>
      </c>
      <c r="B913" t="s">
        <v>129</v>
      </c>
      <c r="C913" t="s">
        <v>270</v>
      </c>
      <c r="D913" t="s">
        <v>424</v>
      </c>
      <c r="F913" t="s">
        <v>440</v>
      </c>
      <c r="G913" t="str">
        <f>HYPERLINK("https://ca.linkedin.com/jobs/view/data-analyst-at-agricorp-3364433441?refId=LDgQRZkQuxeJQ2Ig27BMKg%3D%3D&amp;trackingId=PJ8tzg90YCrUoQvU3flJLg%3D%3D&amp;position=12&amp;pageNum=0&amp;trk=public_jobs_jserp-result_search-card", "Job Link")</f>
        <v>Job Link</v>
      </c>
      <c r="H913" t="s">
        <v>476</v>
      </c>
      <c r="I913" t="s">
        <v>481</v>
      </c>
      <c r="J913" t="s">
        <v>486</v>
      </c>
      <c r="K913" t="s">
        <v>523</v>
      </c>
      <c r="L913" t="s">
        <v>587</v>
      </c>
      <c r="M913" t="s">
        <v>588</v>
      </c>
      <c r="N913" t="s">
        <v>601</v>
      </c>
    </row>
    <row r="914" spans="1:14" x14ac:dyDescent="0.25">
      <c r="A914" t="s">
        <v>17</v>
      </c>
      <c r="B914" t="s">
        <v>123</v>
      </c>
      <c r="C914" t="s">
        <v>268</v>
      </c>
      <c r="D914" t="s">
        <v>424</v>
      </c>
      <c r="F914" t="s">
        <v>438</v>
      </c>
      <c r="G914" t="str">
        <f>HYPERLINK("https://ca.linkedin.com/jobs/view/data-analyst-developer-at-citi-3322089923?refId=LDgQRZkQuxeJQ2Ig27BMKg%3D%3D&amp;trackingId=fd7tTlv0MaGayJ2eYqJwOQ%3D%3D&amp;position=13&amp;pageNum=0&amp;trk=public_jobs_jserp-result_search-card", "Job Link")</f>
        <v>Job Link</v>
      </c>
      <c r="H914" t="s">
        <v>479</v>
      </c>
      <c r="I914" t="s">
        <v>481</v>
      </c>
      <c r="J914" t="s">
        <v>486</v>
      </c>
      <c r="K914" t="s">
        <v>519</v>
      </c>
      <c r="L914" t="s">
        <v>584</v>
      </c>
      <c r="M914" t="s">
        <v>588</v>
      </c>
      <c r="N914" t="s">
        <v>601</v>
      </c>
    </row>
    <row r="915" spans="1:14" x14ac:dyDescent="0.25">
      <c r="A915" t="s">
        <v>14</v>
      </c>
      <c r="B915" t="s">
        <v>128</v>
      </c>
      <c r="C915" t="s">
        <v>269</v>
      </c>
      <c r="D915" t="s">
        <v>424</v>
      </c>
      <c r="F915" t="s">
        <v>439</v>
      </c>
      <c r="G915" t="str">
        <f>HYPERLINK("https://ca.linkedin.com/jobs/view/data-analyst-at-diverse-lynx-3363377240?refId=LDgQRZkQuxeJQ2Ig27BMKg%3D%3D&amp;trackingId=bJolofyh2cOWd5edMKEnTQ%3D%3D&amp;position=14&amp;pageNum=0&amp;trk=public_jobs_jserp-result_search-card", "Job Link")</f>
        <v>Job Link</v>
      </c>
      <c r="H915" t="s">
        <v>476</v>
      </c>
      <c r="I915" t="s">
        <v>481</v>
      </c>
      <c r="J915" t="s">
        <v>486</v>
      </c>
      <c r="K915" t="s">
        <v>516</v>
      </c>
      <c r="L915" t="s">
        <v>586</v>
      </c>
      <c r="M915" t="s">
        <v>617</v>
      </c>
      <c r="N915" t="s">
        <v>601</v>
      </c>
    </row>
    <row r="916" spans="1:14" x14ac:dyDescent="0.25">
      <c r="A916" t="s">
        <v>14</v>
      </c>
      <c r="B916" t="s">
        <v>128</v>
      </c>
      <c r="C916" t="s">
        <v>277</v>
      </c>
      <c r="D916" t="s">
        <v>424</v>
      </c>
      <c r="F916" t="s">
        <v>439</v>
      </c>
      <c r="G916" t="str">
        <f>HYPERLINK("https://ca.linkedin.com/jobs/view/data-analyst-at-diverse-lynx-3363374746?refId=LDgQRZkQuxeJQ2Ig27BMKg%3D%3D&amp;trackingId=jAx1tpjcjQ%2F9J2T1BYfZFw%3D%3D&amp;position=15&amp;pageNum=0&amp;trk=public_jobs_jserp-result_search-card", "Job Link")</f>
        <v>Job Link</v>
      </c>
      <c r="H916" t="s">
        <v>476</v>
      </c>
      <c r="I916" t="s">
        <v>481</v>
      </c>
      <c r="J916" t="s">
        <v>486</v>
      </c>
      <c r="K916" t="s">
        <v>516</v>
      </c>
      <c r="L916" t="s">
        <v>586</v>
      </c>
      <c r="M916" t="s">
        <v>617</v>
      </c>
      <c r="N916" t="s">
        <v>601</v>
      </c>
    </row>
    <row r="917" spans="1:14" x14ac:dyDescent="0.25">
      <c r="A917" t="s">
        <v>18</v>
      </c>
      <c r="B917" t="s">
        <v>130</v>
      </c>
      <c r="C917" t="s">
        <v>271</v>
      </c>
      <c r="D917" t="s">
        <v>424</v>
      </c>
      <c r="F917" t="s">
        <v>441</v>
      </c>
      <c r="G917" t="str">
        <f>HYPERLINK("https://ca.linkedin.com/jobs/view/junior-data-analyst-mississauga-on-at-arjo-3323264354?refId=LDgQRZkQuxeJQ2Ig27BMKg%3D%3D&amp;trackingId=CotFNrNSa2H5Vm3KFnmZgw%3D%3D&amp;position=16&amp;pageNum=0&amp;trk=public_jobs_jserp-result_search-card", "Job Link")</f>
        <v>Job Link</v>
      </c>
      <c r="H917" t="s">
        <v>479</v>
      </c>
      <c r="I917" t="s">
        <v>481</v>
      </c>
      <c r="J917" t="s">
        <v>486</v>
      </c>
      <c r="K917" t="s">
        <v>524</v>
      </c>
      <c r="L917" t="s">
        <v>588</v>
      </c>
      <c r="M917" t="s">
        <v>601</v>
      </c>
    </row>
    <row r="918" spans="1:14" x14ac:dyDescent="0.25">
      <c r="A918" t="s">
        <v>14</v>
      </c>
      <c r="B918" t="s">
        <v>131</v>
      </c>
      <c r="C918" t="s">
        <v>272</v>
      </c>
      <c r="D918" t="s">
        <v>424</v>
      </c>
      <c r="F918" t="s">
        <v>442</v>
      </c>
      <c r="G918" t="str">
        <f>HYPERLINK("https://ca.linkedin.com/jobs/view/data-analyst-at-westland-insurance-group-ltd-3345807760?refId=LDgQRZkQuxeJQ2Ig27BMKg%3D%3D&amp;trackingId=3E81ufFtwKqzOKPZirjqJw%3D%3D&amp;position=17&amp;pageNum=0&amp;trk=public_jobs_jserp-result_search-card", "Job Link")</f>
        <v>Job Link</v>
      </c>
      <c r="H918" t="s">
        <v>476</v>
      </c>
      <c r="I918" t="s">
        <v>481</v>
      </c>
      <c r="J918" t="s">
        <v>486</v>
      </c>
      <c r="K918" t="s">
        <v>525</v>
      </c>
      <c r="L918" t="s">
        <v>589</v>
      </c>
      <c r="M918" t="s">
        <v>618</v>
      </c>
      <c r="N918" t="s">
        <v>601</v>
      </c>
    </row>
    <row r="919" spans="1:14" x14ac:dyDescent="0.25">
      <c r="A919" t="s">
        <v>14</v>
      </c>
      <c r="B919" t="s">
        <v>132</v>
      </c>
      <c r="C919" t="s">
        <v>273</v>
      </c>
      <c r="D919" t="s">
        <v>424</v>
      </c>
      <c r="F919" t="s">
        <v>443</v>
      </c>
      <c r="G919" t="str">
        <f>HYPERLINK("https://ca.linkedin.com/jobs/view/data-analyst-at-fasken-3365947704?refId=LDgQRZkQuxeJQ2Ig27BMKg%3D%3D&amp;trackingId=P1umZN%2BAAJQ%2FPlhE2uiNfw%3D%3D&amp;position=18&amp;pageNum=0&amp;trk=public_jobs_jserp-result_search-card", "Job Link")</f>
        <v>Job Link</v>
      </c>
      <c r="H919" t="s">
        <v>476</v>
      </c>
      <c r="I919" t="s">
        <v>481</v>
      </c>
      <c r="J919" t="s">
        <v>486</v>
      </c>
      <c r="K919" t="s">
        <v>526</v>
      </c>
      <c r="L919" t="s">
        <v>590</v>
      </c>
      <c r="M919" t="s">
        <v>618</v>
      </c>
      <c r="N919" t="s">
        <v>601</v>
      </c>
    </row>
    <row r="920" spans="1:14" x14ac:dyDescent="0.25">
      <c r="A920" t="s">
        <v>14</v>
      </c>
      <c r="B920" t="s">
        <v>133</v>
      </c>
      <c r="C920" t="s">
        <v>274</v>
      </c>
      <c r="D920" t="s">
        <v>424</v>
      </c>
      <c r="F920" t="s">
        <v>434</v>
      </c>
      <c r="G920" t="str">
        <f>HYPERLINK("https://ca.linkedin.com/jobs/view/data-analyst-at-momentum-financial-services-group-3355811523?refId=LDgQRZkQuxeJQ2Ig27BMKg%3D%3D&amp;trackingId=k3okff8FptsAzEJ%2FEQQuiA%3D%3D&amp;position=19&amp;pageNum=0&amp;trk=public_jobs_jserp-result_search-card", "Job Link")</f>
        <v>Job Link</v>
      </c>
      <c r="H920" t="s">
        <v>476</v>
      </c>
      <c r="I920" t="s">
        <v>481</v>
      </c>
      <c r="J920" t="s">
        <v>486</v>
      </c>
      <c r="K920" t="s">
        <v>527</v>
      </c>
      <c r="L920" t="s">
        <v>582</v>
      </c>
      <c r="M920" t="s">
        <v>588</v>
      </c>
      <c r="N920" t="s">
        <v>601</v>
      </c>
    </row>
    <row r="921" spans="1:14" x14ac:dyDescent="0.25">
      <c r="A921" t="s">
        <v>14</v>
      </c>
      <c r="B921" t="s">
        <v>134</v>
      </c>
      <c r="C921" t="s">
        <v>284</v>
      </c>
      <c r="D921" t="s">
        <v>424</v>
      </c>
      <c r="F921" t="s">
        <v>444</v>
      </c>
      <c r="G921" t="str">
        <f>HYPERLINK("https://ca.linkedin.com/jobs/view/data-analyst-at-tes-the-employment-solution-3322589522?refId=LDgQRZkQuxeJQ2Ig27BMKg%3D%3D&amp;trackingId=JJVS4e8rghrA3G7UA%2BEjOw%3D%3D&amp;position=20&amp;pageNum=0&amp;trk=public_jobs_jserp-result_search-card", "Job Link")</f>
        <v>Job Link</v>
      </c>
      <c r="L921" t="s">
        <v>591</v>
      </c>
      <c r="M921" t="s">
        <v>588</v>
      </c>
      <c r="N921" t="s">
        <v>601</v>
      </c>
    </row>
    <row r="922" spans="1:14" x14ac:dyDescent="0.25">
      <c r="A922" t="s">
        <v>14</v>
      </c>
      <c r="B922" t="s">
        <v>135</v>
      </c>
      <c r="C922" t="s">
        <v>276</v>
      </c>
      <c r="D922" t="s">
        <v>424</v>
      </c>
      <c r="F922" t="s">
        <v>440</v>
      </c>
      <c r="G922" t="str">
        <f>HYPERLINK("https://ca.linkedin.com/jobs/view/data-analyst-at-magna-international-3370822450?refId=LDgQRZkQuxeJQ2Ig27BMKg%3D%3D&amp;trackingId=VN%2BVAAg5nQi8NoygJNG5DQ%3D%3D&amp;position=21&amp;pageNum=0&amp;trk=public_jobs_jserp-result_search-card", "Job Link")</f>
        <v>Job Link</v>
      </c>
      <c r="H922" t="s">
        <v>476</v>
      </c>
      <c r="I922" t="s">
        <v>481</v>
      </c>
      <c r="J922" t="s">
        <v>488</v>
      </c>
      <c r="K922" t="s">
        <v>528</v>
      </c>
      <c r="L922" t="s">
        <v>592</v>
      </c>
      <c r="M922" t="s">
        <v>588</v>
      </c>
      <c r="N922" t="s">
        <v>601</v>
      </c>
    </row>
    <row r="923" spans="1:14" x14ac:dyDescent="0.25">
      <c r="A923" t="s">
        <v>14</v>
      </c>
      <c r="B923" t="s">
        <v>140</v>
      </c>
      <c r="C923" t="s">
        <v>282</v>
      </c>
      <c r="D923" t="s">
        <v>424</v>
      </c>
      <c r="F923" t="s">
        <v>440</v>
      </c>
      <c r="G923" t="str">
        <f>HYPERLINK("https://ca.linkedin.com/jobs/view/data-analyst-at-scotiabank-3365406993?refId=LDgQRZkQuxeJQ2Ig27BMKg%3D%3D&amp;trackingId=ng7uzzO6hTmhLSFkxJSM9w%3D%3D&amp;position=22&amp;pageNum=0&amp;trk=public_jobs_jserp-result_search-card", "Job Link")</f>
        <v>Job Link</v>
      </c>
      <c r="H923" t="s">
        <v>479</v>
      </c>
      <c r="I923" t="s">
        <v>481</v>
      </c>
      <c r="J923" t="s">
        <v>486</v>
      </c>
      <c r="K923" t="s">
        <v>533</v>
      </c>
      <c r="L923" t="s">
        <v>582</v>
      </c>
      <c r="M923" t="s">
        <v>588</v>
      </c>
      <c r="N923" t="s">
        <v>601</v>
      </c>
    </row>
    <row r="924" spans="1:14" x14ac:dyDescent="0.25">
      <c r="A924" t="s">
        <v>20</v>
      </c>
      <c r="B924" t="s">
        <v>137</v>
      </c>
      <c r="C924" t="s">
        <v>279</v>
      </c>
      <c r="D924" t="s">
        <v>424</v>
      </c>
      <c r="F924" t="s">
        <v>446</v>
      </c>
      <c r="G924" t="str">
        <f>HYPERLINK("https://ca.linkedin.com/jobs/view/senior-data-analyst-at-mueller-water-products-3122544636?refId=LDgQRZkQuxeJQ2Ig27BMKg%3D%3D&amp;trackingId=pgCM6ICx2sKVd9FcbWFWpg%3D%3D&amp;position=23&amp;pageNum=0&amp;trk=public_jobs_jserp-result_search-card", "Job Link")</f>
        <v>Job Link</v>
      </c>
      <c r="H924" t="s">
        <v>478</v>
      </c>
      <c r="I924" t="s">
        <v>481</v>
      </c>
      <c r="J924" t="s">
        <v>486</v>
      </c>
      <c r="K924" t="s">
        <v>530</v>
      </c>
      <c r="L924" t="s">
        <v>582</v>
      </c>
      <c r="M924" t="s">
        <v>588</v>
      </c>
      <c r="N924" t="s">
        <v>601</v>
      </c>
    </row>
    <row r="925" spans="1:14" x14ac:dyDescent="0.25">
      <c r="A925" t="s">
        <v>21</v>
      </c>
      <c r="B925" t="s">
        <v>138</v>
      </c>
      <c r="C925" t="s">
        <v>280</v>
      </c>
      <c r="D925" t="s">
        <v>424</v>
      </c>
      <c r="F925" t="s">
        <v>447</v>
      </c>
      <c r="G925" t="str">
        <f>HYPERLINK("https://ca.linkedin.com/jobs/view/data-entry-jr-analyst-6-month-contract-at-csl-group-ltd-3323214993?refId=LDgQRZkQuxeJQ2Ig27BMKg%3D%3D&amp;trackingId=nEaIuzuheeghQP0%2BntzMcA%3D%3D&amp;position=24&amp;pageNum=0&amp;trk=public_jobs_jserp-result_search-card", "Job Link")</f>
        <v>Job Link</v>
      </c>
      <c r="H925" t="s">
        <v>476</v>
      </c>
      <c r="I925" t="s">
        <v>484</v>
      </c>
      <c r="J925" t="s">
        <v>489</v>
      </c>
      <c r="K925" t="s">
        <v>531</v>
      </c>
      <c r="L925" t="s">
        <v>593</v>
      </c>
      <c r="M925" t="s">
        <v>588</v>
      </c>
      <c r="N925" t="s">
        <v>601</v>
      </c>
    </row>
    <row r="926" spans="1:14" x14ac:dyDescent="0.25">
      <c r="A926" t="s">
        <v>22</v>
      </c>
      <c r="B926" t="s">
        <v>139</v>
      </c>
      <c r="C926" t="s">
        <v>281</v>
      </c>
      <c r="D926" t="s">
        <v>424</v>
      </c>
      <c r="F926" t="s">
        <v>435</v>
      </c>
      <c r="G926" t="str">
        <f>HYPERLINK("https://ca.linkedin.com/jobs/view/quality-data-analyst-at-lululemon-3341634874?refId=LDgQRZkQuxeJQ2Ig27BMKg%3D%3D&amp;trackingId=hq4rct8Jhye8NAO0MSNSFg%3D%3D&amp;position=25&amp;pageNum=0&amp;trk=public_jobs_jserp-result_search-card", "Job Link")</f>
        <v>Job Link</v>
      </c>
      <c r="H926" t="s">
        <v>476</v>
      </c>
      <c r="I926" t="s">
        <v>481</v>
      </c>
      <c r="J926" t="s">
        <v>486</v>
      </c>
      <c r="K926" t="s">
        <v>532</v>
      </c>
      <c r="L926" t="s">
        <v>590</v>
      </c>
      <c r="M926" t="s">
        <v>618</v>
      </c>
      <c r="N926" t="s">
        <v>601</v>
      </c>
    </row>
    <row r="927" spans="1:14" x14ac:dyDescent="0.25">
      <c r="A927" t="s">
        <v>14</v>
      </c>
      <c r="B927" t="s">
        <v>118</v>
      </c>
      <c r="C927" t="s">
        <v>258</v>
      </c>
      <c r="D927" t="s">
        <v>424</v>
      </c>
      <c r="F927" t="s">
        <v>430</v>
      </c>
      <c r="G927" t="str">
        <f>HYPERLINK("https://ca.linkedin.com/jobs/view/data-analyst-at-axonify-3324670516?refId=3zdQf88B2BvHiEyGZzJOMw%3D%3D&amp;trackingId=WjGeldfRAo7sdBYUoDVPnA%3D%3D&amp;position=1&amp;pageNum=0&amp;trk=public_jobs_jserp-result_search-card", "Job Link")</f>
        <v>Job Link</v>
      </c>
      <c r="H927" t="s">
        <v>476</v>
      </c>
      <c r="I927" t="s">
        <v>481</v>
      </c>
      <c r="J927" t="s">
        <v>486</v>
      </c>
      <c r="K927" t="s">
        <v>516</v>
      </c>
      <c r="L927" t="s">
        <v>581</v>
      </c>
      <c r="M927" t="s">
        <v>588</v>
      </c>
      <c r="N927" t="s">
        <v>601</v>
      </c>
    </row>
    <row r="928" spans="1:14" x14ac:dyDescent="0.25">
      <c r="A928" t="s">
        <v>14</v>
      </c>
      <c r="B928" t="s">
        <v>119</v>
      </c>
      <c r="C928" t="s">
        <v>259</v>
      </c>
      <c r="D928" t="s">
        <v>424</v>
      </c>
      <c r="F928" t="s">
        <v>431</v>
      </c>
      <c r="G928" t="str">
        <f>HYPERLINK("https://ca.linkedin.com/jobs/view/data-analyst-at-b3-systems-3361794123?refId=3zdQf88B2BvHiEyGZzJOMw%3D%3D&amp;trackingId=AN635sdM4h1lG%2FSPv6h09g%3D%3D&amp;position=2&amp;pageNum=0&amp;trk=public_jobs_jserp-result_search-card", "Job Link")</f>
        <v>Job Link</v>
      </c>
      <c r="I928" t="s">
        <v>481</v>
      </c>
      <c r="L928" t="s">
        <v>582</v>
      </c>
      <c r="M928" t="s">
        <v>588</v>
      </c>
      <c r="N928" t="s">
        <v>601</v>
      </c>
    </row>
    <row r="929" spans="1:14" x14ac:dyDescent="0.25">
      <c r="A929" t="s">
        <v>14</v>
      </c>
      <c r="B929" t="s">
        <v>120</v>
      </c>
      <c r="C929" t="s">
        <v>260</v>
      </c>
      <c r="D929" t="s">
        <v>424</v>
      </c>
      <c r="F929" t="s">
        <v>431</v>
      </c>
      <c r="G929" t="str">
        <f>HYPERLINK("https://ca.linkedin.com/jobs/view/data-analyst-at-wood-mackenzie-3271782079?refId=3zdQf88B2BvHiEyGZzJOMw%3D%3D&amp;trackingId=E9zUK2Q%2B%2BMgVXWZiGKFFqQ%3D%3D&amp;position=3&amp;pageNum=0&amp;trk=public_jobs_jserp-result_search-card", "Job Link")</f>
        <v>Job Link</v>
      </c>
      <c r="H929" t="s">
        <v>477</v>
      </c>
      <c r="I929" t="s">
        <v>481</v>
      </c>
      <c r="J929" t="s">
        <v>487</v>
      </c>
      <c r="K929" t="s">
        <v>517</v>
      </c>
      <c r="L929" t="s">
        <v>583</v>
      </c>
      <c r="M929" t="s">
        <v>610</v>
      </c>
      <c r="N929" t="s">
        <v>601</v>
      </c>
    </row>
    <row r="930" spans="1:14" x14ac:dyDescent="0.25">
      <c r="A930" t="s">
        <v>14</v>
      </c>
      <c r="B930" t="s">
        <v>121</v>
      </c>
      <c r="C930" t="s">
        <v>261</v>
      </c>
      <c r="D930" t="s">
        <v>424</v>
      </c>
      <c r="F930" t="s">
        <v>432</v>
      </c>
      <c r="G930" t="str">
        <f>HYPERLINK("https://ca.linkedin.com/jobs/view/data-analyst-at-loft-community-services-3364383026?refId=3zdQf88B2BvHiEyGZzJOMw%3D%3D&amp;trackingId=Yi6E88Ewwl8nZ4E2LH4skw%3D%3D&amp;position=4&amp;pageNum=0&amp;trk=public_jobs_jserp-result_search-card", "Job Link")</f>
        <v>Job Link</v>
      </c>
      <c r="I930" t="s">
        <v>482</v>
      </c>
      <c r="L930" t="s">
        <v>582</v>
      </c>
      <c r="M930" t="s">
        <v>588</v>
      </c>
      <c r="N930" t="s">
        <v>601</v>
      </c>
    </row>
    <row r="931" spans="1:14" x14ac:dyDescent="0.25">
      <c r="A931" t="s">
        <v>14</v>
      </c>
      <c r="B931" t="s">
        <v>122</v>
      </c>
      <c r="C931" t="s">
        <v>262</v>
      </c>
      <c r="D931" t="s">
        <v>424</v>
      </c>
      <c r="F931" t="s">
        <v>433</v>
      </c>
      <c r="G931" t="str">
        <f>HYPERLINK("https://ca.linkedin.com/jobs/view/data-analyst-at-nam-info-inc-3351590976?refId=3zdQf88B2BvHiEyGZzJOMw%3D%3D&amp;trackingId=ZzQGYp7M3Dr2iKXrfo3bwg%3D%3D&amp;position=5&amp;pageNum=0&amp;trk=public_jobs_jserp-result_search-card", "Job Link")</f>
        <v>Job Link</v>
      </c>
      <c r="H931" t="s">
        <v>478</v>
      </c>
      <c r="I931" t="s">
        <v>483</v>
      </c>
      <c r="J931" t="s">
        <v>486</v>
      </c>
      <c r="K931" t="s">
        <v>518</v>
      </c>
      <c r="L931" t="s">
        <v>582</v>
      </c>
      <c r="M931" t="s">
        <v>588</v>
      </c>
      <c r="N931" t="s">
        <v>601</v>
      </c>
    </row>
    <row r="932" spans="1:14" x14ac:dyDescent="0.25">
      <c r="A932" t="s">
        <v>14</v>
      </c>
      <c r="B932" t="s">
        <v>123</v>
      </c>
      <c r="C932" t="s">
        <v>263</v>
      </c>
      <c r="D932" t="s">
        <v>424</v>
      </c>
      <c r="F932" t="s">
        <v>434</v>
      </c>
      <c r="G932" t="str">
        <f>HYPERLINK("https://ca.linkedin.com/jobs/view/data-analyst-at-citi-3263096865?refId=3zdQf88B2BvHiEyGZzJOMw%3D%3D&amp;trackingId=nbUJ534sWLDGEWIdVj0yoQ%3D%3D&amp;position=6&amp;pageNum=0&amp;trk=public_jobs_jserp-result_search-card", "Job Link")</f>
        <v>Job Link</v>
      </c>
      <c r="H932" t="s">
        <v>479</v>
      </c>
      <c r="I932" t="s">
        <v>481</v>
      </c>
      <c r="J932" t="s">
        <v>486</v>
      </c>
      <c r="K932" t="s">
        <v>519</v>
      </c>
      <c r="L932" t="s">
        <v>584</v>
      </c>
      <c r="M932" t="s">
        <v>588</v>
      </c>
      <c r="N932" t="s">
        <v>601</v>
      </c>
    </row>
    <row r="933" spans="1:14" x14ac:dyDescent="0.25">
      <c r="A933" t="s">
        <v>14</v>
      </c>
      <c r="B933" t="s">
        <v>124</v>
      </c>
      <c r="C933" t="s">
        <v>264</v>
      </c>
      <c r="D933" t="s">
        <v>424</v>
      </c>
      <c r="F933" t="s">
        <v>435</v>
      </c>
      <c r="G933" t="str">
        <f>HYPERLINK("https://ca.linkedin.com/jobs/view/data-analyst-at-king-s-college-london-3335332409?refId=3zdQf88B2BvHiEyGZzJOMw%3D%3D&amp;trackingId=DPV8fpOpLESHr0f1q5VdKg%3D%3D&amp;position=7&amp;pageNum=0&amp;trk=public_jobs_jserp-result_search-card", "Job Link")</f>
        <v>Job Link</v>
      </c>
      <c r="H933" t="s">
        <v>476</v>
      </c>
      <c r="I933" t="s">
        <v>481</v>
      </c>
      <c r="J933" t="s">
        <v>486</v>
      </c>
      <c r="K933" t="s">
        <v>520</v>
      </c>
      <c r="L933" t="s">
        <v>585</v>
      </c>
      <c r="M933" t="s">
        <v>588</v>
      </c>
      <c r="N933" t="s">
        <v>601</v>
      </c>
    </row>
    <row r="934" spans="1:14" x14ac:dyDescent="0.25">
      <c r="A934" t="s">
        <v>15</v>
      </c>
      <c r="B934" t="s">
        <v>125</v>
      </c>
      <c r="C934" t="s">
        <v>265</v>
      </c>
      <c r="D934" t="s">
        <v>424</v>
      </c>
      <c r="F934" t="s">
        <v>431</v>
      </c>
      <c r="G934" t="str">
        <f>HYPERLINK("https://ca.linkedin.com/jobs/view/data-analyst-remote-at-cognizant-microsoft-business-group-3333618510?refId=3zdQf88B2BvHiEyGZzJOMw%3D%3D&amp;trackingId=U2JpYC9rww%2BRaiKYqEoSSg%3D%3D&amp;position=8&amp;pageNum=0&amp;trk=public_jobs_jserp-result_search-card", "Job Link")</f>
        <v>Job Link</v>
      </c>
      <c r="H934" t="s">
        <v>476</v>
      </c>
      <c r="I934" t="s">
        <v>481</v>
      </c>
      <c r="J934" t="s">
        <v>486</v>
      </c>
      <c r="K934" t="s">
        <v>521</v>
      </c>
      <c r="L934" t="s">
        <v>582</v>
      </c>
      <c r="M934" t="s">
        <v>588</v>
      </c>
      <c r="N934" t="s">
        <v>601</v>
      </c>
    </row>
    <row r="935" spans="1:14" x14ac:dyDescent="0.25">
      <c r="A935" t="s">
        <v>16</v>
      </c>
      <c r="B935" t="s">
        <v>126</v>
      </c>
      <c r="C935" t="s">
        <v>266</v>
      </c>
      <c r="D935" t="s">
        <v>424</v>
      </c>
      <c r="F935" t="s">
        <v>436</v>
      </c>
      <c r="G935" t="str">
        <f>HYPERLINK("https://ca.linkedin.com/jobs/view/data-analyst-loans-at-tata-consultancy-services-3344804680?refId=3zdQf88B2BvHiEyGZzJOMw%3D%3D&amp;trackingId=cz8vby9RwT8WN8Uuwm4TSQ%3D%3D&amp;position=9&amp;pageNum=0&amp;trk=public_jobs_jserp-result_search-card", "Job Link")</f>
        <v>Job Link</v>
      </c>
      <c r="H935" t="s">
        <v>477</v>
      </c>
      <c r="I935" t="s">
        <v>481</v>
      </c>
      <c r="J935" t="s">
        <v>486</v>
      </c>
      <c r="K935" t="s">
        <v>517</v>
      </c>
      <c r="L935" t="s">
        <v>584</v>
      </c>
      <c r="M935" t="s">
        <v>588</v>
      </c>
      <c r="N935" t="s">
        <v>601</v>
      </c>
    </row>
    <row r="936" spans="1:14" x14ac:dyDescent="0.25">
      <c r="A936" t="s">
        <v>14</v>
      </c>
      <c r="B936" t="s">
        <v>127</v>
      </c>
      <c r="C936" t="s">
        <v>267</v>
      </c>
      <c r="D936" t="s">
        <v>424</v>
      </c>
      <c r="F936" t="s">
        <v>437</v>
      </c>
      <c r="G936" t="str">
        <f>HYPERLINK("https://ca.linkedin.com/jobs/view/data-analyst-at-vubiquity-3365112221?refId=3zdQf88B2BvHiEyGZzJOMw%3D%3D&amp;trackingId=KBYIxCFg5h7j8DGfLsqzbw%3D%3D&amp;position=10&amp;pageNum=0&amp;trk=public_jobs_jserp-result_search-card", "Job Link")</f>
        <v>Job Link</v>
      </c>
      <c r="H936" t="s">
        <v>476</v>
      </c>
      <c r="I936" t="s">
        <v>481</v>
      </c>
      <c r="J936" t="s">
        <v>486</v>
      </c>
      <c r="K936" t="s">
        <v>522</v>
      </c>
      <c r="L936" t="s">
        <v>582</v>
      </c>
      <c r="M936" t="s">
        <v>588</v>
      </c>
      <c r="N936" t="s">
        <v>601</v>
      </c>
    </row>
    <row r="937" spans="1:14" x14ac:dyDescent="0.25">
      <c r="A937" t="s">
        <v>17</v>
      </c>
      <c r="B937" t="s">
        <v>123</v>
      </c>
      <c r="C937" t="s">
        <v>268</v>
      </c>
      <c r="D937" t="s">
        <v>424</v>
      </c>
      <c r="F937" t="s">
        <v>438</v>
      </c>
      <c r="G937" t="str">
        <f>HYPERLINK("https://ca.linkedin.com/jobs/view/data-analyst-developer-at-citi-3322089923?refId=3zdQf88B2BvHiEyGZzJOMw%3D%3D&amp;trackingId=GniGedV17H7mAwHm6R8gJw%3D%3D&amp;position=11&amp;pageNum=0&amp;trk=public_jobs_jserp-result_search-card", "Job Link")</f>
        <v>Job Link</v>
      </c>
      <c r="H937" t="s">
        <v>479</v>
      </c>
      <c r="I937" t="s">
        <v>481</v>
      </c>
      <c r="J937" t="s">
        <v>486</v>
      </c>
      <c r="K937" t="s">
        <v>519</v>
      </c>
      <c r="L937" t="s">
        <v>584</v>
      </c>
      <c r="M937" t="s">
        <v>588</v>
      </c>
      <c r="N937" t="s">
        <v>601</v>
      </c>
    </row>
    <row r="938" spans="1:14" x14ac:dyDescent="0.25">
      <c r="A938" t="s">
        <v>14</v>
      </c>
      <c r="B938" t="s">
        <v>128</v>
      </c>
      <c r="C938" t="s">
        <v>269</v>
      </c>
      <c r="D938" t="s">
        <v>424</v>
      </c>
      <c r="F938" t="s">
        <v>439</v>
      </c>
      <c r="G938" t="str">
        <f>HYPERLINK("https://ca.linkedin.com/jobs/view/data-analyst-at-diverse-lynx-3363377240?refId=3zdQf88B2BvHiEyGZzJOMw%3D%3D&amp;trackingId=iILClrzmaVQphLOTQ0u4IA%3D%3D&amp;position=12&amp;pageNum=0&amp;trk=public_jobs_jserp-result_search-card", "Job Link")</f>
        <v>Job Link</v>
      </c>
      <c r="H938" t="s">
        <v>476</v>
      </c>
      <c r="I938" t="s">
        <v>481</v>
      </c>
      <c r="J938" t="s">
        <v>486</v>
      </c>
      <c r="K938" t="s">
        <v>516</v>
      </c>
      <c r="L938" t="s">
        <v>586</v>
      </c>
      <c r="M938" t="s">
        <v>617</v>
      </c>
      <c r="N938" t="s">
        <v>601</v>
      </c>
    </row>
    <row r="939" spans="1:14" x14ac:dyDescent="0.25">
      <c r="A939" t="s">
        <v>14</v>
      </c>
      <c r="B939" t="s">
        <v>129</v>
      </c>
      <c r="C939" t="s">
        <v>270</v>
      </c>
      <c r="D939" t="s">
        <v>424</v>
      </c>
      <c r="F939" t="s">
        <v>440</v>
      </c>
      <c r="G939" t="str">
        <f>HYPERLINK("https://ca.linkedin.com/jobs/view/data-analyst-at-agricorp-3364433441?refId=3zdQf88B2BvHiEyGZzJOMw%3D%3D&amp;trackingId=NqlUTvxSdkgi7tEbzJ6B9A%3D%3D&amp;position=13&amp;pageNum=0&amp;trk=public_jobs_jserp-result_search-card", "Job Link")</f>
        <v>Job Link</v>
      </c>
      <c r="H939" t="s">
        <v>476</v>
      </c>
      <c r="I939" t="s">
        <v>481</v>
      </c>
      <c r="J939" t="s">
        <v>486</v>
      </c>
      <c r="K939" t="s">
        <v>523</v>
      </c>
      <c r="L939" t="s">
        <v>587</v>
      </c>
      <c r="M939" t="s">
        <v>588</v>
      </c>
      <c r="N939" t="s">
        <v>601</v>
      </c>
    </row>
    <row r="940" spans="1:14" x14ac:dyDescent="0.25">
      <c r="A940" t="s">
        <v>18</v>
      </c>
      <c r="B940" t="s">
        <v>130</v>
      </c>
      <c r="C940" t="s">
        <v>271</v>
      </c>
      <c r="D940" t="s">
        <v>424</v>
      </c>
      <c r="F940" t="s">
        <v>441</v>
      </c>
      <c r="G940" t="str">
        <f>HYPERLINK("https://ca.linkedin.com/jobs/view/junior-data-analyst-mississauga-on-at-arjo-3323264354?refId=3zdQf88B2BvHiEyGZzJOMw%3D%3D&amp;trackingId=NbfQHDxc2R1oXJbNn6zzpA%3D%3D&amp;position=14&amp;pageNum=0&amp;trk=public_jobs_jserp-result_search-card", "Job Link")</f>
        <v>Job Link</v>
      </c>
      <c r="H940" t="s">
        <v>479</v>
      </c>
      <c r="I940" t="s">
        <v>481</v>
      </c>
      <c r="J940" t="s">
        <v>486</v>
      </c>
      <c r="K940" t="s">
        <v>524</v>
      </c>
      <c r="L940" t="s">
        <v>588</v>
      </c>
      <c r="M940" t="s">
        <v>601</v>
      </c>
    </row>
    <row r="941" spans="1:14" x14ac:dyDescent="0.25">
      <c r="A941" t="s">
        <v>14</v>
      </c>
      <c r="B941" t="s">
        <v>131</v>
      </c>
      <c r="C941" t="s">
        <v>272</v>
      </c>
      <c r="D941" t="s">
        <v>424</v>
      </c>
      <c r="F941" t="s">
        <v>442</v>
      </c>
      <c r="G941" t="str">
        <f>HYPERLINK("https://ca.linkedin.com/jobs/view/data-analyst-at-westland-insurance-group-ltd-3345807760?refId=3zdQf88B2BvHiEyGZzJOMw%3D%3D&amp;trackingId=bvcr0p9s8OxTiFGmDzXmVw%3D%3D&amp;position=15&amp;pageNum=0&amp;trk=public_jobs_jserp-result_search-card", "Job Link")</f>
        <v>Job Link</v>
      </c>
      <c r="H941" t="s">
        <v>476</v>
      </c>
      <c r="I941" t="s">
        <v>481</v>
      </c>
      <c r="J941" t="s">
        <v>486</v>
      </c>
      <c r="K941" t="s">
        <v>525</v>
      </c>
      <c r="L941" t="s">
        <v>589</v>
      </c>
      <c r="M941" t="s">
        <v>618</v>
      </c>
      <c r="N941" t="s">
        <v>601</v>
      </c>
    </row>
    <row r="942" spans="1:14" x14ac:dyDescent="0.25">
      <c r="A942" t="s">
        <v>14</v>
      </c>
      <c r="B942" t="s">
        <v>132</v>
      </c>
      <c r="C942" t="s">
        <v>273</v>
      </c>
      <c r="D942" t="s">
        <v>424</v>
      </c>
      <c r="F942" t="s">
        <v>443</v>
      </c>
      <c r="G942" t="str">
        <f>HYPERLINK("https://ca.linkedin.com/jobs/view/data-analyst-at-fasken-3365947704?refId=3zdQf88B2BvHiEyGZzJOMw%3D%3D&amp;trackingId=Ts6%2BcHwQnwMnhdwCxVMIYg%3D%3D&amp;position=16&amp;pageNum=0&amp;trk=public_jobs_jserp-result_search-card", "Job Link")</f>
        <v>Job Link</v>
      </c>
      <c r="H942" t="s">
        <v>476</v>
      </c>
      <c r="I942" t="s">
        <v>481</v>
      </c>
      <c r="J942" t="s">
        <v>486</v>
      </c>
      <c r="K942" t="s">
        <v>526</v>
      </c>
      <c r="L942" t="s">
        <v>590</v>
      </c>
      <c r="M942" t="s">
        <v>618</v>
      </c>
      <c r="N942" t="s">
        <v>601</v>
      </c>
    </row>
    <row r="943" spans="1:14" x14ac:dyDescent="0.25">
      <c r="A943" t="s">
        <v>14</v>
      </c>
      <c r="B943" t="s">
        <v>133</v>
      </c>
      <c r="C943" t="s">
        <v>274</v>
      </c>
      <c r="D943" t="s">
        <v>424</v>
      </c>
      <c r="F943" t="s">
        <v>434</v>
      </c>
      <c r="G943" t="str">
        <f>HYPERLINK("https://ca.linkedin.com/jobs/view/data-analyst-at-momentum-financial-services-group-3355811523?refId=3zdQf88B2BvHiEyGZzJOMw%3D%3D&amp;trackingId=fC%2B%2FQlJrQ5yi4wLNk43u%2Bw%3D%3D&amp;position=17&amp;pageNum=0&amp;trk=public_jobs_jserp-result_search-card", "Job Link")</f>
        <v>Job Link</v>
      </c>
      <c r="H943" t="s">
        <v>476</v>
      </c>
      <c r="I943" t="s">
        <v>481</v>
      </c>
      <c r="J943" t="s">
        <v>486</v>
      </c>
      <c r="K943" t="s">
        <v>527</v>
      </c>
      <c r="L943" t="s">
        <v>582</v>
      </c>
      <c r="M943" t="s">
        <v>588</v>
      </c>
      <c r="N943" t="s">
        <v>601</v>
      </c>
    </row>
    <row r="944" spans="1:14" x14ac:dyDescent="0.25">
      <c r="A944" t="s">
        <v>14</v>
      </c>
      <c r="B944" t="s">
        <v>134</v>
      </c>
      <c r="C944" t="s">
        <v>275</v>
      </c>
      <c r="D944" t="s">
        <v>424</v>
      </c>
      <c r="F944" t="s">
        <v>444</v>
      </c>
      <c r="G944" t="str">
        <f>HYPERLINK("https://ca.linkedin.com/jobs/view/data-analyst-at-tes-the-employment-solution-3322589522?refId=3zdQf88B2BvHiEyGZzJOMw%3D%3D&amp;trackingId=MlCdgox2jks6J6M3pAGdEA%3D%3D&amp;position=18&amp;pageNum=0&amp;trk=public_jobs_jserp-result_search-card", "Job Link")</f>
        <v>Job Link</v>
      </c>
      <c r="H944" t="s">
        <v>476</v>
      </c>
      <c r="I944" t="s">
        <v>483</v>
      </c>
      <c r="J944" t="s">
        <v>486</v>
      </c>
      <c r="K944" t="s">
        <v>525</v>
      </c>
      <c r="L944" t="s">
        <v>591</v>
      </c>
      <c r="M944" t="s">
        <v>588</v>
      </c>
      <c r="N944" t="s">
        <v>601</v>
      </c>
    </row>
    <row r="945" spans="1:14" x14ac:dyDescent="0.25">
      <c r="A945" t="s">
        <v>14</v>
      </c>
      <c r="B945" t="s">
        <v>135</v>
      </c>
      <c r="C945" t="s">
        <v>276</v>
      </c>
      <c r="D945" t="s">
        <v>424</v>
      </c>
      <c r="F945" t="s">
        <v>440</v>
      </c>
      <c r="G945" t="str">
        <f>HYPERLINK("https://ca.linkedin.com/jobs/view/data-analyst-at-magna-international-3370822450?refId=3zdQf88B2BvHiEyGZzJOMw%3D%3D&amp;trackingId=N%2FSAmKmYHtpXvD97p2lNyQ%3D%3D&amp;position=19&amp;pageNum=0&amp;trk=public_jobs_jserp-result_search-card", "Job Link")</f>
        <v>Job Link</v>
      </c>
      <c r="H945" t="s">
        <v>476</v>
      </c>
      <c r="I945" t="s">
        <v>481</v>
      </c>
      <c r="J945" t="s">
        <v>488</v>
      </c>
      <c r="K945" t="s">
        <v>528</v>
      </c>
      <c r="L945" t="s">
        <v>592</v>
      </c>
      <c r="M945" t="s">
        <v>588</v>
      </c>
      <c r="N945" t="s">
        <v>601</v>
      </c>
    </row>
    <row r="946" spans="1:14" x14ac:dyDescent="0.25">
      <c r="A946" t="s">
        <v>14</v>
      </c>
      <c r="B946" t="s">
        <v>128</v>
      </c>
      <c r="C946" t="s">
        <v>277</v>
      </c>
      <c r="D946" t="s">
        <v>424</v>
      </c>
      <c r="F946" t="s">
        <v>439</v>
      </c>
      <c r="G946" t="str">
        <f>HYPERLINK("https://ca.linkedin.com/jobs/view/data-analyst-at-diverse-lynx-3363374746?refId=3zdQf88B2BvHiEyGZzJOMw%3D%3D&amp;trackingId=qXT1DiGLsm852YndGNWm6A%3D%3D&amp;position=20&amp;pageNum=0&amp;trk=public_jobs_jserp-result_search-card", "Job Link")</f>
        <v>Job Link</v>
      </c>
      <c r="H946" t="s">
        <v>476</v>
      </c>
      <c r="I946" t="s">
        <v>481</v>
      </c>
      <c r="J946" t="s">
        <v>486</v>
      </c>
      <c r="K946" t="s">
        <v>516</v>
      </c>
      <c r="L946" t="s">
        <v>586</v>
      </c>
      <c r="M946" t="s">
        <v>617</v>
      </c>
      <c r="N946" t="s">
        <v>601</v>
      </c>
    </row>
    <row r="947" spans="1:14" x14ac:dyDescent="0.25">
      <c r="A947" t="s">
        <v>19</v>
      </c>
      <c r="B947" t="s">
        <v>136</v>
      </c>
      <c r="C947" t="s">
        <v>278</v>
      </c>
      <c r="D947" t="s">
        <v>424</v>
      </c>
      <c r="F947" t="s">
        <v>445</v>
      </c>
      <c r="G947" t="str">
        <f>HYPERLINK("https://ca.linkedin.com/jobs/view/data-analyst-operations-at-sonder-inc-3229442908?refId=3zdQf88B2BvHiEyGZzJOMw%3D%3D&amp;trackingId=z18y8oVofpZsYNDacVwypw%3D%3D&amp;position=21&amp;pageNum=0&amp;trk=public_jobs_jserp-result_search-card", "Job Link")</f>
        <v>Job Link</v>
      </c>
      <c r="H947" t="s">
        <v>476</v>
      </c>
      <c r="I947" t="s">
        <v>481</v>
      </c>
      <c r="J947" t="s">
        <v>486</v>
      </c>
      <c r="K947" t="s">
        <v>529</v>
      </c>
      <c r="L947" t="s">
        <v>582</v>
      </c>
      <c r="M947" t="s">
        <v>588</v>
      </c>
      <c r="N947" t="s">
        <v>601</v>
      </c>
    </row>
    <row r="948" spans="1:14" x14ac:dyDescent="0.25">
      <c r="A948" t="s">
        <v>20</v>
      </c>
      <c r="B948" t="s">
        <v>137</v>
      </c>
      <c r="C948" t="s">
        <v>279</v>
      </c>
      <c r="D948" t="s">
        <v>424</v>
      </c>
      <c r="F948" t="s">
        <v>446</v>
      </c>
      <c r="G948" t="str">
        <f>HYPERLINK("https://ca.linkedin.com/jobs/view/senior-data-analyst-at-mueller-water-products-3122544636?refId=3zdQf88B2BvHiEyGZzJOMw%3D%3D&amp;trackingId=cL1oorvP%2FhaPIaOsEHmHsA%3D%3D&amp;position=22&amp;pageNum=0&amp;trk=public_jobs_jserp-result_search-card", "Job Link")</f>
        <v>Job Link</v>
      </c>
      <c r="H948" t="s">
        <v>478</v>
      </c>
      <c r="I948" t="s">
        <v>481</v>
      </c>
      <c r="J948" t="s">
        <v>486</v>
      </c>
      <c r="K948" t="s">
        <v>530</v>
      </c>
      <c r="L948" t="s">
        <v>582</v>
      </c>
      <c r="M948" t="s">
        <v>588</v>
      </c>
      <c r="N948" t="s">
        <v>601</v>
      </c>
    </row>
    <row r="949" spans="1:14" x14ac:dyDescent="0.25">
      <c r="A949" t="s">
        <v>14</v>
      </c>
      <c r="B949" t="s">
        <v>140</v>
      </c>
      <c r="C949" t="s">
        <v>282</v>
      </c>
      <c r="D949" t="s">
        <v>424</v>
      </c>
      <c r="F949" t="s">
        <v>440</v>
      </c>
      <c r="G949" t="str">
        <f>HYPERLINK("https://ca.linkedin.com/jobs/view/data-analyst-at-scotiabank-3365406993?refId=3zdQf88B2BvHiEyGZzJOMw%3D%3D&amp;trackingId=y6Gj7nbcooTXofCh4OPdbQ%3D%3D&amp;position=23&amp;pageNum=0&amp;trk=public_jobs_jserp-result_search-card", "Job Link")</f>
        <v>Job Link</v>
      </c>
      <c r="H949" t="s">
        <v>479</v>
      </c>
      <c r="I949" t="s">
        <v>481</v>
      </c>
      <c r="J949" t="s">
        <v>486</v>
      </c>
      <c r="K949" t="s">
        <v>533</v>
      </c>
      <c r="L949" t="s">
        <v>582</v>
      </c>
      <c r="M949" t="s">
        <v>588</v>
      </c>
      <c r="N949" t="s">
        <v>601</v>
      </c>
    </row>
    <row r="950" spans="1:14" x14ac:dyDescent="0.25">
      <c r="A950" t="s">
        <v>21</v>
      </c>
      <c r="B950" t="s">
        <v>138</v>
      </c>
      <c r="C950" t="s">
        <v>280</v>
      </c>
      <c r="D950" t="s">
        <v>424</v>
      </c>
      <c r="F950" t="s">
        <v>447</v>
      </c>
      <c r="G950" t="str">
        <f>HYPERLINK("https://ca.linkedin.com/jobs/view/data-entry-jr-analyst-6-month-contract-at-csl-group-ltd-3323214993?refId=3zdQf88B2BvHiEyGZzJOMw%3D%3D&amp;trackingId=hK%2FJm9v%2F31F1nfxsfaS2gg%3D%3D&amp;position=24&amp;pageNum=0&amp;trk=public_jobs_jserp-result_search-card", "Job Link")</f>
        <v>Job Link</v>
      </c>
      <c r="H950" t="s">
        <v>476</v>
      </c>
      <c r="I950" t="s">
        <v>484</v>
      </c>
      <c r="J950" t="s">
        <v>489</v>
      </c>
      <c r="K950" t="s">
        <v>531</v>
      </c>
      <c r="L950" t="s">
        <v>593</v>
      </c>
      <c r="M950" t="s">
        <v>588</v>
      </c>
      <c r="N950" t="s">
        <v>601</v>
      </c>
    </row>
    <row r="951" spans="1:14" x14ac:dyDescent="0.25">
      <c r="A951" t="s">
        <v>22</v>
      </c>
      <c r="B951" t="s">
        <v>139</v>
      </c>
      <c r="C951" t="s">
        <v>281</v>
      </c>
      <c r="D951" t="s">
        <v>424</v>
      </c>
      <c r="F951" t="s">
        <v>435</v>
      </c>
      <c r="G951" t="str">
        <f>HYPERLINK("https://ca.linkedin.com/jobs/view/quality-data-analyst-at-lululemon-3341634874?refId=3zdQf88B2BvHiEyGZzJOMw%3D%3D&amp;trackingId=C0tjcfpuu25iEd8iRy64fQ%3D%3D&amp;position=25&amp;pageNum=0&amp;trk=public_jobs_jserp-result_search-card", "Job Link")</f>
        <v>Job Link</v>
      </c>
      <c r="H951" t="s">
        <v>476</v>
      </c>
      <c r="I951" t="s">
        <v>481</v>
      </c>
      <c r="J951" t="s">
        <v>486</v>
      </c>
      <c r="K951" t="s">
        <v>532</v>
      </c>
      <c r="L951" t="s">
        <v>590</v>
      </c>
      <c r="M951" t="s">
        <v>618</v>
      </c>
      <c r="N951" t="s">
        <v>601</v>
      </c>
    </row>
    <row r="952" spans="1:14" x14ac:dyDescent="0.25">
      <c r="A952" t="s">
        <v>23</v>
      </c>
      <c r="B952" t="s">
        <v>141</v>
      </c>
      <c r="C952" t="s">
        <v>285</v>
      </c>
      <c r="D952" t="s">
        <v>424</v>
      </c>
      <c r="F952" t="s">
        <v>440</v>
      </c>
      <c r="G952" t="str">
        <f>HYPERLINK("https://ca.linkedin.com/jobs/view/data-governance-analyst-at-canada-life-3355035791?refId=si%2FJN4O0s8WEIFoGAcL8fQ%3D%3D&amp;trackingId=K8F%2FaCDf8zYAtROO%2BWeJJA%3D%3D&amp;position=1&amp;pageNum=0&amp;trk=public_jobs_jserp-result_search-card", "Job Link")</f>
        <v>Job Link</v>
      </c>
      <c r="H952" t="s">
        <v>479</v>
      </c>
      <c r="I952" t="s">
        <v>481</v>
      </c>
      <c r="J952" t="s">
        <v>486</v>
      </c>
      <c r="K952" t="s">
        <v>534</v>
      </c>
      <c r="L952" t="s">
        <v>582</v>
      </c>
      <c r="M952" t="s">
        <v>588</v>
      </c>
      <c r="N952" t="s">
        <v>601</v>
      </c>
    </row>
    <row r="953" spans="1:14" x14ac:dyDescent="0.25">
      <c r="A953" t="s">
        <v>24</v>
      </c>
      <c r="B953" t="s">
        <v>142</v>
      </c>
      <c r="C953" t="s">
        <v>286</v>
      </c>
      <c r="D953" t="s">
        <v>424</v>
      </c>
      <c r="F953" t="s">
        <v>430</v>
      </c>
      <c r="G953" t="str">
        <f>HYPERLINK("https://ca.linkedin.com/jobs/view/quantitative-data-intern-at-ts-imagine-3364629448?refId=si%2FJN4O0s8WEIFoGAcL8fQ%3D%3D&amp;trackingId=EAa9zEiL4xWiyGxAtk%2BfWg%3D%3D&amp;position=2&amp;pageNum=0&amp;trk=public_jobs_jserp-result_search-card", "Job Link")</f>
        <v>Job Link</v>
      </c>
      <c r="H953" t="s">
        <v>480</v>
      </c>
      <c r="I953" t="s">
        <v>480</v>
      </c>
      <c r="J953" t="s">
        <v>486</v>
      </c>
      <c r="K953" t="s">
        <v>527</v>
      </c>
      <c r="L953" t="s">
        <v>586</v>
      </c>
      <c r="M953" t="s">
        <v>617</v>
      </c>
      <c r="N953" t="s">
        <v>601</v>
      </c>
    </row>
    <row r="954" spans="1:14" x14ac:dyDescent="0.25">
      <c r="A954" t="s">
        <v>14</v>
      </c>
      <c r="B954" t="s">
        <v>135</v>
      </c>
      <c r="C954" t="s">
        <v>276</v>
      </c>
      <c r="D954" t="s">
        <v>424</v>
      </c>
      <c r="F954" t="s">
        <v>440</v>
      </c>
      <c r="G954" t="str">
        <f>HYPERLINK("https://ca.linkedin.com/jobs/view/data-analyst-at-magna-international-3370822450?refId=si%2FJN4O0s8WEIFoGAcL8fQ%3D%3D&amp;trackingId=c0P4m0pMtk7MglxZyLHtGw%3D%3D&amp;position=3&amp;pageNum=0&amp;trk=public_jobs_jserp-result_search-card", "Job Link")</f>
        <v>Job Link</v>
      </c>
      <c r="H954" t="s">
        <v>476</v>
      </c>
      <c r="I954" t="s">
        <v>481</v>
      </c>
      <c r="J954" t="s">
        <v>488</v>
      </c>
      <c r="K954" t="s">
        <v>528</v>
      </c>
      <c r="L954" t="s">
        <v>592</v>
      </c>
      <c r="M954" t="s">
        <v>588</v>
      </c>
      <c r="N954" t="s">
        <v>601</v>
      </c>
    </row>
    <row r="955" spans="1:14" x14ac:dyDescent="0.25">
      <c r="A955" t="s">
        <v>14</v>
      </c>
      <c r="B955" t="s">
        <v>131</v>
      </c>
      <c r="C955" t="s">
        <v>272</v>
      </c>
      <c r="D955" t="s">
        <v>424</v>
      </c>
      <c r="F955" t="s">
        <v>442</v>
      </c>
      <c r="G955" t="str">
        <f>HYPERLINK("https://ca.linkedin.com/jobs/view/data-analyst-at-westland-insurance-group-ltd-3345807760?refId=si%2FJN4O0s8WEIFoGAcL8fQ%3D%3D&amp;trackingId=hNPFAqxg9Q3FecUppIZSUw%3D%3D&amp;position=4&amp;pageNum=0&amp;trk=public_jobs_jserp-result_search-card", "Job Link")</f>
        <v>Job Link</v>
      </c>
      <c r="H955" t="s">
        <v>476</v>
      </c>
      <c r="I955" t="s">
        <v>481</v>
      </c>
      <c r="J955" t="s">
        <v>486</v>
      </c>
      <c r="K955" t="s">
        <v>525</v>
      </c>
      <c r="L955" t="s">
        <v>589</v>
      </c>
      <c r="M955" t="s">
        <v>618</v>
      </c>
      <c r="N955" t="s">
        <v>601</v>
      </c>
    </row>
    <row r="956" spans="1:14" x14ac:dyDescent="0.25">
      <c r="A956" t="s">
        <v>20</v>
      </c>
      <c r="B956" t="s">
        <v>143</v>
      </c>
      <c r="C956" t="s">
        <v>287</v>
      </c>
      <c r="D956" t="s">
        <v>424</v>
      </c>
      <c r="F956" t="s">
        <v>448</v>
      </c>
      <c r="G956" t="str">
        <f>HYPERLINK("https://ca.linkedin.com/jobs/view/senior-data-analyst-at-zortech-solutions-3277942907?refId=si%2FJN4O0s8WEIFoGAcL8fQ%3D%3D&amp;trackingId=zw%2FK7UeHx1bdBQEnqkixWg%3D%3D&amp;position=5&amp;pageNum=0&amp;trk=public_jobs_jserp-result_search-card", "Job Link")</f>
        <v>Job Link</v>
      </c>
      <c r="H956" t="s">
        <v>478</v>
      </c>
      <c r="I956" t="s">
        <v>483</v>
      </c>
      <c r="J956" t="s">
        <v>486</v>
      </c>
      <c r="K956" t="s">
        <v>535</v>
      </c>
      <c r="L956" t="s">
        <v>582</v>
      </c>
      <c r="M956" t="s">
        <v>588</v>
      </c>
      <c r="N956" t="s">
        <v>601</v>
      </c>
    </row>
    <row r="957" spans="1:14" x14ac:dyDescent="0.25">
      <c r="A957" t="s">
        <v>25</v>
      </c>
      <c r="B957" t="s">
        <v>142</v>
      </c>
      <c r="C957" t="s">
        <v>288</v>
      </c>
      <c r="D957" t="s">
        <v>424</v>
      </c>
      <c r="F957" t="s">
        <v>449</v>
      </c>
      <c r="G957" t="str">
        <f>HYPERLINK("https://ca.linkedin.com/jobs/view/data-entry-analyst-risk-at-ts-imagine-3364631105?refId=si%2FJN4O0s8WEIFoGAcL8fQ%3D%3D&amp;trackingId=nhfGeGb%2BTjohLG6fXkyPBg%3D%3D&amp;position=6&amp;pageNum=0&amp;trk=public_jobs_jserp-result_search-card", "Job Link")</f>
        <v>Job Link</v>
      </c>
      <c r="H957" t="s">
        <v>476</v>
      </c>
      <c r="I957" t="s">
        <v>481</v>
      </c>
      <c r="J957" t="s">
        <v>486</v>
      </c>
      <c r="K957" t="s">
        <v>527</v>
      </c>
      <c r="L957" t="s">
        <v>586</v>
      </c>
      <c r="M957" t="s">
        <v>617</v>
      </c>
      <c r="N957" t="s">
        <v>601</v>
      </c>
    </row>
    <row r="958" spans="1:14" x14ac:dyDescent="0.25">
      <c r="A958" t="s">
        <v>26</v>
      </c>
      <c r="B958" t="s">
        <v>144</v>
      </c>
      <c r="C958" t="s">
        <v>289</v>
      </c>
      <c r="D958" t="s">
        <v>424</v>
      </c>
      <c r="F958" t="s">
        <v>450</v>
      </c>
      <c r="G958" t="str">
        <f>HYPERLINK("https://ca.linkedin.com/jobs/view/analyste-bi-at-levio-3340013242?refId=si%2FJN4O0s8WEIFoGAcL8fQ%3D%3D&amp;trackingId=rgcEKSbxoczRv9PDoeS7Yg%3D%3D&amp;position=7&amp;pageNum=0&amp;trk=public_jobs_jserp-result_search-card", "Job Link")</f>
        <v>Job Link</v>
      </c>
      <c r="H958" t="s">
        <v>477</v>
      </c>
      <c r="I958" t="s">
        <v>481</v>
      </c>
      <c r="J958" t="s">
        <v>486</v>
      </c>
      <c r="K958" t="s">
        <v>521</v>
      </c>
      <c r="L958" t="s">
        <v>586</v>
      </c>
      <c r="M958" t="s">
        <v>617</v>
      </c>
      <c r="N958" t="s">
        <v>601</v>
      </c>
    </row>
    <row r="959" spans="1:14" x14ac:dyDescent="0.25">
      <c r="A959" t="s">
        <v>27</v>
      </c>
      <c r="B959" t="s">
        <v>128</v>
      </c>
      <c r="C959" t="s">
        <v>290</v>
      </c>
      <c r="D959" t="s">
        <v>424</v>
      </c>
      <c r="F959" t="s">
        <v>439</v>
      </c>
      <c r="G959" t="str">
        <f>HYPERLINK("https://ca.linkedin.com/jobs/view/sr-data-analyst-at-diverse-lynx-3365317558?refId=si%2FJN4O0s8WEIFoGAcL8fQ%3D%3D&amp;trackingId=Kor04043x6Nzf%2Ffw59Pc7w%3D%3D&amp;position=8&amp;pageNum=0&amp;trk=public_jobs_jserp-result_search-card", "Job Link")</f>
        <v>Job Link</v>
      </c>
      <c r="H959" t="s">
        <v>478</v>
      </c>
      <c r="I959" t="s">
        <v>481</v>
      </c>
      <c r="J959" t="s">
        <v>486</v>
      </c>
      <c r="K959" t="s">
        <v>516</v>
      </c>
      <c r="L959" t="s">
        <v>582</v>
      </c>
      <c r="M959" t="s">
        <v>588</v>
      </c>
      <c r="N959" t="s">
        <v>601</v>
      </c>
    </row>
    <row r="960" spans="1:14" x14ac:dyDescent="0.25">
      <c r="A960" t="s">
        <v>28</v>
      </c>
      <c r="B960" t="s">
        <v>123</v>
      </c>
      <c r="C960" t="s">
        <v>291</v>
      </c>
      <c r="D960" t="s">
        <v>424</v>
      </c>
      <c r="F960" t="s">
        <v>434</v>
      </c>
      <c r="G960" t="str">
        <f>HYPERLINK("https://ca.linkedin.com/jobs/view/it-data-analyst-sql-banking-finance-at-citi-3297241644?refId=si%2FJN4O0s8WEIFoGAcL8fQ%3D%3D&amp;trackingId=8gQLK%2FbI0HY7dQsBxH9ylw%3D%3D&amp;position=9&amp;pageNum=0&amp;trk=public_jobs_jserp-result_search-card", "Job Link")</f>
        <v>Job Link</v>
      </c>
      <c r="H960" t="s">
        <v>479</v>
      </c>
      <c r="I960" t="s">
        <v>481</v>
      </c>
      <c r="J960" t="s">
        <v>486</v>
      </c>
      <c r="K960" t="s">
        <v>519</v>
      </c>
      <c r="L960" t="s">
        <v>584</v>
      </c>
      <c r="M960" t="s">
        <v>588</v>
      </c>
      <c r="N960" t="s">
        <v>601</v>
      </c>
    </row>
    <row r="961" spans="1:14" x14ac:dyDescent="0.25">
      <c r="A961" t="s">
        <v>14</v>
      </c>
      <c r="B961" t="s">
        <v>128</v>
      </c>
      <c r="C961" t="s">
        <v>277</v>
      </c>
      <c r="D961" t="s">
        <v>424</v>
      </c>
      <c r="F961" t="s">
        <v>439</v>
      </c>
      <c r="G961" t="str">
        <f>HYPERLINK("https://ca.linkedin.com/jobs/view/data-analyst-at-diverse-lynx-3363374746?refId=si%2FJN4O0s8WEIFoGAcL8fQ%3D%3D&amp;trackingId=13n8r5AyT5s2zJmwFG4FnQ%3D%3D&amp;position=10&amp;pageNum=0&amp;trk=public_jobs_jserp-result_search-card", "Job Link")</f>
        <v>Job Link</v>
      </c>
      <c r="H961" t="s">
        <v>476</v>
      </c>
      <c r="I961" t="s">
        <v>481</v>
      </c>
      <c r="J961" t="s">
        <v>486</v>
      </c>
      <c r="K961" t="s">
        <v>516</v>
      </c>
      <c r="L961" t="s">
        <v>586</v>
      </c>
      <c r="M961" t="s">
        <v>617</v>
      </c>
      <c r="N961" t="s">
        <v>601</v>
      </c>
    </row>
    <row r="962" spans="1:14" x14ac:dyDescent="0.25">
      <c r="A962" t="s">
        <v>29</v>
      </c>
      <c r="B962" t="s">
        <v>145</v>
      </c>
      <c r="C962" t="s">
        <v>292</v>
      </c>
      <c r="D962" t="s">
        <v>424</v>
      </c>
      <c r="F962" t="s">
        <v>451</v>
      </c>
      <c r="G962" t="str">
        <f>HYPERLINK("https://ca.linkedin.com/jobs/view/sr-market-data-analyst-at-lightbox-3339175573?refId=si%2FJN4O0s8WEIFoGAcL8fQ%3D%3D&amp;trackingId=c4ToyZEqjMFKnrpVIMLevg%3D%3D&amp;position=11&amp;pageNum=0&amp;trk=public_jobs_jserp-result_search-card", "Job Link")</f>
        <v>Job Link</v>
      </c>
      <c r="H962" t="s">
        <v>478</v>
      </c>
      <c r="I962" t="s">
        <v>481</v>
      </c>
      <c r="J962" t="s">
        <v>486</v>
      </c>
      <c r="K962" t="s">
        <v>536</v>
      </c>
      <c r="L962" t="s">
        <v>595</v>
      </c>
      <c r="M962" t="s">
        <v>588</v>
      </c>
      <c r="N962" t="s">
        <v>601</v>
      </c>
    </row>
    <row r="963" spans="1:14" x14ac:dyDescent="0.25">
      <c r="A963" t="s">
        <v>30</v>
      </c>
      <c r="B963" t="s">
        <v>141</v>
      </c>
      <c r="C963" t="s">
        <v>293</v>
      </c>
      <c r="D963" t="s">
        <v>424</v>
      </c>
      <c r="F963" t="s">
        <v>452</v>
      </c>
      <c r="G963" t="str">
        <f>HYPERLINK("https://ca.linkedin.com/jobs/view/market-conduct-data-analyst-4-month-co-op-at-canada-life-3362624837?refId=si%2FJN4O0s8WEIFoGAcL8fQ%3D%3D&amp;trackingId=Fg62vM1gMiYg%2BhivvZ%2BqyQ%3D%3D&amp;position=12&amp;pageNum=0&amp;trk=public_jobs_jserp-result_search-card", "Job Link")</f>
        <v>Job Link</v>
      </c>
      <c r="H963" t="s">
        <v>478</v>
      </c>
      <c r="I963" t="s">
        <v>481</v>
      </c>
      <c r="J963" t="s">
        <v>486</v>
      </c>
      <c r="K963" t="s">
        <v>523</v>
      </c>
      <c r="L963" t="s">
        <v>596</v>
      </c>
      <c r="M963" t="s">
        <v>588</v>
      </c>
      <c r="N963" t="s">
        <v>601</v>
      </c>
    </row>
    <row r="964" spans="1:14" x14ac:dyDescent="0.25">
      <c r="A964" t="s">
        <v>31</v>
      </c>
      <c r="B964" t="s">
        <v>128</v>
      </c>
      <c r="C964" t="s">
        <v>294</v>
      </c>
      <c r="D964" t="s">
        <v>424</v>
      </c>
      <c r="F964" t="s">
        <v>439</v>
      </c>
      <c r="G964" t="str">
        <f>HYPERLINK("https://ca.linkedin.com/jobs/view/data-analysts-at-diverse-lynx-3364905644?refId=si%2FJN4O0s8WEIFoGAcL8fQ%3D%3D&amp;trackingId=%2BH1Xplyt9MpBJRtrSeOpPQ%3D%3D&amp;position=13&amp;pageNum=0&amp;trk=public_jobs_jserp-result_search-card", "Job Link")</f>
        <v>Job Link</v>
      </c>
      <c r="H964" t="s">
        <v>476</v>
      </c>
      <c r="I964" t="s">
        <v>483</v>
      </c>
      <c r="J964" t="s">
        <v>486</v>
      </c>
      <c r="K964" t="s">
        <v>516</v>
      </c>
      <c r="L964" t="s">
        <v>582</v>
      </c>
      <c r="M964" t="s">
        <v>588</v>
      </c>
      <c r="N964" t="s">
        <v>601</v>
      </c>
    </row>
    <row r="965" spans="1:14" x14ac:dyDescent="0.25">
      <c r="A965" t="s">
        <v>32</v>
      </c>
      <c r="B965" t="s">
        <v>146</v>
      </c>
      <c r="C965" t="s">
        <v>295</v>
      </c>
      <c r="D965" t="s">
        <v>424</v>
      </c>
      <c r="F965" t="s">
        <v>440</v>
      </c>
      <c r="G965" t="str">
        <f>HYPERLINK("https://ca.linkedin.com/jobs/view/hr-data-analyst-at-gfl-environmental-inc-3365665909?refId=si%2FJN4O0s8WEIFoGAcL8fQ%3D%3D&amp;trackingId=a0cHA6AIBGYoUgkadKHSuQ%3D%3D&amp;position=14&amp;pageNum=0&amp;trk=public_jobs_jserp-result_search-card", "Job Link")</f>
        <v>Job Link</v>
      </c>
      <c r="H965" t="s">
        <v>477</v>
      </c>
      <c r="I965" t="s">
        <v>481</v>
      </c>
      <c r="J965" t="s">
        <v>490</v>
      </c>
      <c r="K965" t="s">
        <v>537</v>
      </c>
      <c r="L965" t="s">
        <v>597</v>
      </c>
      <c r="M965" t="s">
        <v>588</v>
      </c>
      <c r="N965" t="s">
        <v>601</v>
      </c>
    </row>
    <row r="966" spans="1:14" x14ac:dyDescent="0.25">
      <c r="A966" t="s">
        <v>20</v>
      </c>
      <c r="B966" t="s">
        <v>147</v>
      </c>
      <c r="C966" t="s">
        <v>296</v>
      </c>
      <c r="D966" t="s">
        <v>424</v>
      </c>
      <c r="F966" t="s">
        <v>453</v>
      </c>
      <c r="G966" t="str">
        <f>HYPERLINK("https://ca.linkedin.com/jobs/view/senior-data-analyst-at-dbrs-morningstar-3361244229?refId=si%2FJN4O0s8WEIFoGAcL8fQ%3D%3D&amp;trackingId=hM%2FdiWDQWzyEg23gTyXsUg%3D%3D&amp;position=15&amp;pageNum=0&amp;trk=public_jobs_jserp-result_search-card", "Job Link")</f>
        <v>Job Link</v>
      </c>
      <c r="H966" t="s">
        <v>478</v>
      </c>
      <c r="I966" t="s">
        <v>481</v>
      </c>
      <c r="J966" t="s">
        <v>486</v>
      </c>
      <c r="K966" t="s">
        <v>527</v>
      </c>
      <c r="L966" t="s">
        <v>582</v>
      </c>
      <c r="M966" t="s">
        <v>588</v>
      </c>
      <c r="N966" t="s">
        <v>601</v>
      </c>
    </row>
    <row r="967" spans="1:14" x14ac:dyDescent="0.25">
      <c r="A967" t="s">
        <v>33</v>
      </c>
      <c r="B967" t="s">
        <v>148</v>
      </c>
      <c r="C967" t="s">
        <v>297</v>
      </c>
      <c r="D967" t="s">
        <v>424</v>
      </c>
      <c r="F967" t="s">
        <v>437</v>
      </c>
      <c r="G967" t="str">
        <f>HYPERLINK("https://ca.linkedin.com/jobs/view/data-analyst-oracle-at-beachhead-3333722591?refId=si%2FJN4O0s8WEIFoGAcL8fQ%3D%3D&amp;trackingId=gJ6yRTT3DgiEhaaU3M1cSw%3D%3D&amp;position=16&amp;pageNum=0&amp;trk=public_jobs_jserp-result_search-card", "Job Link")</f>
        <v>Job Link</v>
      </c>
      <c r="H967" t="s">
        <v>476</v>
      </c>
      <c r="I967" t="s">
        <v>483</v>
      </c>
      <c r="J967" t="s">
        <v>486</v>
      </c>
      <c r="K967" t="s">
        <v>525</v>
      </c>
      <c r="L967" t="s">
        <v>598</v>
      </c>
      <c r="M967" t="s">
        <v>614</v>
      </c>
      <c r="N967" t="s">
        <v>601</v>
      </c>
    </row>
    <row r="968" spans="1:14" x14ac:dyDescent="0.25">
      <c r="A968" t="s">
        <v>34</v>
      </c>
      <c r="B968" t="s">
        <v>149</v>
      </c>
      <c r="C968" t="s">
        <v>298</v>
      </c>
      <c r="D968" t="s">
        <v>424</v>
      </c>
      <c r="F968" t="s">
        <v>437</v>
      </c>
      <c r="G968" t="str">
        <f>HYPERLINK("https://ca.linkedin.com/jobs/view/analyste-de-donn%C3%A9es-at-mindgeek-3365663973?refId=si%2FJN4O0s8WEIFoGAcL8fQ%3D%3D&amp;trackingId=7DqrI5GVVDdmmKWJORXU9A%3D%3D&amp;position=17&amp;pageNum=0&amp;trk=public_jobs_jserp-result_search-card", "Job Link")</f>
        <v>Job Link</v>
      </c>
      <c r="H968" t="s">
        <v>476</v>
      </c>
      <c r="I968" t="s">
        <v>481</v>
      </c>
      <c r="J968" t="s">
        <v>486</v>
      </c>
      <c r="K968" t="s">
        <v>538</v>
      </c>
      <c r="L968" t="s">
        <v>586</v>
      </c>
      <c r="M968" t="s">
        <v>617</v>
      </c>
      <c r="N968" t="s">
        <v>601</v>
      </c>
    </row>
    <row r="969" spans="1:14" x14ac:dyDescent="0.25">
      <c r="A969" t="s">
        <v>35</v>
      </c>
      <c r="B969" t="s">
        <v>150</v>
      </c>
      <c r="C969" t="s">
        <v>299</v>
      </c>
      <c r="D969" t="s">
        <v>424</v>
      </c>
      <c r="F969" t="s">
        <v>454</v>
      </c>
      <c r="G969" t="str">
        <f>HYPERLINK("https://ca.linkedin.com/jobs/view/data-analyst-%E2%80%93-loans-capital-markets-at-synechron-3341623029?refId=si%2FJN4O0s8WEIFoGAcL8fQ%3D%3D&amp;trackingId=7x0lz3YYx7BLx%2FizNobisA%3D%3D&amp;position=18&amp;pageNum=0&amp;trk=public_jobs_jserp-result_search-card", "Job Link")</f>
        <v>Job Link</v>
      </c>
      <c r="H969" t="s">
        <v>478</v>
      </c>
      <c r="I969" t="s">
        <v>483</v>
      </c>
      <c r="J969" t="s">
        <v>486</v>
      </c>
      <c r="K969" t="s">
        <v>539</v>
      </c>
      <c r="L969" t="s">
        <v>584</v>
      </c>
      <c r="M969" t="s">
        <v>588</v>
      </c>
      <c r="N969" t="s">
        <v>601</v>
      </c>
    </row>
    <row r="970" spans="1:14" x14ac:dyDescent="0.25">
      <c r="A970" t="s">
        <v>36</v>
      </c>
      <c r="B970" t="s">
        <v>151</v>
      </c>
      <c r="C970" t="s">
        <v>300</v>
      </c>
      <c r="D970" t="s">
        <v>424</v>
      </c>
      <c r="F970" t="s">
        <v>455</v>
      </c>
      <c r="G970" t="str">
        <f>HYPERLINK("https://ca.linkedin.com/jobs/view/data-specialist-at-enerkem-3348399448?refId=si%2FJN4O0s8WEIFoGAcL8fQ%3D%3D&amp;trackingId=6tYFHaSFgkYYjq%2F5XkQhwA%3D%3D&amp;position=19&amp;pageNum=0&amp;trk=public_jobs_jserp-result_search-card", "Job Link")</f>
        <v>Job Link</v>
      </c>
      <c r="H970" t="s">
        <v>478</v>
      </c>
      <c r="I970" t="s">
        <v>481</v>
      </c>
      <c r="J970" t="s">
        <v>486</v>
      </c>
      <c r="K970" t="s">
        <v>540</v>
      </c>
      <c r="L970" t="s">
        <v>586</v>
      </c>
      <c r="M970" t="s">
        <v>617</v>
      </c>
      <c r="N970" t="s">
        <v>601</v>
      </c>
    </row>
    <row r="971" spans="1:14" x14ac:dyDescent="0.25">
      <c r="A971" t="s">
        <v>39</v>
      </c>
      <c r="B971" t="s">
        <v>157</v>
      </c>
      <c r="C971" t="s">
        <v>306</v>
      </c>
      <c r="D971" t="s">
        <v>424</v>
      </c>
      <c r="F971" t="s">
        <v>442</v>
      </c>
      <c r="G971" t="str">
        <f>HYPERLINK("https://ca.linkedin.com/jobs/view/business-intelligence-analyst-at-resolver-a-kroll-business-3347013814?refId=si%2FJN4O0s8WEIFoGAcL8fQ%3D%3D&amp;trackingId=oHqO61n%2FYakA21hJX1B7BA%3D%3D&amp;position=20&amp;pageNum=0&amp;trk=public_jobs_jserp-result_search-card", "Job Link")</f>
        <v>Job Link</v>
      </c>
      <c r="H971" t="s">
        <v>478</v>
      </c>
      <c r="I971" t="s">
        <v>481</v>
      </c>
      <c r="J971" t="s">
        <v>492</v>
      </c>
      <c r="K971" t="s">
        <v>516</v>
      </c>
      <c r="L971" t="s">
        <v>582</v>
      </c>
      <c r="M971" t="s">
        <v>588</v>
      </c>
      <c r="N971" t="s">
        <v>601</v>
      </c>
    </row>
    <row r="972" spans="1:14" x14ac:dyDescent="0.25">
      <c r="A972" t="s">
        <v>14</v>
      </c>
      <c r="B972" t="s">
        <v>153</v>
      </c>
      <c r="C972" t="s">
        <v>302</v>
      </c>
      <c r="D972" t="s">
        <v>424</v>
      </c>
      <c r="F972" t="s">
        <v>456</v>
      </c>
      <c r="G972" t="str">
        <f>HYPERLINK("https://ca.linkedin.com/jobs/view/data-analyst-at-integrated-resources-inc-iri-3211617367?refId=si%2FJN4O0s8WEIFoGAcL8fQ%3D%3D&amp;trackingId=29pIwZfiWaP2jv38Sr89vA%3D%3D&amp;position=21&amp;pageNum=0&amp;trk=public_jobs_jserp-result_search-card", "Job Link")</f>
        <v>Job Link</v>
      </c>
      <c r="H972" t="s">
        <v>476</v>
      </c>
      <c r="I972" t="s">
        <v>483</v>
      </c>
      <c r="J972" t="s">
        <v>486</v>
      </c>
      <c r="K972" t="s">
        <v>518</v>
      </c>
      <c r="L972" t="s">
        <v>584</v>
      </c>
      <c r="M972" t="s">
        <v>588</v>
      </c>
      <c r="N972" t="s">
        <v>601</v>
      </c>
    </row>
    <row r="973" spans="1:14" x14ac:dyDescent="0.25">
      <c r="A973" t="s">
        <v>37</v>
      </c>
      <c r="B973" t="s">
        <v>154</v>
      </c>
      <c r="C973" t="s">
        <v>303</v>
      </c>
      <c r="D973" t="s">
        <v>424</v>
      </c>
      <c r="F973" t="s">
        <v>440</v>
      </c>
      <c r="G973" t="str">
        <f>HYPERLINK("https://ca.linkedin.com/jobs/view/data-engineer-at-brp-3370332609?refId=si%2FJN4O0s8WEIFoGAcL8fQ%3D%3D&amp;trackingId=1zgp4C2%2BeD0MvRnMSD3oiw%3D%3D&amp;position=22&amp;pageNum=0&amp;trk=public_jobs_jserp-result_search-card", "Job Link")</f>
        <v>Job Link</v>
      </c>
      <c r="H973" t="s">
        <v>476</v>
      </c>
      <c r="I973" t="s">
        <v>481</v>
      </c>
      <c r="J973" t="s">
        <v>486</v>
      </c>
      <c r="K973" t="s">
        <v>542</v>
      </c>
      <c r="L973" t="s">
        <v>599</v>
      </c>
    </row>
    <row r="974" spans="1:14" x14ac:dyDescent="0.25">
      <c r="A974" t="s">
        <v>14</v>
      </c>
      <c r="B974" t="s">
        <v>155</v>
      </c>
      <c r="C974" t="s">
        <v>304</v>
      </c>
      <c r="D974" t="s">
        <v>424</v>
      </c>
      <c r="F974" t="s">
        <v>437</v>
      </c>
      <c r="G974" t="str">
        <f>HYPERLINK("https://ca.linkedin.com/jobs/view/data-analyst-at-alstom-3368960192?refId=si%2FJN4O0s8WEIFoGAcL8fQ%3D%3D&amp;trackingId=gDkPqa%2BfbvSIMwzMVMpVgQ%3D%3D&amp;position=23&amp;pageNum=0&amp;trk=public_jobs_jserp-result_search-card", "Job Link")</f>
        <v>Job Link</v>
      </c>
      <c r="H974" t="s">
        <v>479</v>
      </c>
      <c r="I974" t="s">
        <v>485</v>
      </c>
      <c r="J974" t="s">
        <v>491</v>
      </c>
      <c r="K974" t="s">
        <v>543</v>
      </c>
      <c r="L974" t="s">
        <v>582</v>
      </c>
      <c r="M974" t="s">
        <v>588</v>
      </c>
      <c r="N974" t="s">
        <v>601</v>
      </c>
    </row>
    <row r="975" spans="1:14" x14ac:dyDescent="0.25">
      <c r="A975" t="s">
        <v>14</v>
      </c>
      <c r="B975" t="s">
        <v>128</v>
      </c>
      <c r="C975" t="s">
        <v>269</v>
      </c>
      <c r="D975" t="s">
        <v>424</v>
      </c>
      <c r="F975" t="s">
        <v>439</v>
      </c>
      <c r="G975" t="str">
        <f>HYPERLINK("https://ca.linkedin.com/jobs/view/data-analyst-at-diverse-lynx-3363377240?refId=si%2FJN4O0s8WEIFoGAcL8fQ%3D%3D&amp;trackingId=2tiBOELK3FfbmZjCvksfDA%3D%3D&amp;position=24&amp;pageNum=0&amp;trk=public_jobs_jserp-result_search-card", "Job Link")</f>
        <v>Job Link</v>
      </c>
      <c r="H975" t="s">
        <v>476</v>
      </c>
      <c r="I975" t="s">
        <v>481</v>
      </c>
      <c r="J975" t="s">
        <v>486</v>
      </c>
      <c r="K975" t="s">
        <v>516</v>
      </c>
      <c r="L975" t="s">
        <v>586</v>
      </c>
      <c r="M975" t="s">
        <v>617</v>
      </c>
      <c r="N975" t="s">
        <v>601</v>
      </c>
    </row>
    <row r="976" spans="1:14" x14ac:dyDescent="0.25">
      <c r="A976" t="s">
        <v>38</v>
      </c>
      <c r="B976" t="s">
        <v>156</v>
      </c>
      <c r="C976" t="s">
        <v>305</v>
      </c>
      <c r="D976" t="s">
        <v>424</v>
      </c>
      <c r="F976" t="s">
        <v>457</v>
      </c>
      <c r="G976" t="str">
        <f>HYPERLINK("https://ca.linkedin.com/jobs/view/data-analyst-contract-at-tundra-technical-solutions-3281771186?refId=si%2FJN4O0s8WEIFoGAcL8fQ%3D%3D&amp;trackingId=gSb8uIEPPiM7jICjAPXXWg%3D%3D&amp;position=25&amp;pageNum=0&amp;trk=public_jobs_jserp-result_search-card", "Job Link")</f>
        <v>Job Link</v>
      </c>
      <c r="H976" t="s">
        <v>478</v>
      </c>
      <c r="I976" t="s">
        <v>483</v>
      </c>
      <c r="J976" t="s">
        <v>486</v>
      </c>
      <c r="K976" t="s">
        <v>518</v>
      </c>
      <c r="L976" t="s">
        <v>600</v>
      </c>
      <c r="M976" t="s">
        <v>618</v>
      </c>
      <c r="N976" t="s">
        <v>601</v>
      </c>
    </row>
    <row r="977" spans="1:14" x14ac:dyDescent="0.25">
      <c r="A977" t="s">
        <v>14</v>
      </c>
      <c r="B977" t="s">
        <v>158</v>
      </c>
      <c r="C977" t="s">
        <v>307</v>
      </c>
      <c r="D977" t="s">
        <v>425</v>
      </c>
      <c r="F977" t="s">
        <v>430</v>
      </c>
      <c r="G977" t="str">
        <f>HYPERLINK("https://ca.linkedin.com/jobs/view/data-analyst-at-empire-life-3324608289?refId=JR%2BDd15a7eZmLCRhCrpFRA%3D%3D&amp;trackingId=4sqSVaL8st27aggmT1jWbg%3D%3D&amp;position=1&amp;pageNum=0&amp;trk=public_jobs_jserp-result_search-card", "Job Link")</f>
        <v>Job Link</v>
      </c>
      <c r="H977" t="s">
        <v>476</v>
      </c>
      <c r="I977" t="s">
        <v>481</v>
      </c>
      <c r="J977" t="s">
        <v>485</v>
      </c>
      <c r="K977" t="s">
        <v>523</v>
      </c>
      <c r="L977" t="s">
        <v>601</v>
      </c>
    </row>
    <row r="978" spans="1:14" x14ac:dyDescent="0.25">
      <c r="A978" t="s">
        <v>40</v>
      </c>
      <c r="B978" t="s">
        <v>159</v>
      </c>
      <c r="C978" t="s">
        <v>308</v>
      </c>
      <c r="D978" t="s">
        <v>425</v>
      </c>
      <c r="F978" t="s">
        <v>435</v>
      </c>
      <c r="G978" t="str">
        <f>HYPERLINK("https://ca.linkedin.com/jobs/view/data-visualization-developer-analyst-at-blue-boat-data-3335318133?refId=JR%2BDd15a7eZmLCRhCrpFRA%3D%3D&amp;trackingId=xrx4CjcTci5NHN4v1THmRQ%3D%3D&amp;position=2&amp;pageNum=0&amp;trk=public_jobs_jserp-result_search-card", "Job Link")</f>
        <v>Job Link</v>
      </c>
      <c r="I978" t="s">
        <v>483</v>
      </c>
      <c r="L978" t="s">
        <v>601</v>
      </c>
    </row>
    <row r="979" spans="1:14" x14ac:dyDescent="0.25">
      <c r="A979" t="s">
        <v>14</v>
      </c>
      <c r="B979" t="s">
        <v>160</v>
      </c>
      <c r="C979" t="s">
        <v>309</v>
      </c>
      <c r="D979" t="s">
        <v>425</v>
      </c>
      <c r="E979" t="s">
        <v>427</v>
      </c>
      <c r="F979" t="s">
        <v>458</v>
      </c>
      <c r="G979" t="str">
        <f>HYPERLINK("https://ca.linkedin.com/jobs/view/data-analyst-at-libitzky-property-companies-3314494593?refId=JR%2BDd15a7eZmLCRhCrpFRA%3D%3D&amp;trackingId=k6JhVPgEEoGq90fTniKHHw%3D%3D&amp;position=3&amp;pageNum=0&amp;trk=public_jobs_jserp-result_search-card", "Job Link")</f>
        <v>Job Link</v>
      </c>
      <c r="H979" t="s">
        <v>476</v>
      </c>
      <c r="I979" t="s">
        <v>481</v>
      </c>
      <c r="J979" t="s">
        <v>486</v>
      </c>
      <c r="K979" t="s">
        <v>516</v>
      </c>
      <c r="L979" t="s">
        <v>601</v>
      </c>
    </row>
    <row r="980" spans="1:14" x14ac:dyDescent="0.25">
      <c r="A980" t="s">
        <v>14</v>
      </c>
      <c r="B980" t="s">
        <v>161</v>
      </c>
      <c r="C980" t="s">
        <v>310</v>
      </c>
      <c r="D980" t="s">
        <v>425</v>
      </c>
      <c r="F980" t="s">
        <v>435</v>
      </c>
      <c r="G980" t="str">
        <f>HYPERLINK("https://ca.linkedin.com/jobs/view/data-analyst-at-spire-3340696458?refId=JR%2BDd15a7eZmLCRhCrpFRA%3D%3D&amp;trackingId=jwkXGevfVszn2AyULX5dgA%3D%3D&amp;position=4&amp;pageNum=0&amp;trk=public_jobs_jserp-result_search-card", "Job Link")</f>
        <v>Job Link</v>
      </c>
      <c r="H980" t="s">
        <v>476</v>
      </c>
      <c r="I980" t="s">
        <v>481</v>
      </c>
      <c r="J980" t="s">
        <v>486</v>
      </c>
      <c r="K980" t="s">
        <v>517</v>
      </c>
      <c r="L980" t="s">
        <v>602</v>
      </c>
      <c r="M980" t="s">
        <v>588</v>
      </c>
      <c r="N980" t="s">
        <v>601</v>
      </c>
    </row>
    <row r="981" spans="1:14" x14ac:dyDescent="0.25">
      <c r="A981" t="s">
        <v>14</v>
      </c>
      <c r="B981" t="s">
        <v>162</v>
      </c>
      <c r="C981" t="s">
        <v>311</v>
      </c>
      <c r="D981" t="s">
        <v>425</v>
      </c>
      <c r="F981" t="s">
        <v>434</v>
      </c>
      <c r="G981" t="str">
        <f>HYPERLINK("https://ca.linkedin.com/jobs/view/data-analyst-at-money-mart-financial-services-3361528052?refId=JR%2BDd15a7eZmLCRhCrpFRA%3D%3D&amp;trackingId=ONecCvgFm8eNMOG6KwME4Q%3D%3D&amp;position=5&amp;pageNum=0&amp;trk=public_jobs_jserp-result_search-card", "Job Link")</f>
        <v>Job Link</v>
      </c>
      <c r="H981" t="s">
        <v>477</v>
      </c>
      <c r="I981" t="s">
        <v>481</v>
      </c>
      <c r="J981" t="s">
        <v>488</v>
      </c>
      <c r="K981" t="s">
        <v>527</v>
      </c>
      <c r="L981" t="s">
        <v>582</v>
      </c>
      <c r="M981" t="s">
        <v>588</v>
      </c>
      <c r="N981" t="s">
        <v>601</v>
      </c>
    </row>
    <row r="982" spans="1:14" x14ac:dyDescent="0.25">
      <c r="A982" t="s">
        <v>14</v>
      </c>
      <c r="B982" t="s">
        <v>163</v>
      </c>
      <c r="C982" t="s">
        <v>312</v>
      </c>
      <c r="D982" t="s">
        <v>425</v>
      </c>
      <c r="F982" t="s">
        <v>443</v>
      </c>
      <c r="G982" t="str">
        <f>HYPERLINK("https://ca.linkedin.com/jobs/view/data-analyst-at-mojio-3363472062?refId=JR%2BDd15a7eZmLCRhCrpFRA%3D%3D&amp;trackingId=7bXHef7oO4VUQTd2b4e89w%3D%3D&amp;position=6&amp;pageNum=0&amp;trk=public_jobs_jserp-result_search-card", "Job Link")</f>
        <v>Job Link</v>
      </c>
      <c r="H982" t="s">
        <v>478</v>
      </c>
      <c r="I982" t="s">
        <v>481</v>
      </c>
      <c r="J982" t="s">
        <v>493</v>
      </c>
      <c r="K982" t="s">
        <v>544</v>
      </c>
      <c r="L982" t="s">
        <v>601</v>
      </c>
    </row>
    <row r="983" spans="1:14" x14ac:dyDescent="0.25">
      <c r="A983" t="s">
        <v>41</v>
      </c>
      <c r="B983" t="s">
        <v>164</v>
      </c>
      <c r="C983" t="s">
        <v>313</v>
      </c>
      <c r="D983" t="s">
        <v>425</v>
      </c>
      <c r="F983" t="s">
        <v>444</v>
      </c>
      <c r="G983" t="str">
        <f>HYPERLINK("https://ca.linkedin.com/jobs/view/product-data-analyst-at-pdftron-systems-inc-3322845144?refId=JR%2BDd15a7eZmLCRhCrpFRA%3D%3D&amp;trackingId=X8jXZKhSnO8NqBddtZ3cdQ%3D%3D&amp;position=7&amp;pageNum=0&amp;trk=public_jobs_jserp-result_search-card", "Job Link")</f>
        <v>Job Link</v>
      </c>
      <c r="H983" t="s">
        <v>479</v>
      </c>
      <c r="I983" t="s">
        <v>481</v>
      </c>
      <c r="J983" t="s">
        <v>487</v>
      </c>
      <c r="K983" t="s">
        <v>538</v>
      </c>
      <c r="L983" t="s">
        <v>590</v>
      </c>
      <c r="M983" t="s">
        <v>618</v>
      </c>
      <c r="N983" t="s">
        <v>601</v>
      </c>
    </row>
    <row r="984" spans="1:14" x14ac:dyDescent="0.25">
      <c r="A984" t="s">
        <v>42</v>
      </c>
      <c r="B984" t="s">
        <v>165</v>
      </c>
      <c r="C984" t="s">
        <v>314</v>
      </c>
      <c r="D984" t="s">
        <v>425</v>
      </c>
      <c r="F984" t="s">
        <v>459</v>
      </c>
      <c r="G984" t="str">
        <f>HYPERLINK("https://ca.linkedin.com/jobs/view/cognitive-data-analyst-at-wysdom-ai-3333087497?refId=JR%2BDd15a7eZmLCRhCrpFRA%3D%3D&amp;trackingId=PG6v2nWB4P%2FtnbV8v%2FFerw%3D%3D&amp;position=8&amp;pageNum=0&amp;trk=public_jobs_jserp-result_search-card", "Job Link")</f>
        <v>Job Link</v>
      </c>
      <c r="H984" t="s">
        <v>478</v>
      </c>
      <c r="I984" t="s">
        <v>481</v>
      </c>
      <c r="J984" t="s">
        <v>486</v>
      </c>
      <c r="K984" t="s">
        <v>516</v>
      </c>
      <c r="L984" t="s">
        <v>601</v>
      </c>
    </row>
    <row r="985" spans="1:14" x14ac:dyDescent="0.25">
      <c r="A985" t="s">
        <v>43</v>
      </c>
      <c r="B985" t="s">
        <v>166</v>
      </c>
      <c r="C985" t="s">
        <v>315</v>
      </c>
      <c r="D985" t="s">
        <v>425</v>
      </c>
      <c r="F985" t="s">
        <v>432</v>
      </c>
      <c r="G985" t="str">
        <f>HYPERLINK("https://ca.linkedin.com/jobs/view/data-analyst-operations-at-felix-3360946633?refId=JR%2BDd15a7eZmLCRhCrpFRA%3D%3D&amp;trackingId=%2BeY%2F%2FCx9n50YCLHsvMiReg%3D%3D&amp;position=9&amp;pageNum=0&amp;trk=public_jobs_jserp-result_search-card", "Job Link")</f>
        <v>Job Link</v>
      </c>
      <c r="I985" t="s">
        <v>481</v>
      </c>
      <c r="L985" t="s">
        <v>601</v>
      </c>
    </row>
    <row r="986" spans="1:14" x14ac:dyDescent="0.25">
      <c r="A986" t="s">
        <v>44</v>
      </c>
      <c r="B986" t="s">
        <v>167</v>
      </c>
      <c r="C986" t="s">
        <v>316</v>
      </c>
      <c r="D986" t="s">
        <v>425</v>
      </c>
      <c r="F986" t="s">
        <v>460</v>
      </c>
      <c r="G986" t="str">
        <f>HYPERLINK("https://ca.linkedin.com/jobs/view/data-analyst-marketing-at-thescore-3272474942?refId=JR%2BDd15a7eZmLCRhCrpFRA%3D%3D&amp;trackingId=9Ju3gYHcqWCAU5wGUOjPCA%3D%3D&amp;position=10&amp;pageNum=0&amp;trk=public_jobs_jserp-result_search-card", "Job Link")</f>
        <v>Job Link</v>
      </c>
      <c r="H986" t="s">
        <v>476</v>
      </c>
      <c r="I986" t="s">
        <v>481</v>
      </c>
      <c r="J986" t="s">
        <v>486</v>
      </c>
      <c r="K986" t="s">
        <v>545</v>
      </c>
      <c r="L986" t="s">
        <v>582</v>
      </c>
      <c r="M986" t="s">
        <v>588</v>
      </c>
      <c r="N986" t="s">
        <v>601</v>
      </c>
    </row>
    <row r="987" spans="1:14" x14ac:dyDescent="0.25">
      <c r="A987" t="s">
        <v>45</v>
      </c>
      <c r="B987" t="s">
        <v>168</v>
      </c>
      <c r="C987" t="s">
        <v>317</v>
      </c>
      <c r="D987" t="s">
        <v>425</v>
      </c>
      <c r="F987" t="s">
        <v>443</v>
      </c>
      <c r="G987" t="str">
        <f>HYPERLINK("https://ca.linkedin.com/jobs/view/senior-data-analyst-apac-marketplace-at-hopper-3363404929?refId=JR%2BDd15a7eZmLCRhCrpFRA%3D%3D&amp;trackingId=5UQBlPz%2FKk9hhVpl2SMgjg%3D%3D&amp;position=11&amp;pageNum=0&amp;trk=public_jobs_jserp-result_search-card", "Job Link")</f>
        <v>Job Link</v>
      </c>
      <c r="H987" t="s">
        <v>478</v>
      </c>
      <c r="I987" t="s">
        <v>485</v>
      </c>
      <c r="J987" t="s">
        <v>486</v>
      </c>
      <c r="K987" t="s">
        <v>538</v>
      </c>
      <c r="L987" t="s">
        <v>601</v>
      </c>
    </row>
    <row r="988" spans="1:14" x14ac:dyDescent="0.25">
      <c r="A988" t="s">
        <v>46</v>
      </c>
      <c r="B988" t="s">
        <v>169</v>
      </c>
      <c r="C988" t="s">
        <v>318</v>
      </c>
      <c r="D988" t="s">
        <v>425</v>
      </c>
      <c r="F988" t="s">
        <v>461</v>
      </c>
      <c r="G988" t="str">
        <f>HYPERLINK("https://ca.linkedin.com/jobs/view/senior-data-analyst-remote-at-insurance-supermarket-international-usa-3347334252?refId=JR%2BDd15a7eZmLCRhCrpFRA%3D%3D&amp;trackingId=CPdgLxLNPXRE52BKdJzO8g%3D%3D&amp;position=12&amp;pageNum=0&amp;trk=public_jobs_jserp-result_search-card", "Job Link")</f>
        <v>Job Link</v>
      </c>
      <c r="H988" t="s">
        <v>478</v>
      </c>
      <c r="I988" t="s">
        <v>481</v>
      </c>
      <c r="J988" t="s">
        <v>494</v>
      </c>
      <c r="K988" t="s">
        <v>546</v>
      </c>
      <c r="L988" t="s">
        <v>601</v>
      </c>
    </row>
    <row r="989" spans="1:14" x14ac:dyDescent="0.25">
      <c r="A989" t="s">
        <v>20</v>
      </c>
      <c r="B989" t="s">
        <v>170</v>
      </c>
      <c r="C989" t="s">
        <v>319</v>
      </c>
      <c r="D989" t="s">
        <v>425</v>
      </c>
      <c r="F989" t="s">
        <v>450</v>
      </c>
      <c r="G989" t="str">
        <f>HYPERLINK("https://ca.linkedin.com/jobs/view/senior-data-analyst-at-thinkific-3333572538?refId=JR%2BDd15a7eZmLCRhCrpFRA%3D%3D&amp;trackingId=LidDH2S84XXRkXFs15%2BiVg%3D%3D&amp;position=13&amp;pageNum=0&amp;trk=public_jobs_jserp-result_search-card", "Job Link")</f>
        <v>Job Link</v>
      </c>
      <c r="H989" t="s">
        <v>478</v>
      </c>
      <c r="I989" t="s">
        <v>481</v>
      </c>
      <c r="J989" t="s">
        <v>495</v>
      </c>
      <c r="K989" t="s">
        <v>547</v>
      </c>
      <c r="L989" t="s">
        <v>601</v>
      </c>
    </row>
    <row r="990" spans="1:14" x14ac:dyDescent="0.25">
      <c r="A990" t="s">
        <v>47</v>
      </c>
      <c r="B990" t="s">
        <v>171</v>
      </c>
      <c r="C990" t="s">
        <v>320</v>
      </c>
      <c r="D990" t="s">
        <v>425</v>
      </c>
      <c r="F990" t="s">
        <v>447</v>
      </c>
      <c r="G990" t="str">
        <f>HYPERLINK("https://ca.linkedin.com/jobs/view/insights-analyst-at-flashfood-3312876343?refId=JR%2BDd15a7eZmLCRhCrpFRA%3D%3D&amp;trackingId=KxIeAqm1My2%2FmSql2fxgdg%3D%3D&amp;position=14&amp;pageNum=0&amp;trk=public_jobs_jserp-result_search-card", "Job Link")</f>
        <v>Job Link</v>
      </c>
      <c r="I990" t="s">
        <v>481</v>
      </c>
      <c r="L990" t="s">
        <v>601</v>
      </c>
    </row>
    <row r="991" spans="1:14" x14ac:dyDescent="0.25">
      <c r="A991" t="s">
        <v>20</v>
      </c>
      <c r="B991" t="s">
        <v>172</v>
      </c>
      <c r="C991" t="s">
        <v>321</v>
      </c>
      <c r="D991" t="s">
        <v>425</v>
      </c>
      <c r="F991" t="s">
        <v>438</v>
      </c>
      <c r="G991" t="str">
        <f>HYPERLINK("https://ca.linkedin.com/jobs/view/senior-data-analyst-at-system1-3324728130?refId=JR%2BDd15a7eZmLCRhCrpFRA%3D%3D&amp;trackingId=MYpo2IpQZG1Kz9namtnukg%3D%3D&amp;position=15&amp;pageNum=0&amp;trk=public_jobs_jserp-result_search-card", "Job Link")</f>
        <v>Job Link</v>
      </c>
      <c r="H991" t="s">
        <v>478</v>
      </c>
      <c r="I991" t="s">
        <v>481</v>
      </c>
      <c r="J991" t="s">
        <v>486</v>
      </c>
      <c r="K991" t="s">
        <v>548</v>
      </c>
      <c r="L991" t="s">
        <v>587</v>
      </c>
      <c r="M991" t="s">
        <v>588</v>
      </c>
      <c r="N991" t="s">
        <v>601</v>
      </c>
    </row>
    <row r="992" spans="1:14" x14ac:dyDescent="0.25">
      <c r="A992" t="s">
        <v>48</v>
      </c>
      <c r="B992" t="s">
        <v>173</v>
      </c>
      <c r="C992" t="s">
        <v>322</v>
      </c>
      <c r="D992" t="s">
        <v>425</v>
      </c>
      <c r="F992" t="s">
        <v>462</v>
      </c>
      <c r="G992" t="str">
        <f>HYPERLINK("https://ca.linkedin.com/jobs/view/data-analyst-trilogy-remote-%2460-000-year-usd-at-crossover-3367086698?refId=JR%2BDd15a7eZmLCRhCrpFRA%3D%3D&amp;trackingId=pjIL0ULtH%2FKqBPr0dFvT1w%3D%3D&amp;position=16&amp;pageNum=0&amp;trk=public_jobs_jserp-result_search-card", "Job Link")</f>
        <v>Job Link</v>
      </c>
      <c r="H992" t="s">
        <v>477</v>
      </c>
      <c r="I992" t="s">
        <v>481</v>
      </c>
      <c r="J992" t="s">
        <v>496</v>
      </c>
      <c r="K992" t="s">
        <v>549</v>
      </c>
      <c r="L992" t="s">
        <v>582</v>
      </c>
      <c r="M992" t="s">
        <v>588</v>
      </c>
      <c r="N992" t="s">
        <v>601</v>
      </c>
    </row>
    <row r="993" spans="1:14" x14ac:dyDescent="0.25">
      <c r="A993" t="s">
        <v>49</v>
      </c>
      <c r="B993" t="s">
        <v>174</v>
      </c>
      <c r="C993" t="s">
        <v>323</v>
      </c>
      <c r="D993" t="s">
        <v>425</v>
      </c>
      <c r="F993" t="s">
        <v>433</v>
      </c>
      <c r="G993" t="str">
        <f>HYPERLINK("https://ca.linkedin.com/jobs/view/product-data-analyst-wtfast-at-blankslate-partners-3350561493?refId=JR%2BDd15a7eZmLCRhCrpFRA%3D%3D&amp;trackingId=HdNQSP%2F4oBa5D6FG8u%2B%2FxQ%3D%3D&amp;position=17&amp;pageNum=0&amp;trk=public_jobs_jserp-result_search-card", "Job Link")</f>
        <v>Job Link</v>
      </c>
      <c r="H993" t="s">
        <v>479</v>
      </c>
      <c r="I993" t="s">
        <v>481</v>
      </c>
      <c r="J993" t="s">
        <v>497</v>
      </c>
      <c r="K993" t="s">
        <v>538</v>
      </c>
      <c r="L993" t="s">
        <v>603</v>
      </c>
      <c r="M993" t="s">
        <v>618</v>
      </c>
      <c r="N993" t="s">
        <v>601</v>
      </c>
    </row>
    <row r="994" spans="1:14" x14ac:dyDescent="0.25">
      <c r="A994" t="s">
        <v>50</v>
      </c>
      <c r="B994" t="s">
        <v>175</v>
      </c>
      <c r="C994" t="s">
        <v>324</v>
      </c>
      <c r="D994" t="s">
        <v>425</v>
      </c>
      <c r="F994" t="s">
        <v>443</v>
      </c>
      <c r="G994" t="str">
        <f>HYPERLINK("https://ca.linkedin.com/jobs/view/senior-data-analyst-toronto-on-at-ssense-3369567279?refId=JR%2BDd15a7eZmLCRhCrpFRA%3D%3D&amp;trackingId=4brQA1NI2aGNtbAfn7QzjA%3D%3D&amp;position=18&amp;pageNum=0&amp;trk=public_jobs_jserp-result_search-card", "Job Link")</f>
        <v>Job Link</v>
      </c>
      <c r="H994" t="s">
        <v>478</v>
      </c>
      <c r="I994" t="s">
        <v>481</v>
      </c>
      <c r="J994" t="s">
        <v>486</v>
      </c>
      <c r="K994" t="s">
        <v>550</v>
      </c>
      <c r="L994" t="s">
        <v>582</v>
      </c>
      <c r="M994" t="s">
        <v>588</v>
      </c>
      <c r="N994" t="s">
        <v>601</v>
      </c>
    </row>
    <row r="995" spans="1:14" x14ac:dyDescent="0.25">
      <c r="A995" t="s">
        <v>51</v>
      </c>
      <c r="B995" t="s">
        <v>175</v>
      </c>
      <c r="C995" t="s">
        <v>325</v>
      </c>
      <c r="D995" t="s">
        <v>425</v>
      </c>
      <c r="F995" t="s">
        <v>443</v>
      </c>
      <c r="G995" t="str">
        <f>HYPERLINK("https://ca.linkedin.com/jobs/view/senior-data-analyst-analytics-insights-toronto-on-at-ssense-3369558722?refId=JR%2BDd15a7eZmLCRhCrpFRA%3D%3D&amp;trackingId=QAip2D5qJyGc%2F8%2F%2FvgG3jg%3D%3D&amp;position=19&amp;pageNum=0&amp;trk=public_jobs_jserp-result_search-card", "Job Link")</f>
        <v>Job Link</v>
      </c>
      <c r="H995" t="s">
        <v>478</v>
      </c>
      <c r="I995" t="s">
        <v>481</v>
      </c>
      <c r="J995" t="s">
        <v>491</v>
      </c>
      <c r="K995" t="s">
        <v>550</v>
      </c>
      <c r="L995" t="s">
        <v>582</v>
      </c>
      <c r="M995" t="s">
        <v>588</v>
      </c>
      <c r="N995" t="s">
        <v>601</v>
      </c>
    </row>
    <row r="996" spans="1:14" x14ac:dyDescent="0.25">
      <c r="A996" t="s">
        <v>51</v>
      </c>
      <c r="B996" t="s">
        <v>175</v>
      </c>
      <c r="C996" t="s">
        <v>325</v>
      </c>
      <c r="D996" t="s">
        <v>425</v>
      </c>
      <c r="F996" t="s">
        <v>443</v>
      </c>
      <c r="G996" t="str">
        <f>HYPERLINK("https://ca.linkedin.com/jobs/view/senior-data-analyst-analytics-insights-toronto-on-at-ssense-3369560180?refId=JR%2BDd15a7eZmLCRhCrpFRA%3D%3D&amp;trackingId=QfMgIjBk0Lm%2BCjcy1%2F54dg%3D%3D&amp;position=20&amp;pageNum=0&amp;trk=public_jobs_jserp-result_search-card", "Job Link")</f>
        <v>Job Link</v>
      </c>
      <c r="H996" t="s">
        <v>478</v>
      </c>
      <c r="I996" t="s">
        <v>481</v>
      </c>
      <c r="J996" t="s">
        <v>491</v>
      </c>
      <c r="K996" t="s">
        <v>550</v>
      </c>
      <c r="L996" t="s">
        <v>582</v>
      </c>
      <c r="M996" t="s">
        <v>588</v>
      </c>
      <c r="N996" t="s">
        <v>601</v>
      </c>
    </row>
    <row r="997" spans="1:14" x14ac:dyDescent="0.25">
      <c r="A997" t="s">
        <v>27</v>
      </c>
      <c r="B997" t="s">
        <v>176</v>
      </c>
      <c r="C997" t="s">
        <v>326</v>
      </c>
      <c r="D997" t="s">
        <v>425</v>
      </c>
      <c r="F997" t="s">
        <v>441</v>
      </c>
      <c r="G997" t="str">
        <f>HYPERLINK("https://ca.linkedin.com/jobs/view/sr-data-analyst-at-telus-international-digital-solutions-3331944226?refId=JR%2BDd15a7eZmLCRhCrpFRA%3D%3D&amp;trackingId=KPyRpgCqJRhDrmk652mDww%3D%3D&amp;position=21&amp;pageNum=0&amp;trk=public_jobs_jserp-result_search-card", "Job Link")</f>
        <v>Job Link</v>
      </c>
      <c r="H997" t="s">
        <v>478</v>
      </c>
      <c r="I997" t="s">
        <v>481</v>
      </c>
      <c r="J997" t="s">
        <v>498</v>
      </c>
      <c r="K997" t="s">
        <v>521</v>
      </c>
      <c r="L997" t="s">
        <v>604</v>
      </c>
      <c r="M997" t="s">
        <v>618</v>
      </c>
      <c r="N997" t="s">
        <v>601</v>
      </c>
    </row>
    <row r="998" spans="1:14" x14ac:dyDescent="0.25">
      <c r="A998" t="s">
        <v>20</v>
      </c>
      <c r="B998" t="s">
        <v>175</v>
      </c>
      <c r="C998" t="s">
        <v>324</v>
      </c>
      <c r="D998" t="s">
        <v>425</v>
      </c>
      <c r="F998" t="s">
        <v>446</v>
      </c>
      <c r="G998" t="str">
        <f>HYPERLINK("https://ca.linkedin.com/jobs/view/senior-data-analyst-at-ssense-3342165774?refId=JR%2BDd15a7eZmLCRhCrpFRA%3D%3D&amp;trackingId=H212ycosIuoV4X9eXijkhQ%3D%3D&amp;position=22&amp;pageNum=0&amp;trk=public_jobs_jserp-result_search-card", "Job Link")</f>
        <v>Job Link</v>
      </c>
      <c r="H998" t="s">
        <v>478</v>
      </c>
      <c r="I998" t="s">
        <v>481</v>
      </c>
      <c r="J998" t="s">
        <v>486</v>
      </c>
      <c r="K998" t="s">
        <v>550</v>
      </c>
      <c r="L998" t="s">
        <v>605</v>
      </c>
      <c r="M998" t="s">
        <v>617</v>
      </c>
      <c r="N998" t="s">
        <v>601</v>
      </c>
    </row>
    <row r="999" spans="1:14" x14ac:dyDescent="0.25">
      <c r="A999" t="s">
        <v>14</v>
      </c>
      <c r="B999" t="s">
        <v>158</v>
      </c>
      <c r="C999" t="s">
        <v>307</v>
      </c>
      <c r="D999" t="s">
        <v>425</v>
      </c>
      <c r="F999" t="s">
        <v>430</v>
      </c>
      <c r="G999" t="str">
        <f>HYPERLINK("https://ca.linkedin.com/jobs/view/data-analyst-at-empire-life-3324608289?refId=kNZxUXaCHWK%2BGXrSCQDBwA%3D%3D&amp;trackingId=UKLrLzQprd%2Fjq2eym6uDKg%3D%3D&amp;position=1&amp;pageNum=0&amp;trk=public_jobs_jserp-result_search-card", "Job Link")</f>
        <v>Job Link</v>
      </c>
      <c r="H999" t="s">
        <v>476</v>
      </c>
      <c r="I999" t="s">
        <v>481</v>
      </c>
      <c r="J999" t="s">
        <v>485</v>
      </c>
      <c r="K999" t="s">
        <v>523</v>
      </c>
      <c r="L999" t="s">
        <v>601</v>
      </c>
    </row>
    <row r="1000" spans="1:14" x14ac:dyDescent="0.25">
      <c r="A1000" t="s">
        <v>40</v>
      </c>
      <c r="B1000" t="s">
        <v>159</v>
      </c>
      <c r="C1000" t="s">
        <v>308</v>
      </c>
      <c r="D1000" t="s">
        <v>425</v>
      </c>
      <c r="F1000" t="s">
        <v>435</v>
      </c>
      <c r="G1000" t="str">
        <f>HYPERLINK("https://ca.linkedin.com/jobs/view/data-visualization-developer-analyst-at-blue-boat-data-3335318133?refId=kNZxUXaCHWK%2BGXrSCQDBwA%3D%3D&amp;trackingId=%2B%2FGhFkWzhUfYB7qif99Zhw%3D%3D&amp;position=2&amp;pageNum=0&amp;trk=public_jobs_jserp-result_search-card", "Job Link")</f>
        <v>Job Link</v>
      </c>
      <c r="I1000" t="s">
        <v>483</v>
      </c>
      <c r="L1000" t="s">
        <v>601</v>
      </c>
    </row>
    <row r="1001" spans="1:14" x14ac:dyDescent="0.25">
      <c r="A1001" t="s">
        <v>14</v>
      </c>
      <c r="B1001" t="s">
        <v>160</v>
      </c>
      <c r="C1001" t="s">
        <v>309</v>
      </c>
      <c r="D1001" t="s">
        <v>425</v>
      </c>
      <c r="E1001" t="s">
        <v>427</v>
      </c>
      <c r="F1001" t="s">
        <v>458</v>
      </c>
      <c r="G1001" t="str">
        <f>HYPERLINK("https://ca.linkedin.com/jobs/view/data-analyst-at-libitzky-property-companies-3314494593?refId=kNZxUXaCHWK%2BGXrSCQDBwA%3D%3D&amp;trackingId=Yn7pHV4YqTx3dk5CU2BMTg%3D%3D&amp;position=3&amp;pageNum=0&amp;trk=public_jobs_jserp-result_search-card", "Job Link")</f>
        <v>Job Link</v>
      </c>
      <c r="H1001" t="s">
        <v>476</v>
      </c>
      <c r="I1001" t="s">
        <v>481</v>
      </c>
      <c r="J1001" t="s">
        <v>486</v>
      </c>
      <c r="K1001" t="s">
        <v>516</v>
      </c>
      <c r="L1001" t="s">
        <v>601</v>
      </c>
    </row>
    <row r="1002" spans="1:14" x14ac:dyDescent="0.25">
      <c r="A1002" t="s">
        <v>14</v>
      </c>
      <c r="B1002" t="s">
        <v>161</v>
      </c>
      <c r="C1002" t="s">
        <v>310</v>
      </c>
      <c r="D1002" t="s">
        <v>425</v>
      </c>
      <c r="F1002" t="s">
        <v>435</v>
      </c>
      <c r="G1002" t="str">
        <f>HYPERLINK("https://ca.linkedin.com/jobs/view/data-analyst-at-spire-3340696458?refId=kNZxUXaCHWK%2BGXrSCQDBwA%3D%3D&amp;trackingId=8SLCOHSpEOT9%2FVgyri508Q%3D%3D&amp;position=4&amp;pageNum=0&amp;trk=public_jobs_jserp-result_search-card", "Job Link")</f>
        <v>Job Link</v>
      </c>
      <c r="H1002" t="s">
        <v>476</v>
      </c>
      <c r="I1002" t="s">
        <v>481</v>
      </c>
      <c r="J1002" t="s">
        <v>486</v>
      </c>
      <c r="K1002" t="s">
        <v>517</v>
      </c>
      <c r="L1002" t="s">
        <v>602</v>
      </c>
      <c r="M1002" t="s">
        <v>588</v>
      </c>
      <c r="N1002" t="s">
        <v>601</v>
      </c>
    </row>
    <row r="1003" spans="1:14" x14ac:dyDescent="0.25">
      <c r="A1003" t="s">
        <v>14</v>
      </c>
      <c r="B1003" t="s">
        <v>162</v>
      </c>
      <c r="C1003" t="s">
        <v>311</v>
      </c>
      <c r="D1003" t="s">
        <v>425</v>
      </c>
      <c r="F1003" t="s">
        <v>434</v>
      </c>
      <c r="G1003" t="str">
        <f>HYPERLINK("https://ca.linkedin.com/jobs/view/data-analyst-at-money-mart-financial-services-3361528052?refId=kNZxUXaCHWK%2BGXrSCQDBwA%3D%3D&amp;trackingId=rnm73NsH7NYfLMSXHbln%2FA%3D%3D&amp;position=5&amp;pageNum=0&amp;trk=public_jobs_jserp-result_search-card", "Job Link")</f>
        <v>Job Link</v>
      </c>
      <c r="H1003" t="s">
        <v>477</v>
      </c>
      <c r="I1003" t="s">
        <v>481</v>
      </c>
      <c r="J1003" t="s">
        <v>488</v>
      </c>
      <c r="K1003" t="s">
        <v>527</v>
      </c>
      <c r="L1003" t="s">
        <v>582</v>
      </c>
      <c r="M1003" t="s">
        <v>588</v>
      </c>
      <c r="N1003" t="s">
        <v>601</v>
      </c>
    </row>
    <row r="1004" spans="1:14" x14ac:dyDescent="0.25">
      <c r="A1004" t="s">
        <v>14</v>
      </c>
      <c r="B1004" t="s">
        <v>163</v>
      </c>
      <c r="C1004" t="s">
        <v>312</v>
      </c>
      <c r="D1004" t="s">
        <v>425</v>
      </c>
      <c r="F1004" t="s">
        <v>443</v>
      </c>
      <c r="G1004" t="str">
        <f>HYPERLINK("https://ca.linkedin.com/jobs/view/data-analyst-at-mojio-3363472062?refId=kNZxUXaCHWK%2BGXrSCQDBwA%3D%3D&amp;trackingId=NjsggK7AR3WQJAca%2FFMc6g%3D%3D&amp;position=6&amp;pageNum=0&amp;trk=public_jobs_jserp-result_search-card", "Job Link")</f>
        <v>Job Link</v>
      </c>
      <c r="H1004" t="s">
        <v>478</v>
      </c>
      <c r="I1004" t="s">
        <v>481</v>
      </c>
      <c r="J1004" t="s">
        <v>493</v>
      </c>
      <c r="K1004" t="s">
        <v>544</v>
      </c>
      <c r="L1004" t="s">
        <v>601</v>
      </c>
    </row>
    <row r="1005" spans="1:14" x14ac:dyDescent="0.25">
      <c r="A1005" t="s">
        <v>41</v>
      </c>
      <c r="B1005" t="s">
        <v>164</v>
      </c>
      <c r="C1005" t="s">
        <v>313</v>
      </c>
      <c r="D1005" t="s">
        <v>425</v>
      </c>
      <c r="F1005" t="s">
        <v>444</v>
      </c>
      <c r="G1005" t="str">
        <f>HYPERLINK("https://ca.linkedin.com/jobs/view/product-data-analyst-at-pdftron-systems-inc-3322845144?refId=kNZxUXaCHWK%2BGXrSCQDBwA%3D%3D&amp;trackingId=JhfmpZuaNqK1HIViljhCGg%3D%3D&amp;position=7&amp;pageNum=0&amp;trk=public_jobs_jserp-result_search-card", "Job Link")</f>
        <v>Job Link</v>
      </c>
      <c r="H1005" t="s">
        <v>479</v>
      </c>
      <c r="I1005" t="s">
        <v>481</v>
      </c>
      <c r="J1005" t="s">
        <v>487</v>
      </c>
      <c r="K1005" t="s">
        <v>538</v>
      </c>
      <c r="L1005" t="s">
        <v>590</v>
      </c>
      <c r="M1005" t="s">
        <v>618</v>
      </c>
      <c r="N1005" t="s">
        <v>601</v>
      </c>
    </row>
    <row r="1006" spans="1:14" x14ac:dyDescent="0.25">
      <c r="A1006" t="s">
        <v>42</v>
      </c>
      <c r="B1006" t="s">
        <v>165</v>
      </c>
      <c r="C1006" t="s">
        <v>314</v>
      </c>
      <c r="D1006" t="s">
        <v>425</v>
      </c>
      <c r="F1006" t="s">
        <v>459</v>
      </c>
      <c r="G1006" t="str">
        <f>HYPERLINK("https://ca.linkedin.com/jobs/view/cognitive-data-analyst-at-wysdom-ai-3333087497?refId=kNZxUXaCHWK%2BGXrSCQDBwA%3D%3D&amp;trackingId=9hgzqFaPLsztUDpsWIUEIg%3D%3D&amp;position=8&amp;pageNum=0&amp;trk=public_jobs_jserp-result_search-card", "Job Link")</f>
        <v>Job Link</v>
      </c>
      <c r="H1006" t="s">
        <v>478</v>
      </c>
      <c r="I1006" t="s">
        <v>481</v>
      </c>
      <c r="J1006" t="s">
        <v>486</v>
      </c>
      <c r="K1006" t="s">
        <v>516</v>
      </c>
      <c r="L1006" t="s">
        <v>601</v>
      </c>
    </row>
    <row r="1007" spans="1:14" x14ac:dyDescent="0.25">
      <c r="A1007" t="s">
        <v>43</v>
      </c>
      <c r="B1007" t="s">
        <v>166</v>
      </c>
      <c r="C1007" t="s">
        <v>315</v>
      </c>
      <c r="D1007" t="s">
        <v>425</v>
      </c>
      <c r="F1007" t="s">
        <v>432</v>
      </c>
      <c r="G1007" t="str">
        <f>HYPERLINK("https://ca.linkedin.com/jobs/view/data-analyst-operations-at-felix-3360946633?refId=kNZxUXaCHWK%2BGXrSCQDBwA%3D%3D&amp;trackingId=K2CR0ujhzGWMmeCkS9E6SQ%3D%3D&amp;position=9&amp;pageNum=0&amp;trk=public_jobs_jserp-result_search-card", "Job Link")</f>
        <v>Job Link</v>
      </c>
      <c r="I1007" t="s">
        <v>481</v>
      </c>
      <c r="L1007" t="s">
        <v>601</v>
      </c>
    </row>
    <row r="1008" spans="1:14" x14ac:dyDescent="0.25">
      <c r="A1008" t="s">
        <v>44</v>
      </c>
      <c r="B1008" t="s">
        <v>167</v>
      </c>
      <c r="C1008" t="s">
        <v>316</v>
      </c>
      <c r="D1008" t="s">
        <v>425</v>
      </c>
      <c r="F1008" t="s">
        <v>460</v>
      </c>
      <c r="G1008" t="str">
        <f>HYPERLINK("https://ca.linkedin.com/jobs/view/data-analyst-marketing-at-thescore-3272474942?refId=kNZxUXaCHWK%2BGXrSCQDBwA%3D%3D&amp;trackingId=E%2BwfEJrQ1aUF1G7qjDjWig%3D%3D&amp;position=10&amp;pageNum=0&amp;trk=public_jobs_jserp-result_search-card", "Job Link")</f>
        <v>Job Link</v>
      </c>
      <c r="H1008" t="s">
        <v>476</v>
      </c>
      <c r="I1008" t="s">
        <v>481</v>
      </c>
      <c r="J1008" t="s">
        <v>486</v>
      </c>
      <c r="K1008" t="s">
        <v>545</v>
      </c>
      <c r="L1008" t="s">
        <v>582</v>
      </c>
      <c r="M1008" t="s">
        <v>588</v>
      </c>
      <c r="N1008" t="s">
        <v>601</v>
      </c>
    </row>
    <row r="1009" spans="1:14" x14ac:dyDescent="0.25">
      <c r="A1009" t="s">
        <v>45</v>
      </c>
      <c r="B1009" t="s">
        <v>168</v>
      </c>
      <c r="C1009" t="s">
        <v>317</v>
      </c>
      <c r="D1009" t="s">
        <v>425</v>
      </c>
      <c r="F1009" t="s">
        <v>443</v>
      </c>
      <c r="G1009" t="str">
        <f>HYPERLINK("https://ca.linkedin.com/jobs/view/senior-data-analyst-apac-marketplace-at-hopper-3363404929?refId=kNZxUXaCHWK%2BGXrSCQDBwA%3D%3D&amp;trackingId=bW%2BguoghEhumau6lJfTnwQ%3D%3D&amp;position=11&amp;pageNum=0&amp;trk=public_jobs_jserp-result_search-card", "Job Link")</f>
        <v>Job Link</v>
      </c>
      <c r="H1009" t="s">
        <v>478</v>
      </c>
      <c r="I1009" t="s">
        <v>485</v>
      </c>
      <c r="J1009" t="s">
        <v>486</v>
      </c>
      <c r="K1009" t="s">
        <v>538</v>
      </c>
      <c r="L1009" t="s">
        <v>601</v>
      </c>
    </row>
    <row r="1010" spans="1:14" x14ac:dyDescent="0.25">
      <c r="A1010" t="s">
        <v>46</v>
      </c>
      <c r="B1010" t="s">
        <v>169</v>
      </c>
      <c r="C1010" t="s">
        <v>318</v>
      </c>
      <c r="D1010" t="s">
        <v>425</v>
      </c>
      <c r="F1010" t="s">
        <v>461</v>
      </c>
      <c r="G1010">
        <v>0</v>
      </c>
      <c r="H1010" t="s">
        <v>478</v>
      </c>
      <c r="I1010" t="s">
        <v>481</v>
      </c>
      <c r="J1010" t="s">
        <v>494</v>
      </c>
      <c r="K1010" t="s">
        <v>546</v>
      </c>
      <c r="L1010" t="s">
        <v>601</v>
      </c>
    </row>
    <row r="1011" spans="1:14" x14ac:dyDescent="0.25">
      <c r="A1011" t="s">
        <v>20</v>
      </c>
      <c r="B1011" t="s">
        <v>170</v>
      </c>
      <c r="C1011" t="s">
        <v>319</v>
      </c>
      <c r="D1011" t="s">
        <v>425</v>
      </c>
      <c r="F1011" t="s">
        <v>450</v>
      </c>
      <c r="G1011" t="str">
        <f>HYPERLINK("https://ca.linkedin.com/jobs/view/senior-data-analyst-at-thinkific-3333572538?refId=kNZxUXaCHWK%2BGXrSCQDBwA%3D%3D&amp;trackingId=Ww5Qd%2BOxbFBWS6Dt8OGf%2Fg%3D%3D&amp;position=13&amp;pageNum=0&amp;trk=public_jobs_jserp-result_search-card", "Job Link")</f>
        <v>Job Link</v>
      </c>
      <c r="H1011" t="s">
        <v>478</v>
      </c>
      <c r="I1011" t="s">
        <v>481</v>
      </c>
      <c r="J1011" t="s">
        <v>495</v>
      </c>
      <c r="K1011" t="s">
        <v>547</v>
      </c>
      <c r="L1011" t="s">
        <v>601</v>
      </c>
    </row>
    <row r="1012" spans="1:14" x14ac:dyDescent="0.25">
      <c r="A1012" t="s">
        <v>47</v>
      </c>
      <c r="B1012" t="s">
        <v>171</v>
      </c>
      <c r="C1012" t="s">
        <v>320</v>
      </c>
      <c r="D1012" t="s">
        <v>425</v>
      </c>
      <c r="F1012" t="s">
        <v>447</v>
      </c>
      <c r="G1012" t="str">
        <f>HYPERLINK("https://ca.linkedin.com/jobs/view/insights-analyst-at-flashfood-3312876343?refId=kNZxUXaCHWK%2BGXrSCQDBwA%3D%3D&amp;trackingId=1dZHaM%2FaClv4ocK9sB3pJg%3D%3D&amp;position=14&amp;pageNum=0&amp;trk=public_jobs_jserp-result_search-card", "Job Link")</f>
        <v>Job Link</v>
      </c>
      <c r="I1012" t="s">
        <v>481</v>
      </c>
      <c r="L1012" t="s">
        <v>601</v>
      </c>
    </row>
    <row r="1013" spans="1:14" x14ac:dyDescent="0.25">
      <c r="A1013" t="s">
        <v>20</v>
      </c>
      <c r="B1013" t="s">
        <v>172</v>
      </c>
      <c r="C1013" t="s">
        <v>321</v>
      </c>
      <c r="D1013" t="s">
        <v>425</v>
      </c>
      <c r="F1013" t="s">
        <v>438</v>
      </c>
      <c r="G1013" t="str">
        <f>HYPERLINK("https://ca.linkedin.com/jobs/view/senior-data-analyst-at-system1-3324728130?refId=kNZxUXaCHWK%2BGXrSCQDBwA%3D%3D&amp;trackingId=gxJcp4gwuizM8woeYbwAkQ%3D%3D&amp;position=15&amp;pageNum=0&amp;trk=public_jobs_jserp-result_search-card", "Job Link")</f>
        <v>Job Link</v>
      </c>
      <c r="H1013" t="s">
        <v>478</v>
      </c>
      <c r="I1013" t="s">
        <v>481</v>
      </c>
      <c r="J1013" t="s">
        <v>486</v>
      </c>
      <c r="K1013" t="s">
        <v>548</v>
      </c>
      <c r="L1013" t="s">
        <v>587</v>
      </c>
      <c r="M1013" t="s">
        <v>588</v>
      </c>
      <c r="N1013" t="s">
        <v>601</v>
      </c>
    </row>
    <row r="1014" spans="1:14" x14ac:dyDescent="0.25">
      <c r="A1014" t="s">
        <v>48</v>
      </c>
      <c r="B1014" t="s">
        <v>173</v>
      </c>
      <c r="C1014" t="s">
        <v>322</v>
      </c>
      <c r="D1014" t="s">
        <v>425</v>
      </c>
      <c r="F1014" t="s">
        <v>462</v>
      </c>
      <c r="G1014" t="str">
        <f>HYPERLINK("https://ca.linkedin.com/jobs/view/data-analyst-trilogy-remote-%2460-000-year-usd-at-crossover-3367086698?refId=kNZxUXaCHWK%2BGXrSCQDBwA%3D%3D&amp;trackingId=gyLUGBgvVZC%2FzyxhdHN7pQ%3D%3D&amp;position=16&amp;pageNum=0&amp;trk=public_jobs_jserp-result_search-card", "Job Link")</f>
        <v>Job Link</v>
      </c>
      <c r="H1014" t="s">
        <v>477</v>
      </c>
      <c r="I1014" t="s">
        <v>481</v>
      </c>
      <c r="J1014" t="s">
        <v>496</v>
      </c>
      <c r="K1014" t="s">
        <v>549</v>
      </c>
      <c r="L1014" t="s">
        <v>582</v>
      </c>
      <c r="M1014" t="s">
        <v>588</v>
      </c>
      <c r="N1014" t="s">
        <v>601</v>
      </c>
    </row>
    <row r="1015" spans="1:14" x14ac:dyDescent="0.25">
      <c r="A1015" t="s">
        <v>49</v>
      </c>
      <c r="B1015" t="s">
        <v>174</v>
      </c>
      <c r="C1015" t="s">
        <v>323</v>
      </c>
      <c r="D1015" t="s">
        <v>425</v>
      </c>
      <c r="F1015" t="s">
        <v>433</v>
      </c>
      <c r="G1015" t="str">
        <f>HYPERLINK("https://ca.linkedin.com/jobs/view/product-data-analyst-wtfast-at-blankslate-partners-3350561493?refId=kNZxUXaCHWK%2BGXrSCQDBwA%3D%3D&amp;trackingId=yv1Zdh1NO6R44kRqYqeYzQ%3D%3D&amp;position=17&amp;pageNum=0&amp;trk=public_jobs_jserp-result_search-card", "Job Link")</f>
        <v>Job Link</v>
      </c>
      <c r="H1015" t="s">
        <v>479</v>
      </c>
      <c r="I1015" t="s">
        <v>481</v>
      </c>
      <c r="J1015" t="s">
        <v>497</v>
      </c>
      <c r="K1015" t="s">
        <v>538</v>
      </c>
      <c r="L1015" t="s">
        <v>603</v>
      </c>
      <c r="M1015" t="s">
        <v>618</v>
      </c>
      <c r="N1015" t="s">
        <v>601</v>
      </c>
    </row>
    <row r="1016" spans="1:14" x14ac:dyDescent="0.25">
      <c r="A1016" t="s">
        <v>50</v>
      </c>
      <c r="B1016" t="s">
        <v>175</v>
      </c>
      <c r="C1016" t="s">
        <v>324</v>
      </c>
      <c r="D1016" t="s">
        <v>425</v>
      </c>
      <c r="F1016" t="s">
        <v>443</v>
      </c>
      <c r="G1016" t="str">
        <f>HYPERLINK("https://ca.linkedin.com/jobs/view/senior-data-analyst-toronto-on-at-ssense-3369567279?refId=kNZxUXaCHWK%2BGXrSCQDBwA%3D%3D&amp;trackingId=eAw7W0zixzAJPY%2BjC4a6%2FA%3D%3D&amp;position=18&amp;pageNum=0&amp;trk=public_jobs_jserp-result_search-card", "Job Link")</f>
        <v>Job Link</v>
      </c>
      <c r="H1016" t="s">
        <v>478</v>
      </c>
      <c r="I1016" t="s">
        <v>481</v>
      </c>
      <c r="J1016" t="s">
        <v>486</v>
      </c>
      <c r="K1016" t="s">
        <v>550</v>
      </c>
      <c r="L1016" t="s">
        <v>582</v>
      </c>
      <c r="M1016" t="s">
        <v>588</v>
      </c>
      <c r="N1016" t="s">
        <v>601</v>
      </c>
    </row>
    <row r="1017" spans="1:14" x14ac:dyDescent="0.25">
      <c r="A1017" t="s">
        <v>51</v>
      </c>
      <c r="B1017" t="s">
        <v>175</v>
      </c>
      <c r="C1017" t="s">
        <v>325</v>
      </c>
      <c r="D1017" t="s">
        <v>425</v>
      </c>
      <c r="F1017" t="s">
        <v>443</v>
      </c>
      <c r="G1017" t="str">
        <f>HYPERLINK("https://ca.linkedin.com/jobs/view/senior-data-analyst-analytics-insights-toronto-on-at-ssense-3369558722?refId=kNZxUXaCHWK%2BGXrSCQDBwA%3D%3D&amp;trackingId=cMMOXyhAZD5Il9OakCLzFA%3D%3D&amp;position=19&amp;pageNum=0&amp;trk=public_jobs_jserp-result_search-card", "Job Link")</f>
        <v>Job Link</v>
      </c>
      <c r="H1017" t="s">
        <v>478</v>
      </c>
      <c r="I1017" t="s">
        <v>481</v>
      </c>
      <c r="J1017" t="s">
        <v>491</v>
      </c>
      <c r="K1017" t="s">
        <v>550</v>
      </c>
      <c r="L1017" t="s">
        <v>582</v>
      </c>
      <c r="M1017" t="s">
        <v>588</v>
      </c>
      <c r="N1017" t="s">
        <v>601</v>
      </c>
    </row>
    <row r="1018" spans="1:14" x14ac:dyDescent="0.25">
      <c r="A1018" t="s">
        <v>51</v>
      </c>
      <c r="B1018" t="s">
        <v>175</v>
      </c>
      <c r="C1018" t="s">
        <v>325</v>
      </c>
      <c r="D1018" t="s">
        <v>425</v>
      </c>
      <c r="F1018" t="s">
        <v>443</v>
      </c>
      <c r="G1018" t="str">
        <f>HYPERLINK("https://ca.linkedin.com/jobs/view/senior-data-analyst-analytics-insights-toronto-on-at-ssense-3369560180?refId=kNZxUXaCHWK%2BGXrSCQDBwA%3D%3D&amp;trackingId=04i6Nw9V2reCLJW4yXVNhg%3D%3D&amp;position=20&amp;pageNum=0&amp;trk=public_jobs_jserp-result_search-card", "Job Link")</f>
        <v>Job Link</v>
      </c>
      <c r="H1018" t="s">
        <v>478</v>
      </c>
      <c r="I1018" t="s">
        <v>481</v>
      </c>
      <c r="J1018" t="s">
        <v>491</v>
      </c>
      <c r="K1018" t="s">
        <v>550</v>
      </c>
      <c r="L1018" t="s">
        <v>582</v>
      </c>
      <c r="M1018" t="s">
        <v>588</v>
      </c>
      <c r="N1018" t="s">
        <v>601</v>
      </c>
    </row>
    <row r="1019" spans="1:14" x14ac:dyDescent="0.25">
      <c r="A1019" t="s">
        <v>27</v>
      </c>
      <c r="B1019" t="s">
        <v>176</v>
      </c>
      <c r="C1019" t="s">
        <v>326</v>
      </c>
      <c r="D1019" t="s">
        <v>425</v>
      </c>
      <c r="F1019" t="s">
        <v>441</v>
      </c>
      <c r="G1019" t="str">
        <f>HYPERLINK("https://ca.linkedin.com/jobs/view/sr-data-analyst-at-telus-international-digital-solutions-3331944226?refId=kNZxUXaCHWK%2BGXrSCQDBwA%3D%3D&amp;trackingId=LJEeqCBP5ge0UhVBB6MO9g%3D%3D&amp;position=21&amp;pageNum=0&amp;trk=public_jobs_jserp-result_search-card", "Job Link")</f>
        <v>Job Link</v>
      </c>
      <c r="H1019" t="s">
        <v>478</v>
      </c>
      <c r="I1019" t="s">
        <v>481</v>
      </c>
      <c r="J1019" t="s">
        <v>498</v>
      </c>
      <c r="K1019" t="s">
        <v>521</v>
      </c>
      <c r="L1019" t="s">
        <v>604</v>
      </c>
      <c r="M1019" t="s">
        <v>618</v>
      </c>
      <c r="N1019" t="s">
        <v>601</v>
      </c>
    </row>
    <row r="1020" spans="1:14" x14ac:dyDescent="0.25">
      <c r="A1020" t="s">
        <v>20</v>
      </c>
      <c r="B1020" t="s">
        <v>175</v>
      </c>
      <c r="C1020" t="s">
        <v>324</v>
      </c>
      <c r="D1020" t="s">
        <v>425</v>
      </c>
      <c r="F1020" t="s">
        <v>446</v>
      </c>
      <c r="G1020" t="str">
        <f>HYPERLINK("https://ca.linkedin.com/jobs/view/senior-data-analyst-at-ssense-3342165774?refId=kNZxUXaCHWK%2BGXrSCQDBwA%3D%3D&amp;trackingId=MX7ujLcVkTXIZ%2FVyi9H%2B4w%3D%3D&amp;position=22&amp;pageNum=0&amp;trk=public_jobs_jserp-result_search-card", "Job Link")</f>
        <v>Job Link</v>
      </c>
      <c r="H1020" t="s">
        <v>478</v>
      </c>
      <c r="I1020" t="s">
        <v>481</v>
      </c>
      <c r="J1020" t="s">
        <v>486</v>
      </c>
      <c r="K1020" t="s">
        <v>550</v>
      </c>
      <c r="L1020" t="s">
        <v>605</v>
      </c>
      <c r="M1020" t="s">
        <v>617</v>
      </c>
      <c r="N1020" t="s">
        <v>601</v>
      </c>
    </row>
    <row r="1021" spans="1:14" x14ac:dyDescent="0.25">
      <c r="A1021" t="s">
        <v>14</v>
      </c>
      <c r="B1021" t="s">
        <v>158</v>
      </c>
      <c r="C1021" t="s">
        <v>307</v>
      </c>
      <c r="D1021" t="s">
        <v>425</v>
      </c>
      <c r="F1021" t="s">
        <v>430</v>
      </c>
      <c r="G1021" t="str">
        <f>HYPERLINK("https://ca.linkedin.com/jobs/view/data-analyst-at-empire-life-3324608289?refId=DpfoqdviZYHaKlcmFPj0Yg%3D%3D&amp;trackingId=pksvbzR4fDy6atkKj4u8EQ%3D%3D&amp;position=1&amp;pageNum=0&amp;trk=public_jobs_jserp-result_search-card", "Job Link")</f>
        <v>Job Link</v>
      </c>
      <c r="H1021" t="s">
        <v>476</v>
      </c>
      <c r="I1021" t="s">
        <v>481</v>
      </c>
      <c r="J1021" t="s">
        <v>485</v>
      </c>
      <c r="K1021" t="s">
        <v>523</v>
      </c>
      <c r="L1021" t="s">
        <v>601</v>
      </c>
    </row>
    <row r="1022" spans="1:14" x14ac:dyDescent="0.25">
      <c r="A1022" t="s">
        <v>40</v>
      </c>
      <c r="B1022" t="s">
        <v>159</v>
      </c>
      <c r="C1022" t="s">
        <v>308</v>
      </c>
      <c r="D1022" t="s">
        <v>425</v>
      </c>
      <c r="F1022" t="s">
        <v>435</v>
      </c>
      <c r="G1022" t="str">
        <f>HYPERLINK("https://ca.linkedin.com/jobs/view/data-visualization-developer-analyst-at-blue-boat-data-3335318133?refId=DpfoqdviZYHaKlcmFPj0Yg%3D%3D&amp;trackingId=enloIDnZKn8GrUXZmjN2rg%3D%3D&amp;position=2&amp;pageNum=0&amp;trk=public_jobs_jserp-result_search-card", "Job Link")</f>
        <v>Job Link</v>
      </c>
      <c r="I1022" t="s">
        <v>483</v>
      </c>
      <c r="L1022" t="s">
        <v>601</v>
      </c>
    </row>
    <row r="1023" spans="1:14" x14ac:dyDescent="0.25">
      <c r="A1023" t="s">
        <v>14</v>
      </c>
      <c r="B1023" t="s">
        <v>160</v>
      </c>
      <c r="C1023" t="s">
        <v>309</v>
      </c>
      <c r="D1023" t="s">
        <v>425</v>
      </c>
      <c r="E1023" t="s">
        <v>427</v>
      </c>
      <c r="F1023" t="s">
        <v>458</v>
      </c>
      <c r="G1023" t="str">
        <f>HYPERLINK("https://ca.linkedin.com/jobs/view/data-analyst-at-libitzky-property-companies-3314494593?refId=DpfoqdviZYHaKlcmFPj0Yg%3D%3D&amp;trackingId=aJ%2FJebaUt%2B5EbAt0OI7I3g%3D%3D&amp;position=3&amp;pageNum=0&amp;trk=public_jobs_jserp-result_search-card", "Job Link")</f>
        <v>Job Link</v>
      </c>
      <c r="H1023" t="s">
        <v>476</v>
      </c>
      <c r="I1023" t="s">
        <v>481</v>
      </c>
      <c r="J1023" t="s">
        <v>486</v>
      </c>
      <c r="K1023" t="s">
        <v>516</v>
      </c>
      <c r="L1023" t="s">
        <v>601</v>
      </c>
    </row>
    <row r="1024" spans="1:14" x14ac:dyDescent="0.25">
      <c r="A1024" t="s">
        <v>14</v>
      </c>
      <c r="B1024" t="s">
        <v>161</v>
      </c>
      <c r="C1024" t="s">
        <v>310</v>
      </c>
      <c r="D1024" t="s">
        <v>425</v>
      </c>
      <c r="F1024" t="s">
        <v>435</v>
      </c>
      <c r="G1024" t="str">
        <f>HYPERLINK("https://ca.linkedin.com/jobs/view/data-analyst-at-spire-3340696458?refId=DpfoqdviZYHaKlcmFPj0Yg%3D%3D&amp;trackingId=KX%2B2Ov%2F46z5oFhTBE3FyDQ%3D%3D&amp;position=4&amp;pageNum=0&amp;trk=public_jobs_jserp-result_search-card", "Job Link")</f>
        <v>Job Link</v>
      </c>
      <c r="H1024" t="s">
        <v>476</v>
      </c>
      <c r="I1024" t="s">
        <v>481</v>
      </c>
      <c r="J1024" t="s">
        <v>486</v>
      </c>
      <c r="K1024" t="s">
        <v>517</v>
      </c>
      <c r="L1024" t="s">
        <v>602</v>
      </c>
      <c r="M1024" t="s">
        <v>588</v>
      </c>
      <c r="N1024" t="s">
        <v>601</v>
      </c>
    </row>
    <row r="1025" spans="1:14" x14ac:dyDescent="0.25">
      <c r="A1025" t="s">
        <v>14</v>
      </c>
      <c r="B1025" t="s">
        <v>163</v>
      </c>
      <c r="C1025" t="s">
        <v>312</v>
      </c>
      <c r="D1025" t="s">
        <v>425</v>
      </c>
      <c r="F1025" t="s">
        <v>443</v>
      </c>
      <c r="G1025" t="str">
        <f>HYPERLINK("https://ca.linkedin.com/jobs/view/data-analyst-at-mojio-3363472062?refId=DpfoqdviZYHaKlcmFPj0Yg%3D%3D&amp;trackingId=X8h1Q0SO057OuxLlHkpPEw%3D%3D&amp;position=5&amp;pageNum=0&amp;trk=public_jobs_jserp-result_search-card", "Job Link")</f>
        <v>Job Link</v>
      </c>
      <c r="H1025" t="s">
        <v>478</v>
      </c>
      <c r="I1025" t="s">
        <v>481</v>
      </c>
      <c r="J1025" t="s">
        <v>493</v>
      </c>
      <c r="K1025" t="s">
        <v>544</v>
      </c>
      <c r="L1025" t="s">
        <v>601</v>
      </c>
    </row>
    <row r="1026" spans="1:14" x14ac:dyDescent="0.25">
      <c r="A1026" t="s">
        <v>41</v>
      </c>
      <c r="B1026" t="s">
        <v>164</v>
      </c>
      <c r="C1026" t="s">
        <v>313</v>
      </c>
      <c r="D1026" t="s">
        <v>425</v>
      </c>
      <c r="F1026" t="s">
        <v>444</v>
      </c>
      <c r="G1026" t="str">
        <f>HYPERLINK("https://ca.linkedin.com/jobs/view/product-data-analyst-at-pdftron-systems-inc-3322845144?refId=DpfoqdviZYHaKlcmFPj0Yg%3D%3D&amp;trackingId=Pb1vTd41vKaVkk5f0iUkog%3D%3D&amp;position=6&amp;pageNum=0&amp;trk=public_jobs_jserp-result_search-card", "Job Link")</f>
        <v>Job Link</v>
      </c>
      <c r="H1026" t="s">
        <v>479</v>
      </c>
      <c r="I1026" t="s">
        <v>481</v>
      </c>
      <c r="J1026" t="s">
        <v>487</v>
      </c>
      <c r="K1026" t="s">
        <v>538</v>
      </c>
      <c r="L1026" t="s">
        <v>590</v>
      </c>
      <c r="M1026" t="s">
        <v>618</v>
      </c>
      <c r="N1026" t="s">
        <v>601</v>
      </c>
    </row>
    <row r="1027" spans="1:14" x14ac:dyDescent="0.25">
      <c r="A1027" t="s">
        <v>42</v>
      </c>
      <c r="B1027" t="s">
        <v>165</v>
      </c>
      <c r="C1027" t="s">
        <v>314</v>
      </c>
      <c r="D1027" t="s">
        <v>425</v>
      </c>
      <c r="F1027" t="s">
        <v>459</v>
      </c>
      <c r="G1027" t="str">
        <f>HYPERLINK("https://ca.linkedin.com/jobs/view/cognitive-data-analyst-at-wysdom-ai-3333087497?refId=DpfoqdviZYHaKlcmFPj0Yg%3D%3D&amp;trackingId=%2BFRREJUgRoZsgCAS%2BSoreg%3D%3D&amp;position=7&amp;pageNum=0&amp;trk=public_jobs_jserp-result_search-card", "Job Link")</f>
        <v>Job Link</v>
      </c>
      <c r="H1027" t="s">
        <v>478</v>
      </c>
      <c r="I1027" t="s">
        <v>481</v>
      </c>
      <c r="J1027" t="s">
        <v>486</v>
      </c>
      <c r="K1027" t="s">
        <v>516</v>
      </c>
      <c r="L1027" t="s">
        <v>601</v>
      </c>
    </row>
    <row r="1028" spans="1:14" x14ac:dyDescent="0.25">
      <c r="A1028" t="s">
        <v>43</v>
      </c>
      <c r="B1028" t="s">
        <v>166</v>
      </c>
      <c r="C1028" t="s">
        <v>315</v>
      </c>
      <c r="D1028" t="s">
        <v>425</v>
      </c>
      <c r="F1028" t="s">
        <v>432</v>
      </c>
      <c r="G1028" t="str">
        <f>HYPERLINK("https://ca.linkedin.com/jobs/view/data-analyst-operations-at-felix-3360946633?refId=DpfoqdviZYHaKlcmFPj0Yg%3D%3D&amp;trackingId=4MMM5JuMG%2F8E58dyIRl0ag%3D%3D&amp;position=8&amp;pageNum=0&amp;trk=public_jobs_jserp-result_search-card", "Job Link")</f>
        <v>Job Link</v>
      </c>
      <c r="I1028" t="s">
        <v>481</v>
      </c>
      <c r="L1028" t="s">
        <v>601</v>
      </c>
    </row>
    <row r="1029" spans="1:14" x14ac:dyDescent="0.25">
      <c r="A1029" t="s">
        <v>14</v>
      </c>
      <c r="B1029" t="s">
        <v>162</v>
      </c>
      <c r="C1029" t="s">
        <v>311</v>
      </c>
      <c r="D1029" t="s">
        <v>425</v>
      </c>
      <c r="F1029" t="s">
        <v>434</v>
      </c>
      <c r="G1029" t="str">
        <f>HYPERLINK("https://ca.linkedin.com/jobs/view/data-analyst-at-money-mart-financial-services-3361528052?refId=DpfoqdviZYHaKlcmFPj0Yg%3D%3D&amp;trackingId=bToSv9dcL0DySyM8LTwzaw%3D%3D&amp;position=9&amp;pageNum=0&amp;trk=public_jobs_jserp-result_search-card", "Job Link")</f>
        <v>Job Link</v>
      </c>
      <c r="H1029" t="s">
        <v>477</v>
      </c>
      <c r="I1029" t="s">
        <v>481</v>
      </c>
      <c r="J1029" t="s">
        <v>488</v>
      </c>
      <c r="K1029" t="s">
        <v>527</v>
      </c>
      <c r="L1029" t="s">
        <v>582</v>
      </c>
      <c r="M1029" t="s">
        <v>588</v>
      </c>
      <c r="N1029" t="s">
        <v>601</v>
      </c>
    </row>
    <row r="1030" spans="1:14" x14ac:dyDescent="0.25">
      <c r="A1030" t="s">
        <v>44</v>
      </c>
      <c r="B1030" t="s">
        <v>167</v>
      </c>
      <c r="C1030" t="s">
        <v>316</v>
      </c>
      <c r="D1030" t="s">
        <v>425</v>
      </c>
      <c r="F1030" t="s">
        <v>460</v>
      </c>
      <c r="G1030" t="str">
        <f>HYPERLINK("https://ca.linkedin.com/jobs/view/data-analyst-marketing-at-thescore-3272474942?refId=DpfoqdviZYHaKlcmFPj0Yg%3D%3D&amp;trackingId=GUnPz%2Bu4fFIbkUN3qHimkg%3D%3D&amp;position=10&amp;pageNum=0&amp;trk=public_jobs_jserp-result_search-card", "Job Link")</f>
        <v>Job Link</v>
      </c>
      <c r="H1030" t="s">
        <v>476</v>
      </c>
      <c r="I1030" t="s">
        <v>481</v>
      </c>
      <c r="J1030" t="s">
        <v>486</v>
      </c>
      <c r="K1030" t="s">
        <v>545</v>
      </c>
      <c r="L1030" t="s">
        <v>582</v>
      </c>
      <c r="M1030" t="s">
        <v>588</v>
      </c>
      <c r="N1030" t="s">
        <v>601</v>
      </c>
    </row>
    <row r="1031" spans="1:14" x14ac:dyDescent="0.25">
      <c r="A1031" t="s">
        <v>45</v>
      </c>
      <c r="B1031" t="s">
        <v>168</v>
      </c>
      <c r="C1031" t="s">
        <v>317</v>
      </c>
      <c r="D1031" t="s">
        <v>425</v>
      </c>
      <c r="F1031" t="s">
        <v>443</v>
      </c>
      <c r="G1031" t="str">
        <f>HYPERLINK("https://ca.linkedin.com/jobs/view/senior-data-analyst-apac-marketplace-at-hopper-3363404929?refId=DpfoqdviZYHaKlcmFPj0Yg%3D%3D&amp;trackingId=EdZRHtZaxsoOtaUHJVYKjA%3D%3D&amp;position=11&amp;pageNum=0&amp;trk=public_jobs_jserp-result_search-card", "Job Link")</f>
        <v>Job Link</v>
      </c>
      <c r="H1031" t="s">
        <v>478</v>
      </c>
      <c r="I1031" t="s">
        <v>485</v>
      </c>
      <c r="J1031" t="s">
        <v>486</v>
      </c>
      <c r="K1031" t="s">
        <v>538</v>
      </c>
      <c r="L1031" t="s">
        <v>601</v>
      </c>
    </row>
    <row r="1032" spans="1:14" x14ac:dyDescent="0.25">
      <c r="A1032" t="s">
        <v>48</v>
      </c>
      <c r="B1032" t="s">
        <v>173</v>
      </c>
      <c r="C1032" t="s">
        <v>322</v>
      </c>
      <c r="D1032" t="s">
        <v>425</v>
      </c>
      <c r="F1032" t="s">
        <v>462</v>
      </c>
      <c r="G1032" t="str">
        <f>HYPERLINK("https://ca.linkedin.com/jobs/view/data-analyst-trilogy-remote-%2460-000-year-usd-at-crossover-3367086698?refId=DpfoqdviZYHaKlcmFPj0Yg%3D%3D&amp;trackingId=BWhW7sgpd30%2FAhVENygDRw%3D%3D&amp;position=12&amp;pageNum=0&amp;trk=public_jobs_jserp-result_search-card", "Job Link")</f>
        <v>Job Link</v>
      </c>
      <c r="H1032" t="s">
        <v>477</v>
      </c>
      <c r="I1032" t="s">
        <v>481</v>
      </c>
      <c r="J1032" t="s">
        <v>496</v>
      </c>
      <c r="K1032" t="s">
        <v>549</v>
      </c>
      <c r="L1032" t="s">
        <v>582</v>
      </c>
      <c r="M1032" t="s">
        <v>588</v>
      </c>
      <c r="N1032" t="s">
        <v>601</v>
      </c>
    </row>
    <row r="1033" spans="1:14" x14ac:dyDescent="0.25">
      <c r="A1033" t="s">
        <v>46</v>
      </c>
      <c r="B1033" t="s">
        <v>169</v>
      </c>
      <c r="C1033" t="s">
        <v>318</v>
      </c>
      <c r="D1033" t="s">
        <v>425</v>
      </c>
      <c r="F1033" t="s">
        <v>461</v>
      </c>
      <c r="G1033">
        <v>0</v>
      </c>
      <c r="H1033" t="s">
        <v>478</v>
      </c>
      <c r="I1033" t="s">
        <v>481</v>
      </c>
      <c r="J1033" t="s">
        <v>494</v>
      </c>
      <c r="K1033" t="s">
        <v>546</v>
      </c>
      <c r="L1033" t="s">
        <v>601</v>
      </c>
    </row>
    <row r="1034" spans="1:14" x14ac:dyDescent="0.25">
      <c r="A1034" t="s">
        <v>20</v>
      </c>
      <c r="B1034" t="s">
        <v>170</v>
      </c>
      <c r="C1034" t="s">
        <v>319</v>
      </c>
      <c r="D1034" t="s">
        <v>425</v>
      </c>
      <c r="F1034" t="s">
        <v>450</v>
      </c>
      <c r="G1034" t="str">
        <f>HYPERLINK("https://ca.linkedin.com/jobs/view/senior-data-analyst-at-thinkific-3333572538?refId=DpfoqdviZYHaKlcmFPj0Yg%3D%3D&amp;trackingId=wRGUa2YAAlBFtREUMNh49g%3D%3D&amp;position=14&amp;pageNum=0&amp;trk=public_jobs_jserp-result_search-card", "Job Link")</f>
        <v>Job Link</v>
      </c>
      <c r="H1034" t="s">
        <v>478</v>
      </c>
      <c r="I1034" t="s">
        <v>481</v>
      </c>
      <c r="J1034" t="s">
        <v>495</v>
      </c>
      <c r="K1034" t="s">
        <v>547</v>
      </c>
      <c r="L1034" t="s">
        <v>601</v>
      </c>
    </row>
    <row r="1035" spans="1:14" x14ac:dyDescent="0.25">
      <c r="A1035" t="s">
        <v>47</v>
      </c>
      <c r="B1035" t="s">
        <v>171</v>
      </c>
      <c r="C1035" t="s">
        <v>320</v>
      </c>
      <c r="D1035" t="s">
        <v>425</v>
      </c>
      <c r="F1035" t="s">
        <v>447</v>
      </c>
      <c r="G1035" t="str">
        <f>HYPERLINK("https://ca.linkedin.com/jobs/view/insights-analyst-at-flashfood-3312876343?refId=DpfoqdviZYHaKlcmFPj0Yg%3D%3D&amp;trackingId=JcGDaA3NgrfeISnfITwP4Q%3D%3D&amp;position=15&amp;pageNum=0&amp;trk=public_jobs_jserp-result_search-card", "Job Link")</f>
        <v>Job Link</v>
      </c>
      <c r="I1035" t="s">
        <v>481</v>
      </c>
      <c r="L1035" t="s">
        <v>601</v>
      </c>
    </row>
    <row r="1036" spans="1:14" x14ac:dyDescent="0.25">
      <c r="A1036" t="s">
        <v>20</v>
      </c>
      <c r="B1036" t="s">
        <v>172</v>
      </c>
      <c r="C1036" t="s">
        <v>321</v>
      </c>
      <c r="D1036" t="s">
        <v>425</v>
      </c>
      <c r="F1036" t="s">
        <v>438</v>
      </c>
      <c r="G1036" t="str">
        <f>HYPERLINK("https://ca.linkedin.com/jobs/view/senior-data-analyst-at-system1-3324728130?refId=DpfoqdviZYHaKlcmFPj0Yg%3D%3D&amp;trackingId=jMuvh6u1jTOxkSZRXS9o0g%3D%3D&amp;position=16&amp;pageNum=0&amp;trk=public_jobs_jserp-result_search-card", "Job Link")</f>
        <v>Job Link</v>
      </c>
      <c r="H1036" t="s">
        <v>478</v>
      </c>
      <c r="I1036" t="s">
        <v>481</v>
      </c>
      <c r="J1036" t="s">
        <v>486</v>
      </c>
      <c r="K1036" t="s">
        <v>548</v>
      </c>
      <c r="L1036" t="s">
        <v>587</v>
      </c>
      <c r="M1036" t="s">
        <v>588</v>
      </c>
      <c r="N1036" t="s">
        <v>601</v>
      </c>
    </row>
    <row r="1037" spans="1:14" x14ac:dyDescent="0.25">
      <c r="A1037" t="s">
        <v>49</v>
      </c>
      <c r="B1037" t="s">
        <v>174</v>
      </c>
      <c r="C1037" t="s">
        <v>323</v>
      </c>
      <c r="D1037" t="s">
        <v>425</v>
      </c>
      <c r="F1037" t="s">
        <v>433</v>
      </c>
      <c r="G1037" t="str">
        <f>HYPERLINK("https://ca.linkedin.com/jobs/view/product-data-analyst-wtfast-at-blankslate-partners-3350561493?refId=DpfoqdviZYHaKlcmFPj0Yg%3D%3D&amp;trackingId=1glz2CwGckMWsjEXv9BeLg%3D%3D&amp;position=17&amp;pageNum=0&amp;trk=public_jobs_jserp-result_search-card", "Job Link")</f>
        <v>Job Link</v>
      </c>
      <c r="H1037" t="s">
        <v>479</v>
      </c>
      <c r="I1037" t="s">
        <v>481</v>
      </c>
      <c r="J1037" t="s">
        <v>497</v>
      </c>
      <c r="K1037" t="s">
        <v>538</v>
      </c>
      <c r="L1037" t="s">
        <v>603</v>
      </c>
      <c r="M1037" t="s">
        <v>618</v>
      </c>
      <c r="N1037" t="s">
        <v>601</v>
      </c>
    </row>
    <row r="1038" spans="1:14" x14ac:dyDescent="0.25">
      <c r="A1038" t="s">
        <v>50</v>
      </c>
      <c r="B1038" t="s">
        <v>175</v>
      </c>
      <c r="C1038" t="s">
        <v>324</v>
      </c>
      <c r="D1038" t="s">
        <v>425</v>
      </c>
      <c r="F1038" t="s">
        <v>443</v>
      </c>
      <c r="G1038" t="str">
        <f>HYPERLINK("https://ca.linkedin.com/jobs/view/senior-data-analyst-toronto-on-at-ssense-3369567279?refId=DpfoqdviZYHaKlcmFPj0Yg%3D%3D&amp;trackingId=dm0WvvqRE1wjGzGf0nP3rw%3D%3D&amp;position=18&amp;pageNum=0&amp;trk=public_jobs_jserp-result_search-card", "Job Link")</f>
        <v>Job Link</v>
      </c>
      <c r="H1038" t="s">
        <v>478</v>
      </c>
      <c r="I1038" t="s">
        <v>481</v>
      </c>
      <c r="J1038" t="s">
        <v>486</v>
      </c>
      <c r="K1038" t="s">
        <v>550</v>
      </c>
      <c r="L1038" t="s">
        <v>582</v>
      </c>
      <c r="M1038" t="s">
        <v>588</v>
      </c>
      <c r="N1038" t="s">
        <v>601</v>
      </c>
    </row>
    <row r="1039" spans="1:14" x14ac:dyDescent="0.25">
      <c r="A1039" t="s">
        <v>51</v>
      </c>
      <c r="B1039" t="s">
        <v>175</v>
      </c>
      <c r="C1039" t="s">
        <v>325</v>
      </c>
      <c r="D1039" t="s">
        <v>425</v>
      </c>
      <c r="F1039" t="s">
        <v>443</v>
      </c>
      <c r="G1039" t="str">
        <f>HYPERLINK("https://ca.linkedin.com/jobs/view/senior-data-analyst-analytics-insights-toronto-on-at-ssense-3369558722?refId=DpfoqdviZYHaKlcmFPj0Yg%3D%3D&amp;trackingId=YUm4Tnf9PmAct6X0DJphSg%3D%3D&amp;position=19&amp;pageNum=0&amp;trk=public_jobs_jserp-result_search-card", "Job Link")</f>
        <v>Job Link</v>
      </c>
      <c r="H1039" t="s">
        <v>478</v>
      </c>
      <c r="I1039" t="s">
        <v>481</v>
      </c>
      <c r="J1039" t="s">
        <v>491</v>
      </c>
      <c r="K1039" t="s">
        <v>550</v>
      </c>
      <c r="L1039" t="s">
        <v>582</v>
      </c>
      <c r="M1039" t="s">
        <v>588</v>
      </c>
      <c r="N1039" t="s">
        <v>601</v>
      </c>
    </row>
    <row r="1040" spans="1:14" x14ac:dyDescent="0.25">
      <c r="A1040" t="s">
        <v>51</v>
      </c>
      <c r="B1040" t="s">
        <v>175</v>
      </c>
      <c r="C1040" t="s">
        <v>325</v>
      </c>
      <c r="D1040" t="s">
        <v>425</v>
      </c>
      <c r="F1040" t="s">
        <v>443</v>
      </c>
      <c r="G1040" t="str">
        <f>HYPERLINK("https://ca.linkedin.com/jobs/view/senior-data-analyst-analytics-insights-toronto-on-at-ssense-3369560180?refId=DpfoqdviZYHaKlcmFPj0Yg%3D%3D&amp;trackingId=tRfeDgIvRdPUlD4GVm6f1w%3D%3D&amp;position=20&amp;pageNum=0&amp;trk=public_jobs_jserp-result_search-card", "Job Link")</f>
        <v>Job Link</v>
      </c>
      <c r="H1040" t="s">
        <v>478</v>
      </c>
      <c r="I1040" t="s">
        <v>481</v>
      </c>
      <c r="J1040" t="s">
        <v>491</v>
      </c>
      <c r="K1040" t="s">
        <v>550</v>
      </c>
      <c r="L1040" t="s">
        <v>582</v>
      </c>
      <c r="M1040" t="s">
        <v>588</v>
      </c>
      <c r="N1040" t="s">
        <v>601</v>
      </c>
    </row>
    <row r="1041" spans="1:14" x14ac:dyDescent="0.25">
      <c r="A1041" t="s">
        <v>52</v>
      </c>
      <c r="B1041" t="s">
        <v>173</v>
      </c>
      <c r="C1041" t="s">
        <v>327</v>
      </c>
      <c r="D1041" t="s">
        <v>425</v>
      </c>
      <c r="F1041" t="s">
        <v>462</v>
      </c>
      <c r="G1041" t="str">
        <f>HYPERLINK("https://ca.linkedin.com/jobs/view/data-research-analyst-trilogy-remote-%2460-000-year-usd-at-crossover-3367090309?refId=DpfoqdviZYHaKlcmFPj0Yg%3D%3D&amp;trackingId=5v7VMb7hTFg1OBDynCy0Fw%3D%3D&amp;position=21&amp;pageNum=0&amp;trk=public_jobs_jserp-result_search-card", "Job Link")</f>
        <v>Job Link</v>
      </c>
      <c r="H1041" t="s">
        <v>477</v>
      </c>
      <c r="I1041" t="s">
        <v>481</v>
      </c>
      <c r="J1041" t="s">
        <v>499</v>
      </c>
      <c r="K1041" t="s">
        <v>549</v>
      </c>
      <c r="L1041" t="s">
        <v>588</v>
      </c>
      <c r="M1041" t="s">
        <v>601</v>
      </c>
    </row>
    <row r="1042" spans="1:14" x14ac:dyDescent="0.25">
      <c r="A1042" t="s">
        <v>27</v>
      </c>
      <c r="B1042" t="s">
        <v>176</v>
      </c>
      <c r="C1042" t="s">
        <v>326</v>
      </c>
      <c r="D1042" t="s">
        <v>425</v>
      </c>
      <c r="F1042" t="s">
        <v>441</v>
      </c>
      <c r="G1042" t="str">
        <f>HYPERLINK("https://ca.linkedin.com/jobs/view/sr-data-analyst-at-telus-international-digital-solutions-3331944226?refId=DpfoqdviZYHaKlcmFPj0Yg%3D%3D&amp;trackingId=lUx5ejGJo1ECI%2FVKuRKHuQ%3D%3D&amp;position=22&amp;pageNum=0&amp;trk=public_jobs_jserp-result_search-card", "Job Link")</f>
        <v>Job Link</v>
      </c>
      <c r="H1042" t="s">
        <v>478</v>
      </c>
      <c r="I1042" t="s">
        <v>481</v>
      </c>
      <c r="J1042" t="s">
        <v>498</v>
      </c>
      <c r="K1042" t="s">
        <v>521</v>
      </c>
      <c r="L1042" t="s">
        <v>604</v>
      </c>
      <c r="M1042" t="s">
        <v>618</v>
      </c>
      <c r="N1042" t="s">
        <v>601</v>
      </c>
    </row>
    <row r="1043" spans="1:14" x14ac:dyDescent="0.25">
      <c r="A1043" t="s">
        <v>14</v>
      </c>
      <c r="B1043" t="s">
        <v>158</v>
      </c>
      <c r="C1043" t="s">
        <v>307</v>
      </c>
      <c r="D1043" t="s">
        <v>425</v>
      </c>
      <c r="F1043" t="s">
        <v>430</v>
      </c>
      <c r="G1043" t="str">
        <f>HYPERLINK("https://ca.linkedin.com/jobs/view/data-analyst-at-empire-life-3324608289?refId=%2BCqnmI11De85%2FA%2BETQDPQg%3D%3D&amp;trackingId=CGaYRTAVX2DdRB5RIBs99g%3D%3D&amp;position=1&amp;pageNum=0&amp;trk=public_jobs_jserp-result_search-card", "Job Link")</f>
        <v>Job Link</v>
      </c>
      <c r="H1043" t="s">
        <v>476</v>
      </c>
      <c r="I1043" t="s">
        <v>481</v>
      </c>
      <c r="J1043" t="s">
        <v>485</v>
      </c>
      <c r="K1043" t="s">
        <v>523</v>
      </c>
      <c r="L1043" t="s">
        <v>601</v>
      </c>
    </row>
    <row r="1044" spans="1:14" x14ac:dyDescent="0.25">
      <c r="A1044" t="s">
        <v>40</v>
      </c>
      <c r="B1044" t="s">
        <v>159</v>
      </c>
      <c r="C1044" t="s">
        <v>308</v>
      </c>
      <c r="D1044" t="s">
        <v>425</v>
      </c>
      <c r="F1044" t="s">
        <v>435</v>
      </c>
      <c r="G1044" t="str">
        <f>HYPERLINK("https://ca.linkedin.com/jobs/view/data-visualization-developer-analyst-at-blue-boat-data-3335318133?refId=%2BCqnmI11De85%2FA%2BETQDPQg%3D%3D&amp;trackingId=mEWhOqMoTe82FXpUYkI2Mg%3D%3D&amp;position=2&amp;pageNum=0&amp;trk=public_jobs_jserp-result_search-card", "Job Link")</f>
        <v>Job Link</v>
      </c>
      <c r="I1044" t="s">
        <v>483</v>
      </c>
      <c r="L1044" t="s">
        <v>601</v>
      </c>
    </row>
    <row r="1045" spans="1:14" x14ac:dyDescent="0.25">
      <c r="A1045" t="s">
        <v>14</v>
      </c>
      <c r="B1045" t="s">
        <v>160</v>
      </c>
      <c r="C1045" t="s">
        <v>309</v>
      </c>
      <c r="D1045" t="s">
        <v>425</v>
      </c>
      <c r="E1045" t="s">
        <v>427</v>
      </c>
      <c r="F1045" t="s">
        <v>458</v>
      </c>
      <c r="G1045" t="str">
        <f>HYPERLINK("https://ca.linkedin.com/jobs/view/data-analyst-at-libitzky-property-companies-3314494593?refId=%2BCqnmI11De85%2FA%2BETQDPQg%3D%3D&amp;trackingId=VNLdR1qNn2sDwIIXnpVq%2FA%3D%3D&amp;position=3&amp;pageNum=0&amp;trk=public_jobs_jserp-result_search-card", "Job Link")</f>
        <v>Job Link</v>
      </c>
      <c r="H1045" t="s">
        <v>476</v>
      </c>
      <c r="I1045" t="s">
        <v>481</v>
      </c>
      <c r="J1045" t="s">
        <v>486</v>
      </c>
      <c r="K1045" t="s">
        <v>516</v>
      </c>
      <c r="L1045" t="s">
        <v>601</v>
      </c>
    </row>
    <row r="1046" spans="1:14" x14ac:dyDescent="0.25">
      <c r="A1046" t="s">
        <v>14</v>
      </c>
      <c r="B1046" t="s">
        <v>161</v>
      </c>
      <c r="C1046" t="s">
        <v>310</v>
      </c>
      <c r="D1046" t="s">
        <v>425</v>
      </c>
      <c r="F1046" t="s">
        <v>435</v>
      </c>
      <c r="G1046" t="str">
        <f>HYPERLINK("https://ca.linkedin.com/jobs/view/data-analyst-at-spire-3340696458?refId=%2BCqnmI11De85%2FA%2BETQDPQg%3D%3D&amp;trackingId=0luOfDisPxWtdm2dNVP54w%3D%3D&amp;position=4&amp;pageNum=0&amp;trk=public_jobs_jserp-result_search-card", "Job Link")</f>
        <v>Job Link</v>
      </c>
      <c r="H1046" t="s">
        <v>476</v>
      </c>
      <c r="I1046" t="s">
        <v>481</v>
      </c>
      <c r="J1046" t="s">
        <v>486</v>
      </c>
      <c r="K1046" t="s">
        <v>517</v>
      </c>
      <c r="L1046" t="s">
        <v>602</v>
      </c>
      <c r="M1046" t="s">
        <v>588</v>
      </c>
      <c r="N1046" t="s">
        <v>601</v>
      </c>
    </row>
    <row r="1047" spans="1:14" x14ac:dyDescent="0.25">
      <c r="A1047" t="s">
        <v>14</v>
      </c>
      <c r="B1047" t="s">
        <v>162</v>
      </c>
      <c r="C1047" t="s">
        <v>311</v>
      </c>
      <c r="D1047" t="s">
        <v>425</v>
      </c>
      <c r="F1047" t="s">
        <v>434</v>
      </c>
      <c r="G1047" t="str">
        <f>HYPERLINK("https://ca.linkedin.com/jobs/view/data-analyst-at-money-mart-financial-services-3361528052?refId=%2BCqnmI11De85%2FA%2BETQDPQg%3D%3D&amp;trackingId=HYuQXYix8evL9AsQ0UceMw%3D%3D&amp;position=5&amp;pageNum=0&amp;trk=public_jobs_jserp-result_search-card", "Job Link")</f>
        <v>Job Link</v>
      </c>
      <c r="H1047" t="s">
        <v>477</v>
      </c>
      <c r="I1047" t="s">
        <v>481</v>
      </c>
      <c r="J1047" t="s">
        <v>488</v>
      </c>
      <c r="K1047" t="s">
        <v>527</v>
      </c>
      <c r="L1047" t="s">
        <v>582</v>
      </c>
      <c r="M1047" t="s">
        <v>588</v>
      </c>
      <c r="N1047" t="s">
        <v>601</v>
      </c>
    </row>
    <row r="1048" spans="1:14" x14ac:dyDescent="0.25">
      <c r="A1048" t="s">
        <v>14</v>
      </c>
      <c r="B1048" t="s">
        <v>163</v>
      </c>
      <c r="C1048" t="s">
        <v>312</v>
      </c>
      <c r="D1048" t="s">
        <v>425</v>
      </c>
      <c r="F1048" t="s">
        <v>443</v>
      </c>
      <c r="G1048" t="str">
        <f>HYPERLINK("https://ca.linkedin.com/jobs/view/data-analyst-at-mojio-3363472062?refId=%2BCqnmI11De85%2FA%2BETQDPQg%3D%3D&amp;trackingId=ZLhVg5Cgx%2FwYXejSMJfzfw%3D%3D&amp;position=6&amp;pageNum=0&amp;trk=public_jobs_jserp-result_search-card", "Job Link")</f>
        <v>Job Link</v>
      </c>
      <c r="H1048" t="s">
        <v>478</v>
      </c>
      <c r="I1048" t="s">
        <v>481</v>
      </c>
      <c r="J1048" t="s">
        <v>493</v>
      </c>
      <c r="K1048" t="s">
        <v>544</v>
      </c>
      <c r="L1048" t="s">
        <v>601</v>
      </c>
    </row>
    <row r="1049" spans="1:14" x14ac:dyDescent="0.25">
      <c r="A1049" t="s">
        <v>41</v>
      </c>
      <c r="B1049" t="s">
        <v>164</v>
      </c>
      <c r="C1049" t="s">
        <v>313</v>
      </c>
      <c r="D1049" t="s">
        <v>425</v>
      </c>
      <c r="F1049" t="s">
        <v>444</v>
      </c>
      <c r="G1049" t="str">
        <f>HYPERLINK("https://ca.linkedin.com/jobs/view/product-data-analyst-at-pdftron-systems-inc-3322845144?refId=%2BCqnmI11De85%2FA%2BETQDPQg%3D%3D&amp;trackingId=CXjAHgnbsFonV6dr8xMXSw%3D%3D&amp;position=7&amp;pageNum=0&amp;trk=public_jobs_jserp-result_search-card", "Job Link")</f>
        <v>Job Link</v>
      </c>
      <c r="H1049" t="s">
        <v>479</v>
      </c>
      <c r="I1049" t="s">
        <v>481</v>
      </c>
      <c r="J1049" t="s">
        <v>487</v>
      </c>
      <c r="K1049" t="s">
        <v>538</v>
      </c>
      <c r="L1049" t="s">
        <v>590</v>
      </c>
      <c r="M1049" t="s">
        <v>618</v>
      </c>
      <c r="N1049" t="s">
        <v>601</v>
      </c>
    </row>
    <row r="1050" spans="1:14" x14ac:dyDescent="0.25">
      <c r="A1050" t="s">
        <v>42</v>
      </c>
      <c r="B1050" t="s">
        <v>165</v>
      </c>
      <c r="C1050" t="s">
        <v>314</v>
      </c>
      <c r="D1050" t="s">
        <v>425</v>
      </c>
      <c r="F1050" t="s">
        <v>459</v>
      </c>
      <c r="G1050" t="str">
        <f>HYPERLINK("https://ca.linkedin.com/jobs/view/cognitive-data-analyst-at-wysdom-ai-3333087497?refId=%2BCqnmI11De85%2FA%2BETQDPQg%3D%3D&amp;trackingId=kDitiF%2FL7pShk1efq7XOdg%3D%3D&amp;position=8&amp;pageNum=0&amp;trk=public_jobs_jserp-result_search-card", "Job Link")</f>
        <v>Job Link</v>
      </c>
      <c r="H1050" t="s">
        <v>478</v>
      </c>
      <c r="I1050" t="s">
        <v>481</v>
      </c>
      <c r="J1050" t="s">
        <v>486</v>
      </c>
      <c r="K1050" t="s">
        <v>516</v>
      </c>
      <c r="L1050" t="s">
        <v>601</v>
      </c>
    </row>
    <row r="1051" spans="1:14" x14ac:dyDescent="0.25">
      <c r="A1051" t="s">
        <v>43</v>
      </c>
      <c r="B1051" t="s">
        <v>166</v>
      </c>
      <c r="C1051" t="s">
        <v>315</v>
      </c>
      <c r="D1051" t="s">
        <v>425</v>
      </c>
      <c r="F1051" t="s">
        <v>432</v>
      </c>
      <c r="G1051" t="str">
        <f>HYPERLINK("https://ca.linkedin.com/jobs/view/data-analyst-operations-at-felix-3360946633?refId=%2BCqnmI11De85%2FA%2BETQDPQg%3D%3D&amp;trackingId=ODkPXulT%2BQa72E%2FLfCycEw%3D%3D&amp;position=9&amp;pageNum=0&amp;trk=public_jobs_jserp-result_search-card", "Job Link")</f>
        <v>Job Link</v>
      </c>
      <c r="I1051" t="s">
        <v>481</v>
      </c>
      <c r="L1051" t="s">
        <v>601</v>
      </c>
    </row>
    <row r="1052" spans="1:14" x14ac:dyDescent="0.25">
      <c r="A1052" t="s">
        <v>44</v>
      </c>
      <c r="B1052" t="s">
        <v>167</v>
      </c>
      <c r="C1052" t="s">
        <v>316</v>
      </c>
      <c r="D1052" t="s">
        <v>425</v>
      </c>
      <c r="F1052" t="s">
        <v>460</v>
      </c>
      <c r="G1052" t="str">
        <f>HYPERLINK("https://ca.linkedin.com/jobs/view/data-analyst-marketing-at-thescore-3272474942?refId=%2BCqnmI11De85%2FA%2BETQDPQg%3D%3D&amp;trackingId=aG5cW7iemHKhJkvYIzjJBg%3D%3D&amp;position=10&amp;pageNum=0&amp;trk=public_jobs_jserp-result_search-card", "Job Link")</f>
        <v>Job Link</v>
      </c>
      <c r="H1052" t="s">
        <v>476</v>
      </c>
      <c r="I1052" t="s">
        <v>481</v>
      </c>
      <c r="J1052" t="s">
        <v>486</v>
      </c>
      <c r="K1052" t="s">
        <v>545</v>
      </c>
      <c r="L1052" t="s">
        <v>582</v>
      </c>
      <c r="M1052" t="s">
        <v>588</v>
      </c>
      <c r="N1052" t="s">
        <v>601</v>
      </c>
    </row>
    <row r="1053" spans="1:14" x14ac:dyDescent="0.25">
      <c r="A1053" t="s">
        <v>45</v>
      </c>
      <c r="B1053" t="s">
        <v>168</v>
      </c>
      <c r="C1053" t="s">
        <v>317</v>
      </c>
      <c r="D1053" t="s">
        <v>425</v>
      </c>
      <c r="F1053" t="s">
        <v>443</v>
      </c>
      <c r="G1053" t="str">
        <f>HYPERLINK("https://ca.linkedin.com/jobs/view/senior-data-analyst-apac-marketplace-at-hopper-3363404929?refId=%2BCqnmI11De85%2FA%2BETQDPQg%3D%3D&amp;trackingId=gfAgAI3CwuNTH6ujwlrcCQ%3D%3D&amp;position=11&amp;pageNum=0&amp;trk=public_jobs_jserp-result_search-card", "Job Link")</f>
        <v>Job Link</v>
      </c>
      <c r="H1053" t="s">
        <v>478</v>
      </c>
      <c r="I1053" t="s">
        <v>485</v>
      </c>
      <c r="J1053" t="s">
        <v>486</v>
      </c>
      <c r="K1053" t="s">
        <v>538</v>
      </c>
      <c r="L1053" t="s">
        <v>601</v>
      </c>
    </row>
    <row r="1054" spans="1:14" x14ac:dyDescent="0.25">
      <c r="A1054" t="s">
        <v>46</v>
      </c>
      <c r="B1054" t="s">
        <v>169</v>
      </c>
      <c r="C1054" t="s">
        <v>318</v>
      </c>
      <c r="D1054" t="s">
        <v>425</v>
      </c>
      <c r="F1054" t="s">
        <v>461</v>
      </c>
      <c r="G1054">
        <v>0</v>
      </c>
      <c r="H1054" t="s">
        <v>478</v>
      </c>
      <c r="I1054" t="s">
        <v>481</v>
      </c>
      <c r="J1054" t="s">
        <v>494</v>
      </c>
      <c r="K1054" t="s">
        <v>546</v>
      </c>
      <c r="L1054" t="s">
        <v>601</v>
      </c>
    </row>
    <row r="1055" spans="1:14" x14ac:dyDescent="0.25">
      <c r="A1055" t="s">
        <v>20</v>
      </c>
      <c r="B1055" t="s">
        <v>170</v>
      </c>
      <c r="C1055" t="s">
        <v>319</v>
      </c>
      <c r="D1055" t="s">
        <v>425</v>
      </c>
      <c r="F1055" t="s">
        <v>450</v>
      </c>
      <c r="G1055" t="str">
        <f>HYPERLINK("https://ca.linkedin.com/jobs/view/senior-data-analyst-at-thinkific-3333572538?refId=%2BCqnmI11De85%2FA%2BETQDPQg%3D%3D&amp;trackingId=LCNgpJvE%2FHzdjU0hsTEhqw%3D%3D&amp;position=13&amp;pageNum=0&amp;trk=public_jobs_jserp-result_search-card", "Job Link")</f>
        <v>Job Link</v>
      </c>
      <c r="H1055" t="s">
        <v>478</v>
      </c>
      <c r="I1055" t="s">
        <v>481</v>
      </c>
      <c r="J1055" t="s">
        <v>495</v>
      </c>
      <c r="K1055" t="s">
        <v>547</v>
      </c>
      <c r="L1055" t="s">
        <v>601</v>
      </c>
    </row>
    <row r="1056" spans="1:14" x14ac:dyDescent="0.25">
      <c r="A1056" t="s">
        <v>47</v>
      </c>
      <c r="B1056" t="s">
        <v>171</v>
      </c>
      <c r="C1056" t="s">
        <v>320</v>
      </c>
      <c r="D1056" t="s">
        <v>425</v>
      </c>
      <c r="F1056" t="s">
        <v>447</v>
      </c>
      <c r="G1056" t="str">
        <f>HYPERLINK("https://ca.linkedin.com/jobs/view/insights-analyst-at-flashfood-3312876343?refId=%2BCqnmI11De85%2FA%2BETQDPQg%3D%3D&amp;trackingId=TdGrxZ5du2YbJBC0yW1G2w%3D%3D&amp;position=14&amp;pageNum=0&amp;trk=public_jobs_jserp-result_search-card", "Job Link")</f>
        <v>Job Link</v>
      </c>
      <c r="I1056" t="s">
        <v>481</v>
      </c>
      <c r="L1056" t="s">
        <v>601</v>
      </c>
    </row>
    <row r="1057" spans="1:14" x14ac:dyDescent="0.25">
      <c r="A1057" t="s">
        <v>20</v>
      </c>
      <c r="B1057" t="s">
        <v>172</v>
      </c>
      <c r="C1057" t="s">
        <v>321</v>
      </c>
      <c r="D1057" t="s">
        <v>425</v>
      </c>
      <c r="F1057" t="s">
        <v>438</v>
      </c>
      <c r="G1057" t="str">
        <f>HYPERLINK("https://ca.linkedin.com/jobs/view/senior-data-analyst-at-system1-3324728130?refId=%2BCqnmI11De85%2FA%2BETQDPQg%3D%3D&amp;trackingId=fXMQiXzncF51Q95ivQYyZw%3D%3D&amp;position=15&amp;pageNum=0&amp;trk=public_jobs_jserp-result_search-card", "Job Link")</f>
        <v>Job Link</v>
      </c>
      <c r="H1057" t="s">
        <v>478</v>
      </c>
      <c r="I1057" t="s">
        <v>481</v>
      </c>
      <c r="J1057" t="s">
        <v>486</v>
      </c>
      <c r="K1057" t="s">
        <v>548</v>
      </c>
      <c r="L1057" t="s">
        <v>587</v>
      </c>
      <c r="M1057" t="s">
        <v>588</v>
      </c>
      <c r="N1057" t="s">
        <v>601</v>
      </c>
    </row>
    <row r="1058" spans="1:14" x14ac:dyDescent="0.25">
      <c r="A1058" t="s">
        <v>48</v>
      </c>
      <c r="B1058" t="s">
        <v>173</v>
      </c>
      <c r="C1058" t="s">
        <v>322</v>
      </c>
      <c r="D1058" t="s">
        <v>425</v>
      </c>
      <c r="F1058" t="s">
        <v>462</v>
      </c>
      <c r="G1058" t="str">
        <f>HYPERLINK("https://ca.linkedin.com/jobs/view/data-analyst-trilogy-remote-%2460-000-year-usd-at-crossover-3367086698?refId=%2BCqnmI11De85%2FA%2BETQDPQg%3D%3D&amp;trackingId=fs49MTzBixKGQj2ZwTg3gA%3D%3D&amp;position=16&amp;pageNum=0&amp;trk=public_jobs_jserp-result_search-card", "Job Link")</f>
        <v>Job Link</v>
      </c>
      <c r="H1058" t="s">
        <v>477</v>
      </c>
      <c r="I1058" t="s">
        <v>481</v>
      </c>
      <c r="J1058" t="s">
        <v>496</v>
      </c>
      <c r="K1058" t="s">
        <v>549</v>
      </c>
      <c r="L1058" t="s">
        <v>582</v>
      </c>
      <c r="M1058" t="s">
        <v>588</v>
      </c>
      <c r="N1058" t="s">
        <v>601</v>
      </c>
    </row>
    <row r="1059" spans="1:14" x14ac:dyDescent="0.25">
      <c r="A1059" t="s">
        <v>49</v>
      </c>
      <c r="B1059" t="s">
        <v>174</v>
      </c>
      <c r="C1059" t="s">
        <v>323</v>
      </c>
      <c r="D1059" t="s">
        <v>425</v>
      </c>
      <c r="F1059" t="s">
        <v>433</v>
      </c>
      <c r="G1059" t="str">
        <f>HYPERLINK("https://ca.linkedin.com/jobs/view/product-data-analyst-wtfast-at-blankslate-partners-3350561493?refId=%2BCqnmI11De85%2FA%2BETQDPQg%3D%3D&amp;trackingId=V9K6CyspeJiF1okau8FpUA%3D%3D&amp;position=17&amp;pageNum=0&amp;trk=public_jobs_jserp-result_search-card", "Job Link")</f>
        <v>Job Link</v>
      </c>
      <c r="H1059" t="s">
        <v>479</v>
      </c>
      <c r="I1059" t="s">
        <v>481</v>
      </c>
      <c r="J1059" t="s">
        <v>497</v>
      </c>
      <c r="K1059" t="s">
        <v>538</v>
      </c>
      <c r="L1059" t="s">
        <v>603</v>
      </c>
      <c r="M1059" t="s">
        <v>618</v>
      </c>
      <c r="N1059" t="s">
        <v>601</v>
      </c>
    </row>
    <row r="1060" spans="1:14" x14ac:dyDescent="0.25">
      <c r="A1060" t="s">
        <v>50</v>
      </c>
      <c r="B1060" t="s">
        <v>175</v>
      </c>
      <c r="C1060" t="s">
        <v>324</v>
      </c>
      <c r="D1060" t="s">
        <v>425</v>
      </c>
      <c r="F1060" t="s">
        <v>443</v>
      </c>
      <c r="G1060" t="str">
        <f>HYPERLINK("https://ca.linkedin.com/jobs/view/senior-data-analyst-toronto-on-at-ssense-3369567279?refId=%2BCqnmI11De85%2FA%2BETQDPQg%3D%3D&amp;trackingId=xyOGXbM5ZM3XHmvjFbHHog%3D%3D&amp;position=18&amp;pageNum=0&amp;trk=public_jobs_jserp-result_search-card", "Job Link")</f>
        <v>Job Link</v>
      </c>
      <c r="H1060" t="s">
        <v>478</v>
      </c>
      <c r="I1060" t="s">
        <v>481</v>
      </c>
      <c r="J1060" t="s">
        <v>486</v>
      </c>
      <c r="K1060" t="s">
        <v>550</v>
      </c>
      <c r="L1060" t="s">
        <v>582</v>
      </c>
      <c r="M1060" t="s">
        <v>588</v>
      </c>
      <c r="N1060" t="s">
        <v>601</v>
      </c>
    </row>
    <row r="1061" spans="1:14" x14ac:dyDescent="0.25">
      <c r="A1061" t="s">
        <v>51</v>
      </c>
      <c r="B1061" t="s">
        <v>175</v>
      </c>
      <c r="C1061" t="s">
        <v>325</v>
      </c>
      <c r="D1061" t="s">
        <v>425</v>
      </c>
      <c r="F1061" t="s">
        <v>443</v>
      </c>
      <c r="G1061" t="str">
        <f>HYPERLINK("https://ca.linkedin.com/jobs/view/senior-data-analyst-analytics-insights-toronto-on-at-ssense-3369558722?refId=%2BCqnmI11De85%2FA%2BETQDPQg%3D%3D&amp;trackingId=Jg%2BKMpFjGeQkoPLLA8%2FA9g%3D%3D&amp;position=19&amp;pageNum=0&amp;trk=public_jobs_jserp-result_search-card", "Job Link")</f>
        <v>Job Link</v>
      </c>
      <c r="H1061" t="s">
        <v>478</v>
      </c>
      <c r="I1061" t="s">
        <v>481</v>
      </c>
      <c r="J1061" t="s">
        <v>491</v>
      </c>
      <c r="K1061" t="s">
        <v>550</v>
      </c>
      <c r="L1061" t="s">
        <v>582</v>
      </c>
      <c r="M1061" t="s">
        <v>588</v>
      </c>
      <c r="N1061" t="s">
        <v>601</v>
      </c>
    </row>
    <row r="1062" spans="1:14" x14ac:dyDescent="0.25">
      <c r="A1062" t="s">
        <v>51</v>
      </c>
      <c r="B1062" t="s">
        <v>175</v>
      </c>
      <c r="C1062" t="s">
        <v>284</v>
      </c>
      <c r="D1062" t="s">
        <v>425</v>
      </c>
      <c r="F1062" t="s">
        <v>443</v>
      </c>
      <c r="G1062" t="str">
        <f>HYPERLINK("https://ca.linkedin.com/jobs/view/senior-data-analyst-analytics-insights-toronto-on-at-ssense-3369560180?refId=%2BCqnmI11De85%2FA%2BETQDPQg%3D%3D&amp;trackingId=UnOG9EvTZ341%2FoT0gIHcTQ%3D%3D&amp;position=20&amp;pageNum=0&amp;trk=public_jobs_jserp-result_search-card", "Job Link")</f>
        <v>Job Link</v>
      </c>
      <c r="L1062" t="s">
        <v>582</v>
      </c>
      <c r="M1062" t="s">
        <v>588</v>
      </c>
      <c r="N1062" t="s">
        <v>601</v>
      </c>
    </row>
    <row r="1063" spans="1:14" x14ac:dyDescent="0.25">
      <c r="A1063" t="s">
        <v>27</v>
      </c>
      <c r="B1063" t="s">
        <v>176</v>
      </c>
      <c r="C1063" t="s">
        <v>326</v>
      </c>
      <c r="D1063" t="s">
        <v>425</v>
      </c>
      <c r="F1063" t="s">
        <v>441</v>
      </c>
      <c r="G1063" t="str">
        <f>HYPERLINK("https://ca.linkedin.com/jobs/view/sr-data-analyst-at-telus-international-digital-solutions-3331944226?refId=%2BCqnmI11De85%2FA%2BETQDPQg%3D%3D&amp;trackingId=k3i%2FkWtKMuqhqir9ptgyLw%3D%3D&amp;position=21&amp;pageNum=0&amp;trk=public_jobs_jserp-result_search-card", "Job Link")</f>
        <v>Job Link</v>
      </c>
      <c r="H1063" t="s">
        <v>478</v>
      </c>
      <c r="I1063" t="s">
        <v>481</v>
      </c>
      <c r="J1063" t="s">
        <v>498</v>
      </c>
      <c r="K1063" t="s">
        <v>521</v>
      </c>
      <c r="L1063" t="s">
        <v>604</v>
      </c>
      <c r="M1063" t="s">
        <v>618</v>
      </c>
      <c r="N1063" t="s">
        <v>601</v>
      </c>
    </row>
    <row r="1064" spans="1:14" x14ac:dyDescent="0.25">
      <c r="A1064" t="s">
        <v>20</v>
      </c>
      <c r="B1064" t="s">
        <v>175</v>
      </c>
      <c r="C1064" t="s">
        <v>324</v>
      </c>
      <c r="D1064" t="s">
        <v>425</v>
      </c>
      <c r="F1064" t="s">
        <v>446</v>
      </c>
      <c r="G1064" t="str">
        <f>HYPERLINK("https://ca.linkedin.com/jobs/view/senior-data-analyst-at-ssense-3342165774?refId=%2BCqnmI11De85%2FA%2BETQDPQg%3D%3D&amp;trackingId=OikgS3gR43sLwHaejMiTYQ%3D%3D&amp;position=22&amp;pageNum=0&amp;trk=public_jobs_jserp-result_search-card", "Job Link")</f>
        <v>Job Link</v>
      </c>
      <c r="H1064" t="s">
        <v>478</v>
      </c>
      <c r="I1064" t="s">
        <v>481</v>
      </c>
      <c r="J1064" t="s">
        <v>486</v>
      </c>
      <c r="K1064" t="s">
        <v>550</v>
      </c>
      <c r="L1064" t="s">
        <v>605</v>
      </c>
      <c r="M1064" t="s">
        <v>617</v>
      </c>
      <c r="N1064" t="s">
        <v>601</v>
      </c>
    </row>
    <row r="1065" spans="1:14" x14ac:dyDescent="0.25">
      <c r="A1065" t="s">
        <v>14</v>
      </c>
      <c r="B1065" t="s">
        <v>158</v>
      </c>
      <c r="C1065" t="s">
        <v>307</v>
      </c>
      <c r="D1065" t="s">
        <v>425</v>
      </c>
      <c r="F1065" t="s">
        <v>430</v>
      </c>
      <c r="G1065" t="str">
        <f>HYPERLINK("https://ca.linkedin.com/jobs/view/data-analyst-at-empire-life-3324608289?refId=egzAcWoPe8fb%2BUNZpjIM9Q%3D%3D&amp;trackingId=d3r1y%2BABDjMEtTMV7yfuzQ%3D%3D&amp;position=1&amp;pageNum=0&amp;trk=public_jobs_jserp-result_search-card", "Job Link")</f>
        <v>Job Link</v>
      </c>
      <c r="H1065" t="s">
        <v>476</v>
      </c>
      <c r="I1065" t="s">
        <v>481</v>
      </c>
      <c r="J1065" t="s">
        <v>485</v>
      </c>
      <c r="K1065" t="s">
        <v>523</v>
      </c>
      <c r="L1065" t="s">
        <v>601</v>
      </c>
    </row>
    <row r="1066" spans="1:14" x14ac:dyDescent="0.25">
      <c r="A1066" t="s">
        <v>40</v>
      </c>
      <c r="B1066" t="s">
        <v>159</v>
      </c>
      <c r="C1066" t="s">
        <v>308</v>
      </c>
      <c r="D1066" t="s">
        <v>425</v>
      </c>
      <c r="F1066" t="s">
        <v>435</v>
      </c>
      <c r="G1066" t="str">
        <f>HYPERLINK("https://ca.linkedin.com/jobs/view/data-visualization-developer-analyst-at-blue-boat-data-3335318133?refId=egzAcWoPe8fb%2BUNZpjIM9Q%3D%3D&amp;trackingId=Zi9rZXmbE68%2FClC9%2Bb6oKA%3D%3D&amp;position=2&amp;pageNum=0&amp;trk=public_jobs_jserp-result_search-card", "Job Link")</f>
        <v>Job Link</v>
      </c>
      <c r="I1066" t="s">
        <v>483</v>
      </c>
      <c r="L1066" t="s">
        <v>601</v>
      </c>
    </row>
    <row r="1067" spans="1:14" x14ac:dyDescent="0.25">
      <c r="A1067" t="s">
        <v>14</v>
      </c>
      <c r="B1067" t="s">
        <v>160</v>
      </c>
      <c r="C1067" t="s">
        <v>309</v>
      </c>
      <c r="D1067" t="s">
        <v>425</v>
      </c>
      <c r="E1067" t="s">
        <v>427</v>
      </c>
      <c r="F1067" t="s">
        <v>458</v>
      </c>
      <c r="G1067" t="str">
        <f>HYPERLINK("https://ca.linkedin.com/jobs/view/data-analyst-at-libitzky-property-companies-3314494593?refId=egzAcWoPe8fb%2BUNZpjIM9Q%3D%3D&amp;trackingId=Eksfo368bfMokZpASO6Dug%3D%3D&amp;position=3&amp;pageNum=0&amp;trk=public_jobs_jserp-result_search-card", "Job Link")</f>
        <v>Job Link</v>
      </c>
      <c r="H1067" t="s">
        <v>476</v>
      </c>
      <c r="I1067" t="s">
        <v>481</v>
      </c>
      <c r="J1067" t="s">
        <v>486</v>
      </c>
      <c r="K1067" t="s">
        <v>516</v>
      </c>
      <c r="L1067" t="s">
        <v>601</v>
      </c>
    </row>
    <row r="1068" spans="1:14" x14ac:dyDescent="0.25">
      <c r="A1068" t="s">
        <v>14</v>
      </c>
      <c r="B1068" t="s">
        <v>161</v>
      </c>
      <c r="C1068" t="s">
        <v>310</v>
      </c>
      <c r="D1068" t="s">
        <v>425</v>
      </c>
      <c r="F1068" t="s">
        <v>435</v>
      </c>
      <c r="G1068" t="str">
        <f>HYPERLINK("https://ca.linkedin.com/jobs/view/data-analyst-at-spire-3340696458?refId=egzAcWoPe8fb%2BUNZpjIM9Q%3D%3D&amp;trackingId=qnJBJ3xXk99H%2BimDyMKYAw%3D%3D&amp;position=4&amp;pageNum=0&amp;trk=public_jobs_jserp-result_search-card", "Job Link")</f>
        <v>Job Link</v>
      </c>
      <c r="H1068" t="s">
        <v>476</v>
      </c>
      <c r="I1068" t="s">
        <v>481</v>
      </c>
      <c r="J1068" t="s">
        <v>486</v>
      </c>
      <c r="K1068" t="s">
        <v>517</v>
      </c>
      <c r="L1068" t="s">
        <v>602</v>
      </c>
      <c r="M1068" t="s">
        <v>588</v>
      </c>
      <c r="N1068" t="s">
        <v>601</v>
      </c>
    </row>
    <row r="1069" spans="1:14" x14ac:dyDescent="0.25">
      <c r="A1069" t="s">
        <v>14</v>
      </c>
      <c r="B1069" t="s">
        <v>163</v>
      </c>
      <c r="C1069" t="s">
        <v>312</v>
      </c>
      <c r="D1069" t="s">
        <v>425</v>
      </c>
      <c r="F1069" t="s">
        <v>443</v>
      </c>
      <c r="G1069" t="str">
        <f>HYPERLINK("https://ca.linkedin.com/jobs/view/data-analyst-at-mojio-3363472062?refId=egzAcWoPe8fb%2BUNZpjIM9Q%3D%3D&amp;trackingId=H6JJzgVcdv0rt9v2zhWM0w%3D%3D&amp;position=5&amp;pageNum=0&amp;trk=public_jobs_jserp-result_search-card", "Job Link")</f>
        <v>Job Link</v>
      </c>
      <c r="H1069" t="s">
        <v>478</v>
      </c>
      <c r="I1069" t="s">
        <v>481</v>
      </c>
      <c r="J1069" t="s">
        <v>493</v>
      </c>
      <c r="K1069" t="s">
        <v>544</v>
      </c>
      <c r="L1069" t="s">
        <v>601</v>
      </c>
    </row>
    <row r="1070" spans="1:14" x14ac:dyDescent="0.25">
      <c r="A1070" t="s">
        <v>41</v>
      </c>
      <c r="B1070" t="s">
        <v>164</v>
      </c>
      <c r="C1070" t="s">
        <v>313</v>
      </c>
      <c r="D1070" t="s">
        <v>425</v>
      </c>
      <c r="F1070" t="s">
        <v>444</v>
      </c>
      <c r="G1070" t="str">
        <f>HYPERLINK("https://ca.linkedin.com/jobs/view/product-data-analyst-at-pdftron-systems-inc-3322845144?refId=egzAcWoPe8fb%2BUNZpjIM9Q%3D%3D&amp;trackingId=VFNaVrlOntmJ%2BL7feq6nug%3D%3D&amp;position=6&amp;pageNum=0&amp;trk=public_jobs_jserp-result_search-card", "Job Link")</f>
        <v>Job Link</v>
      </c>
      <c r="H1070" t="s">
        <v>479</v>
      </c>
      <c r="I1070" t="s">
        <v>481</v>
      </c>
      <c r="J1070" t="s">
        <v>487</v>
      </c>
      <c r="K1070" t="s">
        <v>538</v>
      </c>
      <c r="L1070" t="s">
        <v>590</v>
      </c>
      <c r="M1070" t="s">
        <v>618</v>
      </c>
      <c r="N1070" t="s">
        <v>601</v>
      </c>
    </row>
    <row r="1071" spans="1:14" x14ac:dyDescent="0.25">
      <c r="A1071" t="s">
        <v>42</v>
      </c>
      <c r="B1071" t="s">
        <v>165</v>
      </c>
      <c r="C1071" t="s">
        <v>314</v>
      </c>
      <c r="D1071" t="s">
        <v>425</v>
      </c>
      <c r="F1071" t="s">
        <v>459</v>
      </c>
      <c r="G1071" t="str">
        <f>HYPERLINK("https://ca.linkedin.com/jobs/view/cognitive-data-analyst-at-wysdom-ai-3333087497?refId=egzAcWoPe8fb%2BUNZpjIM9Q%3D%3D&amp;trackingId=eU%2BT01TZJ6abkYbNzQFfzg%3D%3D&amp;position=7&amp;pageNum=0&amp;trk=public_jobs_jserp-result_search-card", "Job Link")</f>
        <v>Job Link</v>
      </c>
      <c r="H1071" t="s">
        <v>478</v>
      </c>
      <c r="I1071" t="s">
        <v>481</v>
      </c>
      <c r="J1071" t="s">
        <v>486</v>
      </c>
      <c r="K1071" t="s">
        <v>516</v>
      </c>
      <c r="L1071" t="s">
        <v>601</v>
      </c>
    </row>
    <row r="1072" spans="1:14" x14ac:dyDescent="0.25">
      <c r="A1072" t="s">
        <v>43</v>
      </c>
      <c r="B1072" t="s">
        <v>166</v>
      </c>
      <c r="C1072" t="s">
        <v>315</v>
      </c>
      <c r="D1072" t="s">
        <v>425</v>
      </c>
      <c r="F1072" t="s">
        <v>432</v>
      </c>
      <c r="G1072" t="str">
        <f>HYPERLINK("https://ca.linkedin.com/jobs/view/data-analyst-operations-at-felix-3360946633?refId=egzAcWoPe8fb%2BUNZpjIM9Q%3D%3D&amp;trackingId=Kq5qFgus7NJPJOzsPqicmA%3D%3D&amp;position=8&amp;pageNum=0&amp;trk=public_jobs_jserp-result_search-card", "Job Link")</f>
        <v>Job Link</v>
      </c>
      <c r="I1072" t="s">
        <v>481</v>
      </c>
      <c r="L1072" t="s">
        <v>601</v>
      </c>
    </row>
    <row r="1073" spans="1:14" x14ac:dyDescent="0.25">
      <c r="A1073" t="s">
        <v>14</v>
      </c>
      <c r="B1073" t="s">
        <v>162</v>
      </c>
      <c r="C1073" t="s">
        <v>311</v>
      </c>
      <c r="D1073" t="s">
        <v>425</v>
      </c>
      <c r="F1073" t="s">
        <v>434</v>
      </c>
      <c r="G1073" t="str">
        <f>HYPERLINK("https://ca.linkedin.com/jobs/view/data-analyst-at-money-mart-financial-services-3361528052?refId=egzAcWoPe8fb%2BUNZpjIM9Q%3D%3D&amp;trackingId=4Bn%2BNjKNFQypjL%2F9kyKHBg%3D%3D&amp;position=9&amp;pageNum=0&amp;trk=public_jobs_jserp-result_search-card", "Job Link")</f>
        <v>Job Link</v>
      </c>
      <c r="H1073" t="s">
        <v>477</v>
      </c>
      <c r="I1073" t="s">
        <v>481</v>
      </c>
      <c r="J1073" t="s">
        <v>488</v>
      </c>
      <c r="K1073" t="s">
        <v>527</v>
      </c>
      <c r="L1073" t="s">
        <v>582</v>
      </c>
      <c r="M1073" t="s">
        <v>588</v>
      </c>
      <c r="N1073" t="s">
        <v>601</v>
      </c>
    </row>
    <row r="1074" spans="1:14" x14ac:dyDescent="0.25">
      <c r="A1074" t="s">
        <v>44</v>
      </c>
      <c r="B1074" t="s">
        <v>167</v>
      </c>
      <c r="C1074" t="s">
        <v>316</v>
      </c>
      <c r="D1074" t="s">
        <v>425</v>
      </c>
      <c r="F1074" t="s">
        <v>460</v>
      </c>
      <c r="G1074" t="str">
        <f>HYPERLINK("https://ca.linkedin.com/jobs/view/data-analyst-marketing-at-thescore-3272474942?refId=egzAcWoPe8fb%2BUNZpjIM9Q%3D%3D&amp;trackingId=UcYUtSSJBDQRsExR0IOFJw%3D%3D&amp;position=10&amp;pageNum=0&amp;trk=public_jobs_jserp-result_search-card", "Job Link")</f>
        <v>Job Link</v>
      </c>
      <c r="H1074" t="s">
        <v>476</v>
      </c>
      <c r="I1074" t="s">
        <v>481</v>
      </c>
      <c r="J1074" t="s">
        <v>486</v>
      </c>
      <c r="K1074" t="s">
        <v>545</v>
      </c>
      <c r="L1074" t="s">
        <v>582</v>
      </c>
      <c r="M1074" t="s">
        <v>588</v>
      </c>
      <c r="N1074" t="s">
        <v>601</v>
      </c>
    </row>
    <row r="1075" spans="1:14" x14ac:dyDescent="0.25">
      <c r="A1075" t="s">
        <v>45</v>
      </c>
      <c r="B1075" t="s">
        <v>168</v>
      </c>
      <c r="C1075" t="s">
        <v>317</v>
      </c>
      <c r="D1075" t="s">
        <v>425</v>
      </c>
      <c r="F1075" t="s">
        <v>443</v>
      </c>
      <c r="G1075" t="str">
        <f>HYPERLINK("https://ca.linkedin.com/jobs/view/senior-data-analyst-apac-marketplace-at-hopper-3363404929?refId=egzAcWoPe8fb%2BUNZpjIM9Q%3D%3D&amp;trackingId=Zrd4f8EEt%2FhGOR%2B8TC%2Bg8g%3D%3D&amp;position=11&amp;pageNum=0&amp;trk=public_jobs_jserp-result_search-card", "Job Link")</f>
        <v>Job Link</v>
      </c>
      <c r="H1075" t="s">
        <v>478</v>
      </c>
      <c r="I1075" t="s">
        <v>485</v>
      </c>
      <c r="J1075" t="s">
        <v>486</v>
      </c>
      <c r="K1075" t="s">
        <v>538</v>
      </c>
      <c r="L1075" t="s">
        <v>601</v>
      </c>
    </row>
    <row r="1076" spans="1:14" x14ac:dyDescent="0.25">
      <c r="A1076" t="s">
        <v>48</v>
      </c>
      <c r="B1076" t="s">
        <v>173</v>
      </c>
      <c r="C1076" t="s">
        <v>322</v>
      </c>
      <c r="D1076" t="s">
        <v>425</v>
      </c>
      <c r="F1076" t="s">
        <v>462</v>
      </c>
      <c r="G1076" t="str">
        <f>HYPERLINK("https://ca.linkedin.com/jobs/view/data-analyst-trilogy-remote-%2460-000-year-usd-at-crossover-3367086698?refId=egzAcWoPe8fb%2BUNZpjIM9Q%3D%3D&amp;trackingId=z%2BSDdFwwneA9etQL5KkfzA%3D%3D&amp;position=12&amp;pageNum=0&amp;trk=public_jobs_jserp-result_search-card", "Job Link")</f>
        <v>Job Link</v>
      </c>
      <c r="H1076" t="s">
        <v>477</v>
      </c>
      <c r="I1076" t="s">
        <v>481</v>
      </c>
      <c r="J1076" t="s">
        <v>496</v>
      </c>
      <c r="K1076" t="s">
        <v>549</v>
      </c>
      <c r="L1076" t="s">
        <v>582</v>
      </c>
      <c r="M1076" t="s">
        <v>588</v>
      </c>
      <c r="N1076" t="s">
        <v>601</v>
      </c>
    </row>
    <row r="1077" spans="1:14" x14ac:dyDescent="0.25">
      <c r="A1077" t="s">
        <v>46</v>
      </c>
      <c r="B1077" t="s">
        <v>169</v>
      </c>
      <c r="C1077" t="s">
        <v>318</v>
      </c>
      <c r="D1077" t="s">
        <v>425</v>
      </c>
      <c r="F1077" t="s">
        <v>461</v>
      </c>
      <c r="G1077">
        <v>0</v>
      </c>
      <c r="H1077" t="s">
        <v>478</v>
      </c>
      <c r="I1077" t="s">
        <v>481</v>
      </c>
      <c r="J1077" t="s">
        <v>494</v>
      </c>
      <c r="K1077" t="s">
        <v>546</v>
      </c>
      <c r="L1077" t="s">
        <v>601</v>
      </c>
    </row>
    <row r="1078" spans="1:14" x14ac:dyDescent="0.25">
      <c r="A1078" t="s">
        <v>20</v>
      </c>
      <c r="B1078" t="s">
        <v>170</v>
      </c>
      <c r="C1078" t="s">
        <v>319</v>
      </c>
      <c r="D1078" t="s">
        <v>425</v>
      </c>
      <c r="F1078" t="s">
        <v>450</v>
      </c>
      <c r="G1078" t="str">
        <f>HYPERLINK("https://ca.linkedin.com/jobs/view/senior-data-analyst-at-thinkific-3333572538?refId=egzAcWoPe8fb%2BUNZpjIM9Q%3D%3D&amp;trackingId=Lni86UPUU7oncdN89uMDYQ%3D%3D&amp;position=14&amp;pageNum=0&amp;trk=public_jobs_jserp-result_search-card", "Job Link")</f>
        <v>Job Link</v>
      </c>
      <c r="H1078" t="s">
        <v>478</v>
      </c>
      <c r="I1078" t="s">
        <v>481</v>
      </c>
      <c r="J1078" t="s">
        <v>495</v>
      </c>
      <c r="K1078" t="s">
        <v>547</v>
      </c>
      <c r="L1078" t="s">
        <v>601</v>
      </c>
    </row>
    <row r="1079" spans="1:14" x14ac:dyDescent="0.25">
      <c r="A1079" t="s">
        <v>47</v>
      </c>
      <c r="B1079" t="s">
        <v>171</v>
      </c>
      <c r="C1079" t="s">
        <v>320</v>
      </c>
      <c r="D1079" t="s">
        <v>425</v>
      </c>
      <c r="F1079" t="s">
        <v>447</v>
      </c>
      <c r="G1079" t="str">
        <f>HYPERLINK("https://ca.linkedin.com/jobs/view/insights-analyst-at-flashfood-3312876343?refId=egzAcWoPe8fb%2BUNZpjIM9Q%3D%3D&amp;trackingId=Av7IDjTokssRFirkwMvThQ%3D%3D&amp;position=15&amp;pageNum=0&amp;trk=public_jobs_jserp-result_search-card", "Job Link")</f>
        <v>Job Link</v>
      </c>
      <c r="I1079" t="s">
        <v>481</v>
      </c>
      <c r="L1079" t="s">
        <v>601</v>
      </c>
    </row>
    <row r="1080" spans="1:14" x14ac:dyDescent="0.25">
      <c r="A1080" t="s">
        <v>20</v>
      </c>
      <c r="B1080" t="s">
        <v>172</v>
      </c>
      <c r="C1080" t="s">
        <v>321</v>
      </c>
      <c r="D1080" t="s">
        <v>425</v>
      </c>
      <c r="F1080" t="s">
        <v>438</v>
      </c>
      <c r="G1080" t="str">
        <f>HYPERLINK("https://ca.linkedin.com/jobs/view/senior-data-analyst-at-system1-3324728130?refId=egzAcWoPe8fb%2BUNZpjIM9Q%3D%3D&amp;trackingId=O3tq0cQtRPtcGrWK8sXHPQ%3D%3D&amp;position=16&amp;pageNum=0&amp;trk=public_jobs_jserp-result_search-card", "Job Link")</f>
        <v>Job Link</v>
      </c>
      <c r="H1080" t="s">
        <v>478</v>
      </c>
      <c r="I1080" t="s">
        <v>481</v>
      </c>
      <c r="J1080" t="s">
        <v>486</v>
      </c>
      <c r="K1080" t="s">
        <v>548</v>
      </c>
      <c r="L1080" t="s">
        <v>587</v>
      </c>
      <c r="M1080" t="s">
        <v>588</v>
      </c>
      <c r="N1080" t="s">
        <v>601</v>
      </c>
    </row>
    <row r="1081" spans="1:14" x14ac:dyDescent="0.25">
      <c r="A1081" t="s">
        <v>49</v>
      </c>
      <c r="B1081" t="s">
        <v>174</v>
      </c>
      <c r="C1081" t="s">
        <v>323</v>
      </c>
      <c r="D1081" t="s">
        <v>425</v>
      </c>
      <c r="F1081" t="s">
        <v>433</v>
      </c>
      <c r="G1081" t="str">
        <f>HYPERLINK("https://ca.linkedin.com/jobs/view/product-data-analyst-wtfast-at-blankslate-partners-3350561493?refId=egzAcWoPe8fb%2BUNZpjIM9Q%3D%3D&amp;trackingId=Kwn8%2FkzwUFXr1ovedcWogg%3D%3D&amp;position=17&amp;pageNum=0&amp;trk=public_jobs_jserp-result_search-card", "Job Link")</f>
        <v>Job Link</v>
      </c>
      <c r="H1081" t="s">
        <v>479</v>
      </c>
      <c r="I1081" t="s">
        <v>481</v>
      </c>
      <c r="J1081" t="s">
        <v>497</v>
      </c>
      <c r="K1081" t="s">
        <v>538</v>
      </c>
      <c r="L1081" t="s">
        <v>603</v>
      </c>
      <c r="M1081" t="s">
        <v>618</v>
      </c>
      <c r="N1081" t="s">
        <v>601</v>
      </c>
    </row>
    <row r="1082" spans="1:14" x14ac:dyDescent="0.25">
      <c r="A1082" t="s">
        <v>50</v>
      </c>
      <c r="B1082" t="s">
        <v>175</v>
      </c>
      <c r="C1082" t="s">
        <v>324</v>
      </c>
      <c r="D1082" t="s">
        <v>425</v>
      </c>
      <c r="F1082" t="s">
        <v>443</v>
      </c>
      <c r="G1082" t="str">
        <f>HYPERLINK("https://ca.linkedin.com/jobs/view/senior-data-analyst-toronto-on-at-ssense-3369567279?refId=egzAcWoPe8fb%2BUNZpjIM9Q%3D%3D&amp;trackingId=o0U9BzjMa2yFi%2BOA3%2B3F4A%3D%3D&amp;position=18&amp;pageNum=0&amp;trk=public_jobs_jserp-result_search-card", "Job Link")</f>
        <v>Job Link</v>
      </c>
      <c r="H1082" t="s">
        <v>478</v>
      </c>
      <c r="I1082" t="s">
        <v>481</v>
      </c>
      <c r="J1082" t="s">
        <v>486</v>
      </c>
      <c r="K1082" t="s">
        <v>550</v>
      </c>
      <c r="L1082" t="s">
        <v>582</v>
      </c>
      <c r="M1082" t="s">
        <v>588</v>
      </c>
      <c r="N1082" t="s">
        <v>601</v>
      </c>
    </row>
    <row r="1083" spans="1:14" x14ac:dyDescent="0.25">
      <c r="A1083" t="s">
        <v>51</v>
      </c>
      <c r="B1083" t="s">
        <v>175</v>
      </c>
      <c r="C1083" t="s">
        <v>325</v>
      </c>
      <c r="D1083" t="s">
        <v>425</v>
      </c>
      <c r="F1083" t="s">
        <v>443</v>
      </c>
      <c r="G1083" t="str">
        <f>HYPERLINK("https://ca.linkedin.com/jobs/view/senior-data-analyst-analytics-insights-toronto-on-at-ssense-3369558722?refId=egzAcWoPe8fb%2BUNZpjIM9Q%3D%3D&amp;trackingId=w%2FYdvjzR0JrqAVAgpvOCEQ%3D%3D&amp;position=19&amp;pageNum=0&amp;trk=public_jobs_jserp-result_search-card", "Job Link")</f>
        <v>Job Link</v>
      </c>
      <c r="H1083" t="s">
        <v>478</v>
      </c>
      <c r="I1083" t="s">
        <v>481</v>
      </c>
      <c r="J1083" t="s">
        <v>491</v>
      </c>
      <c r="K1083" t="s">
        <v>550</v>
      </c>
      <c r="L1083" t="s">
        <v>582</v>
      </c>
      <c r="M1083" t="s">
        <v>588</v>
      </c>
      <c r="N1083" t="s">
        <v>601</v>
      </c>
    </row>
    <row r="1084" spans="1:14" x14ac:dyDescent="0.25">
      <c r="A1084" t="s">
        <v>51</v>
      </c>
      <c r="B1084" t="s">
        <v>175</v>
      </c>
      <c r="C1084" t="s">
        <v>325</v>
      </c>
      <c r="D1084" t="s">
        <v>425</v>
      </c>
      <c r="F1084" t="s">
        <v>443</v>
      </c>
      <c r="G1084" t="str">
        <f>HYPERLINK("https://ca.linkedin.com/jobs/view/senior-data-analyst-analytics-insights-toronto-on-at-ssense-3369560180?refId=egzAcWoPe8fb%2BUNZpjIM9Q%3D%3D&amp;trackingId=uGn47BZqfwCIBNR7l5O3nQ%3D%3D&amp;position=20&amp;pageNum=0&amp;trk=public_jobs_jserp-result_search-card", "Job Link")</f>
        <v>Job Link</v>
      </c>
      <c r="H1084" t="s">
        <v>478</v>
      </c>
      <c r="I1084" t="s">
        <v>481</v>
      </c>
      <c r="J1084" t="s">
        <v>491</v>
      </c>
      <c r="K1084" t="s">
        <v>550</v>
      </c>
      <c r="L1084" t="s">
        <v>582</v>
      </c>
      <c r="M1084" t="s">
        <v>588</v>
      </c>
      <c r="N1084" t="s">
        <v>601</v>
      </c>
    </row>
    <row r="1085" spans="1:14" x14ac:dyDescent="0.25">
      <c r="A1085" t="s">
        <v>52</v>
      </c>
      <c r="B1085" t="s">
        <v>173</v>
      </c>
      <c r="C1085" t="s">
        <v>327</v>
      </c>
      <c r="D1085" t="s">
        <v>425</v>
      </c>
      <c r="F1085" t="s">
        <v>462</v>
      </c>
      <c r="G1085" t="str">
        <f>HYPERLINK("https://ca.linkedin.com/jobs/view/data-research-analyst-trilogy-remote-%2460-000-year-usd-at-crossover-3367090309?refId=egzAcWoPe8fb%2BUNZpjIM9Q%3D%3D&amp;trackingId=3%2BIko4gy2xbilKrCeBYUlw%3D%3D&amp;position=21&amp;pageNum=0&amp;trk=public_jobs_jserp-result_search-card", "Job Link")</f>
        <v>Job Link</v>
      </c>
      <c r="H1085" t="s">
        <v>477</v>
      </c>
      <c r="I1085" t="s">
        <v>481</v>
      </c>
      <c r="J1085" t="s">
        <v>499</v>
      </c>
      <c r="K1085" t="s">
        <v>549</v>
      </c>
      <c r="L1085" t="s">
        <v>588</v>
      </c>
      <c r="M1085" t="s">
        <v>601</v>
      </c>
    </row>
    <row r="1086" spans="1:14" x14ac:dyDescent="0.25">
      <c r="A1086" t="s">
        <v>27</v>
      </c>
      <c r="B1086" t="s">
        <v>176</v>
      </c>
      <c r="C1086" t="s">
        <v>326</v>
      </c>
      <c r="D1086" t="s">
        <v>425</v>
      </c>
      <c r="F1086" t="s">
        <v>441</v>
      </c>
      <c r="G1086" t="str">
        <f>HYPERLINK("https://ca.linkedin.com/jobs/view/sr-data-analyst-at-telus-international-digital-solutions-3331944226?refId=egzAcWoPe8fb%2BUNZpjIM9Q%3D%3D&amp;trackingId=Q5mbObD7hMUFOp5mdxyx%2Bg%3D%3D&amp;position=22&amp;pageNum=0&amp;trk=public_jobs_jserp-result_search-card", "Job Link")</f>
        <v>Job Link</v>
      </c>
      <c r="H1086" t="s">
        <v>478</v>
      </c>
      <c r="I1086" t="s">
        <v>481</v>
      </c>
      <c r="J1086" t="s">
        <v>498</v>
      </c>
      <c r="K1086" t="s">
        <v>521</v>
      </c>
      <c r="L1086" t="s">
        <v>604</v>
      </c>
      <c r="M1086" t="s">
        <v>618</v>
      </c>
      <c r="N1086" t="s">
        <v>601</v>
      </c>
    </row>
    <row r="1087" spans="1:14" x14ac:dyDescent="0.25">
      <c r="A1087" t="s">
        <v>14</v>
      </c>
      <c r="B1087" t="s">
        <v>158</v>
      </c>
      <c r="C1087" t="s">
        <v>307</v>
      </c>
      <c r="D1087" t="s">
        <v>425</v>
      </c>
      <c r="F1087" t="s">
        <v>430</v>
      </c>
      <c r="G1087" t="str">
        <f>HYPERLINK("https://ca.linkedin.com/jobs/view/data-analyst-at-empire-life-3324608289?refId=bSIqKhMlHvDl2l%2FiuOg%2Beg%3D%3D&amp;trackingId=tGn7M5ATQO%2F4aSB5th3iqw%3D%3D&amp;position=1&amp;pageNum=0&amp;trk=public_jobs_jserp-result_search-card", "Job Link")</f>
        <v>Job Link</v>
      </c>
      <c r="H1087" t="s">
        <v>476</v>
      </c>
      <c r="I1087" t="s">
        <v>481</v>
      </c>
      <c r="J1087" t="s">
        <v>485</v>
      </c>
      <c r="K1087" t="s">
        <v>523</v>
      </c>
      <c r="L1087" t="s">
        <v>601</v>
      </c>
    </row>
    <row r="1088" spans="1:14" x14ac:dyDescent="0.25">
      <c r="A1088" t="s">
        <v>40</v>
      </c>
      <c r="B1088" t="s">
        <v>159</v>
      </c>
      <c r="C1088" t="s">
        <v>308</v>
      </c>
      <c r="D1088" t="s">
        <v>425</v>
      </c>
      <c r="F1088" t="s">
        <v>435</v>
      </c>
      <c r="G1088" t="str">
        <f>HYPERLINK("https://ca.linkedin.com/jobs/view/data-visualization-developer-analyst-at-blue-boat-data-3335318133?refId=bSIqKhMlHvDl2l%2FiuOg%2Beg%3D%3D&amp;trackingId=Pg07PF39ZKo%2BvoT0S8svAg%3D%3D&amp;position=2&amp;pageNum=0&amp;trk=public_jobs_jserp-result_search-card", "Job Link")</f>
        <v>Job Link</v>
      </c>
      <c r="I1088" t="s">
        <v>483</v>
      </c>
      <c r="L1088" t="s">
        <v>601</v>
      </c>
    </row>
    <row r="1089" spans="1:14" x14ac:dyDescent="0.25">
      <c r="A1089" t="s">
        <v>14</v>
      </c>
      <c r="B1089" t="s">
        <v>160</v>
      </c>
      <c r="C1089" t="s">
        <v>309</v>
      </c>
      <c r="D1089" t="s">
        <v>425</v>
      </c>
      <c r="E1089" t="s">
        <v>427</v>
      </c>
      <c r="F1089" t="s">
        <v>458</v>
      </c>
      <c r="G1089" t="str">
        <f>HYPERLINK("https://ca.linkedin.com/jobs/view/data-analyst-at-libitzky-property-companies-3314494593?refId=bSIqKhMlHvDl2l%2FiuOg%2Beg%3D%3D&amp;trackingId=wADmQZjyAvWiBH%2BFJ3h9%2Bg%3D%3D&amp;position=3&amp;pageNum=0&amp;trk=public_jobs_jserp-result_search-card", "Job Link")</f>
        <v>Job Link</v>
      </c>
      <c r="H1089" t="s">
        <v>476</v>
      </c>
      <c r="I1089" t="s">
        <v>481</v>
      </c>
      <c r="J1089" t="s">
        <v>486</v>
      </c>
      <c r="K1089" t="s">
        <v>516</v>
      </c>
      <c r="L1089" t="s">
        <v>601</v>
      </c>
    </row>
    <row r="1090" spans="1:14" x14ac:dyDescent="0.25">
      <c r="A1090" t="s">
        <v>14</v>
      </c>
      <c r="B1090" t="s">
        <v>161</v>
      </c>
      <c r="C1090" t="s">
        <v>310</v>
      </c>
      <c r="D1090" t="s">
        <v>425</v>
      </c>
      <c r="F1090" t="s">
        <v>435</v>
      </c>
      <c r="G1090" t="str">
        <f>HYPERLINK("https://ca.linkedin.com/jobs/view/data-analyst-at-spire-3340696458?refId=bSIqKhMlHvDl2l%2FiuOg%2Beg%3D%3D&amp;trackingId=zcq3r1lA0zv6VfibXNlRqg%3D%3D&amp;position=4&amp;pageNum=0&amp;trk=public_jobs_jserp-result_search-card", "Job Link")</f>
        <v>Job Link</v>
      </c>
      <c r="H1090" t="s">
        <v>476</v>
      </c>
      <c r="I1090" t="s">
        <v>481</v>
      </c>
      <c r="J1090" t="s">
        <v>486</v>
      </c>
      <c r="K1090" t="s">
        <v>517</v>
      </c>
      <c r="L1090" t="s">
        <v>602</v>
      </c>
      <c r="M1090" t="s">
        <v>588</v>
      </c>
      <c r="N1090" t="s">
        <v>601</v>
      </c>
    </row>
    <row r="1091" spans="1:14" x14ac:dyDescent="0.25">
      <c r="A1091" t="s">
        <v>14</v>
      </c>
      <c r="B1091" t="s">
        <v>163</v>
      </c>
      <c r="C1091" t="s">
        <v>312</v>
      </c>
      <c r="D1091" t="s">
        <v>425</v>
      </c>
      <c r="F1091" t="s">
        <v>443</v>
      </c>
      <c r="G1091" t="str">
        <f>HYPERLINK("https://ca.linkedin.com/jobs/view/data-analyst-at-mojio-3363472062?refId=bSIqKhMlHvDl2l%2FiuOg%2Beg%3D%3D&amp;trackingId=bUWkKc%2BvbD2kfEFWEn8XGg%3D%3D&amp;position=5&amp;pageNum=0&amp;trk=public_jobs_jserp-result_search-card", "Job Link")</f>
        <v>Job Link</v>
      </c>
      <c r="H1091" t="s">
        <v>478</v>
      </c>
      <c r="I1091" t="s">
        <v>481</v>
      </c>
      <c r="J1091" t="s">
        <v>493</v>
      </c>
      <c r="K1091" t="s">
        <v>544</v>
      </c>
      <c r="L1091" t="s">
        <v>601</v>
      </c>
    </row>
    <row r="1092" spans="1:14" x14ac:dyDescent="0.25">
      <c r="A1092" t="s">
        <v>41</v>
      </c>
      <c r="B1092" t="s">
        <v>164</v>
      </c>
      <c r="C1092" t="s">
        <v>313</v>
      </c>
      <c r="D1092" t="s">
        <v>425</v>
      </c>
      <c r="F1092" t="s">
        <v>444</v>
      </c>
      <c r="G1092" t="str">
        <f>HYPERLINK("https://ca.linkedin.com/jobs/view/product-data-analyst-at-pdftron-systems-inc-3322845144?refId=bSIqKhMlHvDl2l%2FiuOg%2Beg%3D%3D&amp;trackingId=onxlb0147oqo2e1MDQ5QOQ%3D%3D&amp;position=6&amp;pageNum=0&amp;trk=public_jobs_jserp-result_search-card", "Job Link")</f>
        <v>Job Link</v>
      </c>
      <c r="H1092" t="s">
        <v>479</v>
      </c>
      <c r="I1092" t="s">
        <v>481</v>
      </c>
      <c r="J1092" t="s">
        <v>487</v>
      </c>
      <c r="K1092" t="s">
        <v>538</v>
      </c>
      <c r="L1092" t="s">
        <v>590</v>
      </c>
      <c r="M1092" t="s">
        <v>618</v>
      </c>
      <c r="N1092" t="s">
        <v>601</v>
      </c>
    </row>
    <row r="1093" spans="1:14" x14ac:dyDescent="0.25">
      <c r="A1093" t="s">
        <v>42</v>
      </c>
      <c r="B1093" t="s">
        <v>165</v>
      </c>
      <c r="C1093" t="s">
        <v>314</v>
      </c>
      <c r="D1093" t="s">
        <v>425</v>
      </c>
      <c r="F1093" t="s">
        <v>459</v>
      </c>
      <c r="G1093" t="str">
        <f>HYPERLINK("https://ca.linkedin.com/jobs/view/cognitive-data-analyst-at-wysdom-ai-3333087497?refId=bSIqKhMlHvDl2l%2FiuOg%2Beg%3D%3D&amp;trackingId=rz9zFkdu1e8QBCTwRezfuQ%3D%3D&amp;position=7&amp;pageNum=0&amp;trk=public_jobs_jserp-result_search-card", "Job Link")</f>
        <v>Job Link</v>
      </c>
      <c r="H1093" t="s">
        <v>478</v>
      </c>
      <c r="I1093" t="s">
        <v>481</v>
      </c>
      <c r="J1093" t="s">
        <v>486</v>
      </c>
      <c r="K1093" t="s">
        <v>516</v>
      </c>
      <c r="L1093" t="s">
        <v>601</v>
      </c>
    </row>
    <row r="1094" spans="1:14" x14ac:dyDescent="0.25">
      <c r="A1094" t="s">
        <v>14</v>
      </c>
      <c r="B1094" t="s">
        <v>162</v>
      </c>
      <c r="C1094" t="s">
        <v>311</v>
      </c>
      <c r="D1094" t="s">
        <v>425</v>
      </c>
      <c r="F1094" t="s">
        <v>434</v>
      </c>
      <c r="G1094" t="str">
        <f>HYPERLINK("https://ca.linkedin.com/jobs/view/data-analyst-at-money-mart-financial-services-3361528052?refId=bSIqKhMlHvDl2l%2FiuOg%2Beg%3D%3D&amp;trackingId=PFuxEagLwXaM4t3Mvte22w%3D%3D&amp;position=8&amp;pageNum=0&amp;trk=public_jobs_jserp-result_search-card", "Job Link")</f>
        <v>Job Link</v>
      </c>
      <c r="H1094" t="s">
        <v>477</v>
      </c>
      <c r="I1094" t="s">
        <v>481</v>
      </c>
      <c r="J1094" t="s">
        <v>488</v>
      </c>
      <c r="K1094" t="s">
        <v>527</v>
      </c>
      <c r="L1094" t="s">
        <v>582</v>
      </c>
      <c r="M1094" t="s">
        <v>588</v>
      </c>
      <c r="N1094" t="s">
        <v>601</v>
      </c>
    </row>
    <row r="1095" spans="1:14" x14ac:dyDescent="0.25">
      <c r="A1095" t="s">
        <v>44</v>
      </c>
      <c r="B1095" t="s">
        <v>167</v>
      </c>
      <c r="C1095" t="s">
        <v>316</v>
      </c>
      <c r="D1095" t="s">
        <v>425</v>
      </c>
      <c r="F1095" t="s">
        <v>460</v>
      </c>
      <c r="G1095" t="str">
        <f>HYPERLINK("https://ca.linkedin.com/jobs/view/data-analyst-marketing-at-thescore-3272474942?refId=bSIqKhMlHvDl2l%2FiuOg%2Beg%3D%3D&amp;trackingId=IlRaFx%2BkDw42XqRoNCOw%2Bw%3D%3D&amp;position=9&amp;pageNum=0&amp;trk=public_jobs_jserp-result_search-card", "Job Link")</f>
        <v>Job Link</v>
      </c>
      <c r="H1095" t="s">
        <v>476</v>
      </c>
      <c r="I1095" t="s">
        <v>481</v>
      </c>
      <c r="J1095" t="s">
        <v>486</v>
      </c>
      <c r="K1095" t="s">
        <v>545</v>
      </c>
      <c r="L1095" t="s">
        <v>582</v>
      </c>
      <c r="M1095" t="s">
        <v>588</v>
      </c>
      <c r="N1095" t="s">
        <v>601</v>
      </c>
    </row>
    <row r="1096" spans="1:14" x14ac:dyDescent="0.25">
      <c r="A1096" t="s">
        <v>45</v>
      </c>
      <c r="B1096" t="s">
        <v>168</v>
      </c>
      <c r="C1096" t="s">
        <v>317</v>
      </c>
      <c r="D1096" t="s">
        <v>425</v>
      </c>
      <c r="F1096" t="s">
        <v>443</v>
      </c>
      <c r="G1096" t="str">
        <f>HYPERLINK("https://ca.linkedin.com/jobs/view/senior-data-analyst-apac-marketplace-at-hopper-3363404929?refId=bSIqKhMlHvDl2l%2FiuOg%2Beg%3D%3D&amp;trackingId=lWgT2II5RbE%2FtYvKZCROUg%3D%3D&amp;position=10&amp;pageNum=0&amp;trk=public_jobs_jserp-result_search-card", "Job Link")</f>
        <v>Job Link</v>
      </c>
      <c r="H1096" t="s">
        <v>478</v>
      </c>
      <c r="I1096" t="s">
        <v>485</v>
      </c>
      <c r="J1096" t="s">
        <v>486</v>
      </c>
      <c r="K1096" t="s">
        <v>538</v>
      </c>
      <c r="L1096" t="s">
        <v>601</v>
      </c>
    </row>
    <row r="1097" spans="1:14" x14ac:dyDescent="0.25">
      <c r="A1097" t="s">
        <v>46</v>
      </c>
      <c r="B1097" t="s">
        <v>169</v>
      </c>
      <c r="C1097" t="s">
        <v>318</v>
      </c>
      <c r="D1097" t="s">
        <v>425</v>
      </c>
      <c r="F1097" t="s">
        <v>461</v>
      </c>
      <c r="G1097">
        <v>0</v>
      </c>
      <c r="H1097" t="s">
        <v>478</v>
      </c>
      <c r="I1097" t="s">
        <v>481</v>
      </c>
      <c r="J1097" t="s">
        <v>494</v>
      </c>
      <c r="K1097" t="s">
        <v>546</v>
      </c>
      <c r="L1097" t="s">
        <v>601</v>
      </c>
    </row>
    <row r="1098" spans="1:14" x14ac:dyDescent="0.25">
      <c r="A1098" t="s">
        <v>20</v>
      </c>
      <c r="B1098" t="s">
        <v>170</v>
      </c>
      <c r="C1098" t="s">
        <v>319</v>
      </c>
      <c r="D1098" t="s">
        <v>425</v>
      </c>
      <c r="F1098" t="s">
        <v>450</v>
      </c>
      <c r="G1098" t="str">
        <f>HYPERLINK("https://ca.linkedin.com/jobs/view/senior-data-analyst-at-thinkific-3333572538?refId=bSIqKhMlHvDl2l%2FiuOg%2Beg%3D%3D&amp;trackingId=qfsE2d1Uc9u%2BZk0SS8VosA%3D%3D&amp;position=12&amp;pageNum=0&amp;trk=public_jobs_jserp-result_search-card", "Job Link")</f>
        <v>Job Link</v>
      </c>
      <c r="H1098" t="s">
        <v>478</v>
      </c>
      <c r="I1098" t="s">
        <v>481</v>
      </c>
      <c r="J1098" t="s">
        <v>495</v>
      </c>
      <c r="K1098" t="s">
        <v>547</v>
      </c>
      <c r="L1098" t="s">
        <v>601</v>
      </c>
    </row>
    <row r="1099" spans="1:14" x14ac:dyDescent="0.25">
      <c r="A1099" t="s">
        <v>47</v>
      </c>
      <c r="B1099" t="s">
        <v>171</v>
      </c>
      <c r="C1099" t="s">
        <v>320</v>
      </c>
      <c r="D1099" t="s">
        <v>425</v>
      </c>
      <c r="F1099" t="s">
        <v>447</v>
      </c>
      <c r="G1099" t="str">
        <f>HYPERLINK("https://ca.linkedin.com/jobs/view/insights-analyst-at-flashfood-3312876343?refId=bSIqKhMlHvDl2l%2FiuOg%2Beg%3D%3D&amp;trackingId=tfch8pxuCDfoka26ULQR0Q%3D%3D&amp;position=13&amp;pageNum=0&amp;trk=public_jobs_jserp-result_search-card", "Job Link")</f>
        <v>Job Link</v>
      </c>
      <c r="I1099" t="s">
        <v>481</v>
      </c>
      <c r="L1099" t="s">
        <v>601</v>
      </c>
    </row>
    <row r="1100" spans="1:14" x14ac:dyDescent="0.25">
      <c r="A1100" t="s">
        <v>20</v>
      </c>
      <c r="B1100" t="s">
        <v>172</v>
      </c>
      <c r="C1100" t="s">
        <v>321</v>
      </c>
      <c r="D1100" t="s">
        <v>425</v>
      </c>
      <c r="F1100" t="s">
        <v>438</v>
      </c>
      <c r="G1100" t="str">
        <f>HYPERLINK("https://ca.linkedin.com/jobs/view/senior-data-analyst-at-system1-3324728130?refId=bSIqKhMlHvDl2l%2FiuOg%2Beg%3D%3D&amp;trackingId=2zCE3EGFonZjJfgObCUzgg%3D%3D&amp;position=14&amp;pageNum=0&amp;trk=public_jobs_jserp-result_search-card", "Job Link")</f>
        <v>Job Link</v>
      </c>
      <c r="H1100" t="s">
        <v>478</v>
      </c>
      <c r="I1100" t="s">
        <v>481</v>
      </c>
      <c r="J1100" t="s">
        <v>486</v>
      </c>
      <c r="K1100" t="s">
        <v>548</v>
      </c>
      <c r="L1100" t="s">
        <v>587</v>
      </c>
      <c r="M1100" t="s">
        <v>588</v>
      </c>
      <c r="N1100" t="s">
        <v>601</v>
      </c>
    </row>
    <row r="1101" spans="1:14" x14ac:dyDescent="0.25">
      <c r="A1101" t="s">
        <v>48</v>
      </c>
      <c r="B1101" t="s">
        <v>173</v>
      </c>
      <c r="C1101" t="s">
        <v>322</v>
      </c>
      <c r="D1101" t="s">
        <v>425</v>
      </c>
      <c r="F1101" t="s">
        <v>462</v>
      </c>
      <c r="G1101" t="str">
        <f>HYPERLINK("https://ca.linkedin.com/jobs/view/data-analyst-trilogy-remote-%2460-000-year-usd-at-crossover-3367086698?refId=bSIqKhMlHvDl2l%2FiuOg%2Beg%3D%3D&amp;trackingId=7JW5Y4CnfyPwCJp9DBkkxw%3D%3D&amp;position=15&amp;pageNum=0&amp;trk=public_jobs_jserp-result_search-card", "Job Link")</f>
        <v>Job Link</v>
      </c>
      <c r="H1101" t="s">
        <v>477</v>
      </c>
      <c r="I1101" t="s">
        <v>481</v>
      </c>
      <c r="J1101" t="s">
        <v>496</v>
      </c>
      <c r="K1101" t="s">
        <v>549</v>
      </c>
      <c r="L1101" t="s">
        <v>582</v>
      </c>
      <c r="M1101" t="s">
        <v>588</v>
      </c>
      <c r="N1101" t="s">
        <v>601</v>
      </c>
    </row>
    <row r="1102" spans="1:14" x14ac:dyDescent="0.25">
      <c r="A1102" t="s">
        <v>49</v>
      </c>
      <c r="B1102" t="s">
        <v>174</v>
      </c>
      <c r="C1102" t="s">
        <v>323</v>
      </c>
      <c r="D1102" t="s">
        <v>425</v>
      </c>
      <c r="F1102" t="s">
        <v>433</v>
      </c>
      <c r="G1102" t="str">
        <f>HYPERLINK("https://ca.linkedin.com/jobs/view/product-data-analyst-wtfast-at-blankslate-partners-3350561493?refId=bSIqKhMlHvDl2l%2FiuOg%2Beg%3D%3D&amp;trackingId=ToAemnKna5hvrYzRYwG95A%3D%3D&amp;position=16&amp;pageNum=0&amp;trk=public_jobs_jserp-result_search-card", "Job Link")</f>
        <v>Job Link</v>
      </c>
      <c r="H1102" t="s">
        <v>479</v>
      </c>
      <c r="I1102" t="s">
        <v>481</v>
      </c>
      <c r="J1102" t="s">
        <v>497</v>
      </c>
      <c r="K1102" t="s">
        <v>538</v>
      </c>
      <c r="L1102" t="s">
        <v>603</v>
      </c>
      <c r="M1102" t="s">
        <v>618</v>
      </c>
      <c r="N1102" t="s">
        <v>601</v>
      </c>
    </row>
    <row r="1103" spans="1:14" x14ac:dyDescent="0.25">
      <c r="A1103" t="s">
        <v>50</v>
      </c>
      <c r="B1103" t="s">
        <v>175</v>
      </c>
      <c r="C1103" t="s">
        <v>324</v>
      </c>
      <c r="D1103" t="s">
        <v>425</v>
      </c>
      <c r="F1103" t="s">
        <v>443</v>
      </c>
      <c r="G1103" t="str">
        <f>HYPERLINK("https://ca.linkedin.com/jobs/view/senior-data-analyst-toronto-on-at-ssense-3369567279?refId=bSIqKhMlHvDl2l%2FiuOg%2Beg%3D%3D&amp;trackingId=tjyoAuLEhAJFlWGXLzLetg%3D%3D&amp;position=17&amp;pageNum=0&amp;trk=public_jobs_jserp-result_search-card", "Job Link")</f>
        <v>Job Link</v>
      </c>
      <c r="H1103" t="s">
        <v>478</v>
      </c>
      <c r="I1103" t="s">
        <v>481</v>
      </c>
      <c r="J1103" t="s">
        <v>486</v>
      </c>
      <c r="K1103" t="s">
        <v>550</v>
      </c>
      <c r="L1103" t="s">
        <v>582</v>
      </c>
      <c r="M1103" t="s">
        <v>588</v>
      </c>
      <c r="N1103" t="s">
        <v>601</v>
      </c>
    </row>
    <row r="1104" spans="1:14" x14ac:dyDescent="0.25">
      <c r="A1104" t="s">
        <v>51</v>
      </c>
      <c r="B1104" t="s">
        <v>175</v>
      </c>
      <c r="C1104" t="s">
        <v>325</v>
      </c>
      <c r="D1104" t="s">
        <v>425</v>
      </c>
      <c r="F1104" t="s">
        <v>443</v>
      </c>
      <c r="G1104" t="str">
        <f>HYPERLINK("https://ca.linkedin.com/jobs/view/senior-data-analyst-analytics-insights-toronto-on-at-ssense-3369558722?refId=bSIqKhMlHvDl2l%2FiuOg%2Beg%3D%3D&amp;trackingId=afZfn1%2BdtGE1MhO%2BimqwBQ%3D%3D&amp;position=18&amp;pageNum=0&amp;trk=public_jobs_jserp-result_search-card", "Job Link")</f>
        <v>Job Link</v>
      </c>
      <c r="H1104" t="s">
        <v>478</v>
      </c>
      <c r="I1104" t="s">
        <v>481</v>
      </c>
      <c r="J1104" t="s">
        <v>491</v>
      </c>
      <c r="K1104" t="s">
        <v>550</v>
      </c>
      <c r="L1104" t="s">
        <v>582</v>
      </c>
      <c r="M1104" t="s">
        <v>588</v>
      </c>
      <c r="N1104" t="s">
        <v>601</v>
      </c>
    </row>
    <row r="1105" spans="1:14" x14ac:dyDescent="0.25">
      <c r="A1105" t="s">
        <v>51</v>
      </c>
      <c r="B1105" t="s">
        <v>175</v>
      </c>
      <c r="C1105" t="s">
        <v>325</v>
      </c>
      <c r="D1105" t="s">
        <v>425</v>
      </c>
      <c r="F1105" t="s">
        <v>443</v>
      </c>
      <c r="G1105" t="str">
        <f>HYPERLINK("https://ca.linkedin.com/jobs/view/senior-data-analyst-analytics-insights-toronto-on-at-ssense-3369560180?refId=bSIqKhMlHvDl2l%2FiuOg%2Beg%3D%3D&amp;trackingId=yKJzlBURVjXBonpeEyfQMA%3D%3D&amp;position=19&amp;pageNum=0&amp;trk=public_jobs_jserp-result_search-card", "Job Link")</f>
        <v>Job Link</v>
      </c>
      <c r="H1105" t="s">
        <v>478</v>
      </c>
      <c r="I1105" t="s">
        <v>481</v>
      </c>
      <c r="J1105" t="s">
        <v>491</v>
      </c>
      <c r="K1105" t="s">
        <v>550</v>
      </c>
      <c r="L1105" t="s">
        <v>582</v>
      </c>
      <c r="M1105" t="s">
        <v>588</v>
      </c>
      <c r="N1105" t="s">
        <v>601</v>
      </c>
    </row>
    <row r="1106" spans="1:14" x14ac:dyDescent="0.25">
      <c r="A1106" t="s">
        <v>27</v>
      </c>
      <c r="B1106" t="s">
        <v>176</v>
      </c>
      <c r="C1106" t="s">
        <v>326</v>
      </c>
      <c r="D1106" t="s">
        <v>425</v>
      </c>
      <c r="F1106" t="s">
        <v>441</v>
      </c>
      <c r="G1106" t="str">
        <f>HYPERLINK("https://ca.linkedin.com/jobs/view/sr-data-analyst-at-telus-international-digital-solutions-3331944226?refId=bSIqKhMlHvDl2l%2FiuOg%2Beg%3D%3D&amp;trackingId=mQ%2Fcjq2uOZGz1a2g9t5a1g%3D%3D&amp;position=20&amp;pageNum=0&amp;trk=public_jobs_jserp-result_search-card", "Job Link")</f>
        <v>Job Link</v>
      </c>
      <c r="H1106" t="s">
        <v>478</v>
      </c>
      <c r="I1106" t="s">
        <v>481</v>
      </c>
      <c r="J1106" t="s">
        <v>498</v>
      </c>
      <c r="K1106" t="s">
        <v>521</v>
      </c>
      <c r="L1106" t="s">
        <v>604</v>
      </c>
      <c r="M1106" t="s">
        <v>618</v>
      </c>
      <c r="N1106" t="s">
        <v>601</v>
      </c>
    </row>
    <row r="1107" spans="1:14" x14ac:dyDescent="0.25">
      <c r="A1107" t="s">
        <v>20</v>
      </c>
      <c r="B1107" t="s">
        <v>175</v>
      </c>
      <c r="C1107" t="s">
        <v>324</v>
      </c>
      <c r="D1107" t="s">
        <v>425</v>
      </c>
      <c r="F1107" t="s">
        <v>446</v>
      </c>
      <c r="G1107" t="str">
        <f>HYPERLINK("https://ca.linkedin.com/jobs/view/senior-data-analyst-at-ssense-3342165774?refId=bSIqKhMlHvDl2l%2FiuOg%2Beg%3D%3D&amp;trackingId=dJ%2BdC7QZ96E3I4Tr%2F%2B1ZRg%3D%3D&amp;position=21&amp;pageNum=0&amp;trk=public_jobs_jserp-result_search-card", "Job Link")</f>
        <v>Job Link</v>
      </c>
      <c r="H1107" t="s">
        <v>478</v>
      </c>
      <c r="I1107" t="s">
        <v>481</v>
      </c>
      <c r="J1107" t="s">
        <v>486</v>
      </c>
      <c r="K1107" t="s">
        <v>550</v>
      </c>
      <c r="L1107" t="s">
        <v>605</v>
      </c>
      <c r="M1107" t="s">
        <v>617</v>
      </c>
      <c r="N1107" t="s">
        <v>601</v>
      </c>
    </row>
    <row r="1108" spans="1:14" x14ac:dyDescent="0.25">
      <c r="A1108" t="s">
        <v>53</v>
      </c>
      <c r="B1108" t="s">
        <v>177</v>
      </c>
      <c r="C1108" t="s">
        <v>328</v>
      </c>
      <c r="D1108" t="s">
        <v>425</v>
      </c>
      <c r="F1108" t="s">
        <v>454</v>
      </c>
      <c r="G1108" t="str">
        <f>HYPERLINK("https://ca.linkedin.com/jobs/view/gaming-data-analyst-at-insight-global-3338526926?refId=bSIqKhMlHvDl2l%2FiuOg%2Beg%3D%3D&amp;trackingId=bfrsQfsQfDKPLCDNmqeP6A%3D%3D&amp;position=22&amp;pageNum=0&amp;trk=public_jobs_jserp-result_search-card", "Job Link")</f>
        <v>Job Link</v>
      </c>
      <c r="H1108" t="s">
        <v>478</v>
      </c>
      <c r="I1108" t="s">
        <v>483</v>
      </c>
      <c r="J1108" t="s">
        <v>486</v>
      </c>
      <c r="K1108" t="s">
        <v>518</v>
      </c>
      <c r="L1108" t="s">
        <v>601</v>
      </c>
    </row>
    <row r="1109" spans="1:14" x14ac:dyDescent="0.25">
      <c r="A1109" t="s">
        <v>14</v>
      </c>
      <c r="B1109" t="s">
        <v>158</v>
      </c>
      <c r="C1109" t="s">
        <v>307</v>
      </c>
      <c r="D1109" t="s">
        <v>425</v>
      </c>
      <c r="F1109" t="s">
        <v>430</v>
      </c>
      <c r="G1109" t="str">
        <f>HYPERLINK("https://ca.linkedin.com/jobs/view/data-analyst-at-empire-life-3324608289?refId=ErV0OnC6vBcNW0XMXA99lg%3D%3D&amp;trackingId=mmc4I72dLA4zJxPXcoQ%2F8A%3D%3D&amp;position=1&amp;pageNum=0&amp;trk=public_jobs_jserp-result_search-card", "Job Link")</f>
        <v>Job Link</v>
      </c>
      <c r="H1109" t="s">
        <v>476</v>
      </c>
      <c r="I1109" t="s">
        <v>481</v>
      </c>
      <c r="J1109" t="s">
        <v>485</v>
      </c>
      <c r="K1109" t="s">
        <v>523</v>
      </c>
      <c r="L1109" t="s">
        <v>601</v>
      </c>
    </row>
    <row r="1110" spans="1:14" x14ac:dyDescent="0.25">
      <c r="A1110" t="s">
        <v>40</v>
      </c>
      <c r="B1110" t="s">
        <v>159</v>
      </c>
      <c r="C1110" t="s">
        <v>308</v>
      </c>
      <c r="D1110" t="s">
        <v>425</v>
      </c>
      <c r="F1110" t="s">
        <v>435</v>
      </c>
      <c r="G1110" t="str">
        <f>HYPERLINK("https://ca.linkedin.com/jobs/view/data-visualization-developer-analyst-at-blue-boat-data-3335318133?refId=ErV0OnC6vBcNW0XMXA99lg%3D%3D&amp;trackingId=ZMslJxGYOCEZFxTuRAmKwA%3D%3D&amp;position=2&amp;pageNum=0&amp;trk=public_jobs_jserp-result_search-card", "Job Link")</f>
        <v>Job Link</v>
      </c>
      <c r="I1110" t="s">
        <v>483</v>
      </c>
      <c r="L1110" t="s">
        <v>601</v>
      </c>
    </row>
    <row r="1111" spans="1:14" x14ac:dyDescent="0.25">
      <c r="A1111" t="s">
        <v>14</v>
      </c>
      <c r="B1111" t="s">
        <v>160</v>
      </c>
      <c r="C1111" t="s">
        <v>309</v>
      </c>
      <c r="D1111" t="s">
        <v>425</v>
      </c>
      <c r="E1111" t="s">
        <v>427</v>
      </c>
      <c r="F1111" t="s">
        <v>458</v>
      </c>
      <c r="G1111" t="str">
        <f>HYPERLINK("https://ca.linkedin.com/jobs/view/data-analyst-at-libitzky-property-companies-3314494593?refId=ErV0OnC6vBcNW0XMXA99lg%3D%3D&amp;trackingId=EX5k6rj%2FGBMLAJeo4BOhxg%3D%3D&amp;position=3&amp;pageNum=0&amp;trk=public_jobs_jserp-result_search-card", "Job Link")</f>
        <v>Job Link</v>
      </c>
      <c r="H1111" t="s">
        <v>476</v>
      </c>
      <c r="I1111" t="s">
        <v>481</v>
      </c>
      <c r="J1111" t="s">
        <v>486</v>
      </c>
      <c r="K1111" t="s">
        <v>516</v>
      </c>
      <c r="L1111" t="s">
        <v>601</v>
      </c>
    </row>
    <row r="1112" spans="1:14" x14ac:dyDescent="0.25">
      <c r="A1112" t="s">
        <v>14</v>
      </c>
      <c r="B1112" t="s">
        <v>161</v>
      </c>
      <c r="C1112" t="s">
        <v>310</v>
      </c>
      <c r="D1112" t="s">
        <v>425</v>
      </c>
      <c r="F1112" t="s">
        <v>435</v>
      </c>
      <c r="G1112" t="str">
        <f>HYPERLINK("https://ca.linkedin.com/jobs/view/data-analyst-at-spire-3340696458?refId=ErV0OnC6vBcNW0XMXA99lg%3D%3D&amp;trackingId=KU8o%2FuErUw2bRRgvf9lXKw%3D%3D&amp;position=4&amp;pageNum=0&amp;trk=public_jobs_jserp-result_search-card", "Job Link")</f>
        <v>Job Link</v>
      </c>
      <c r="H1112" t="s">
        <v>476</v>
      </c>
      <c r="I1112" t="s">
        <v>481</v>
      </c>
      <c r="J1112" t="s">
        <v>486</v>
      </c>
      <c r="K1112" t="s">
        <v>517</v>
      </c>
      <c r="L1112" t="s">
        <v>602</v>
      </c>
      <c r="M1112" t="s">
        <v>588</v>
      </c>
      <c r="N1112" t="s">
        <v>601</v>
      </c>
    </row>
    <row r="1113" spans="1:14" x14ac:dyDescent="0.25">
      <c r="A1113" t="s">
        <v>14</v>
      </c>
      <c r="B1113" t="s">
        <v>162</v>
      </c>
      <c r="C1113" t="s">
        <v>311</v>
      </c>
      <c r="D1113" t="s">
        <v>425</v>
      </c>
      <c r="F1113" t="s">
        <v>434</v>
      </c>
      <c r="G1113" t="str">
        <f>HYPERLINK("https://ca.linkedin.com/jobs/view/data-analyst-at-money-mart-financial-services-3361528052?refId=ErV0OnC6vBcNW0XMXA99lg%3D%3D&amp;trackingId=rjpkND9H4ht%2BE5TMv8wxHA%3D%3D&amp;position=5&amp;pageNum=0&amp;trk=public_jobs_jserp-result_search-card", "Job Link")</f>
        <v>Job Link</v>
      </c>
      <c r="H1113" t="s">
        <v>477</v>
      </c>
      <c r="I1113" t="s">
        <v>481</v>
      </c>
      <c r="J1113" t="s">
        <v>488</v>
      </c>
      <c r="K1113" t="s">
        <v>527</v>
      </c>
      <c r="L1113" t="s">
        <v>582</v>
      </c>
      <c r="M1113" t="s">
        <v>588</v>
      </c>
      <c r="N1113" t="s">
        <v>601</v>
      </c>
    </row>
    <row r="1114" spans="1:14" x14ac:dyDescent="0.25">
      <c r="A1114" t="s">
        <v>14</v>
      </c>
      <c r="B1114" t="s">
        <v>163</v>
      </c>
      <c r="C1114" t="s">
        <v>312</v>
      </c>
      <c r="D1114" t="s">
        <v>425</v>
      </c>
      <c r="F1114" t="s">
        <v>443</v>
      </c>
      <c r="G1114" t="str">
        <f>HYPERLINK("https://ca.linkedin.com/jobs/view/data-analyst-at-mojio-3363472062?refId=ErV0OnC6vBcNW0XMXA99lg%3D%3D&amp;trackingId=GCFO%2Fn8OR4LoJxVNhbC9Lg%3D%3D&amp;position=6&amp;pageNum=0&amp;trk=public_jobs_jserp-result_search-card", "Job Link")</f>
        <v>Job Link</v>
      </c>
      <c r="H1114" t="s">
        <v>478</v>
      </c>
      <c r="I1114" t="s">
        <v>481</v>
      </c>
      <c r="J1114" t="s">
        <v>493</v>
      </c>
      <c r="K1114" t="s">
        <v>544</v>
      </c>
      <c r="L1114" t="s">
        <v>601</v>
      </c>
    </row>
    <row r="1115" spans="1:14" x14ac:dyDescent="0.25">
      <c r="A1115" t="s">
        <v>41</v>
      </c>
      <c r="B1115" t="s">
        <v>164</v>
      </c>
      <c r="C1115" t="s">
        <v>313</v>
      </c>
      <c r="D1115" t="s">
        <v>425</v>
      </c>
      <c r="F1115" t="s">
        <v>444</v>
      </c>
      <c r="G1115" t="str">
        <f>HYPERLINK("https://ca.linkedin.com/jobs/view/product-data-analyst-at-pdftron-systems-inc-3322845144?refId=ErV0OnC6vBcNW0XMXA99lg%3D%3D&amp;trackingId=9pVkL%2BOsQo3umeS6IWDPIg%3D%3D&amp;position=7&amp;pageNum=0&amp;trk=public_jobs_jserp-result_search-card", "Job Link")</f>
        <v>Job Link</v>
      </c>
      <c r="H1115" t="s">
        <v>479</v>
      </c>
      <c r="I1115" t="s">
        <v>481</v>
      </c>
      <c r="J1115" t="s">
        <v>487</v>
      </c>
      <c r="K1115" t="s">
        <v>538</v>
      </c>
      <c r="L1115" t="s">
        <v>590</v>
      </c>
      <c r="M1115" t="s">
        <v>618</v>
      </c>
      <c r="N1115" t="s">
        <v>601</v>
      </c>
    </row>
    <row r="1116" spans="1:14" x14ac:dyDescent="0.25">
      <c r="A1116" t="s">
        <v>42</v>
      </c>
      <c r="B1116" t="s">
        <v>165</v>
      </c>
      <c r="C1116" t="s">
        <v>314</v>
      </c>
      <c r="D1116" t="s">
        <v>425</v>
      </c>
      <c r="F1116" t="s">
        <v>459</v>
      </c>
      <c r="G1116" t="str">
        <f>HYPERLINK("https://ca.linkedin.com/jobs/view/cognitive-data-analyst-at-wysdom-ai-3333087497?refId=ErV0OnC6vBcNW0XMXA99lg%3D%3D&amp;trackingId=ZhhtIXuufNxPC%2B8KQAS%2BLA%3D%3D&amp;position=8&amp;pageNum=0&amp;trk=public_jobs_jserp-result_search-card", "Job Link")</f>
        <v>Job Link</v>
      </c>
      <c r="H1116" t="s">
        <v>478</v>
      </c>
      <c r="I1116" t="s">
        <v>481</v>
      </c>
      <c r="J1116" t="s">
        <v>486</v>
      </c>
      <c r="K1116" t="s">
        <v>516</v>
      </c>
      <c r="L1116" t="s">
        <v>601</v>
      </c>
    </row>
    <row r="1117" spans="1:14" x14ac:dyDescent="0.25">
      <c r="A1117" t="s">
        <v>43</v>
      </c>
      <c r="B1117" t="s">
        <v>166</v>
      </c>
      <c r="C1117" t="s">
        <v>315</v>
      </c>
      <c r="D1117" t="s">
        <v>425</v>
      </c>
      <c r="F1117" t="s">
        <v>432</v>
      </c>
      <c r="G1117" t="str">
        <f>HYPERLINK("https://ca.linkedin.com/jobs/view/data-analyst-operations-at-felix-3360946633?refId=ErV0OnC6vBcNW0XMXA99lg%3D%3D&amp;trackingId=gYVCIJCBISoozn4XgGEhRQ%3D%3D&amp;position=9&amp;pageNum=0&amp;trk=public_jobs_jserp-result_search-card", "Job Link")</f>
        <v>Job Link</v>
      </c>
      <c r="I1117" t="s">
        <v>481</v>
      </c>
      <c r="L1117" t="s">
        <v>601</v>
      </c>
    </row>
    <row r="1118" spans="1:14" x14ac:dyDescent="0.25">
      <c r="A1118" t="s">
        <v>44</v>
      </c>
      <c r="B1118" t="s">
        <v>167</v>
      </c>
      <c r="C1118" t="s">
        <v>316</v>
      </c>
      <c r="D1118" t="s">
        <v>425</v>
      </c>
      <c r="F1118" t="s">
        <v>460</v>
      </c>
      <c r="G1118" t="str">
        <f>HYPERLINK("https://ca.linkedin.com/jobs/view/data-analyst-marketing-at-thescore-3272474942?refId=ErV0OnC6vBcNW0XMXA99lg%3D%3D&amp;trackingId=x2Pi2a30mEJddXA69cUFww%3D%3D&amp;position=10&amp;pageNum=0&amp;trk=public_jobs_jserp-result_search-card", "Job Link")</f>
        <v>Job Link</v>
      </c>
      <c r="H1118" t="s">
        <v>476</v>
      </c>
      <c r="I1118" t="s">
        <v>481</v>
      </c>
      <c r="J1118" t="s">
        <v>486</v>
      </c>
      <c r="K1118" t="s">
        <v>545</v>
      </c>
      <c r="L1118" t="s">
        <v>582</v>
      </c>
      <c r="M1118" t="s">
        <v>588</v>
      </c>
      <c r="N1118" t="s">
        <v>601</v>
      </c>
    </row>
    <row r="1119" spans="1:14" x14ac:dyDescent="0.25">
      <c r="A1119" t="s">
        <v>45</v>
      </c>
      <c r="B1119" t="s">
        <v>168</v>
      </c>
      <c r="C1119" t="s">
        <v>317</v>
      </c>
      <c r="D1119" t="s">
        <v>425</v>
      </c>
      <c r="F1119" t="s">
        <v>443</v>
      </c>
      <c r="G1119" t="str">
        <f>HYPERLINK("https://ca.linkedin.com/jobs/view/senior-data-analyst-apac-marketplace-at-hopper-3363404929?refId=ErV0OnC6vBcNW0XMXA99lg%3D%3D&amp;trackingId=bYWIAanaJJxI36%2FvqtTj6A%3D%3D&amp;position=11&amp;pageNum=0&amp;trk=public_jobs_jserp-result_search-card", "Job Link")</f>
        <v>Job Link</v>
      </c>
      <c r="H1119" t="s">
        <v>478</v>
      </c>
      <c r="I1119" t="s">
        <v>485</v>
      </c>
      <c r="J1119" t="s">
        <v>486</v>
      </c>
      <c r="K1119" t="s">
        <v>538</v>
      </c>
      <c r="L1119" t="s">
        <v>601</v>
      </c>
    </row>
    <row r="1120" spans="1:14" x14ac:dyDescent="0.25">
      <c r="A1120" t="s">
        <v>46</v>
      </c>
      <c r="B1120" t="s">
        <v>169</v>
      </c>
      <c r="C1120" t="s">
        <v>318</v>
      </c>
      <c r="D1120" t="s">
        <v>425</v>
      </c>
      <c r="F1120" t="s">
        <v>461</v>
      </c>
      <c r="G1120" t="str">
        <f>HYPERLINK("https://ca.linkedin.com/jobs/view/senior-data-analyst-remote-at-insurance-supermarket-international-usa-3347334252?refId=ErV0OnC6vBcNW0XMXA99lg%3D%3D&amp;trackingId=JC0GI5K3%2BH9B9czo1lOx5g%3D%3D&amp;position=12&amp;pageNum=0&amp;trk=public_jobs_jserp-result_search-card", "Job Link")</f>
        <v>Job Link</v>
      </c>
      <c r="H1120" t="s">
        <v>478</v>
      </c>
      <c r="I1120" t="s">
        <v>481</v>
      </c>
      <c r="J1120" t="s">
        <v>494</v>
      </c>
      <c r="K1120" t="s">
        <v>546</v>
      </c>
      <c r="L1120" t="s">
        <v>601</v>
      </c>
    </row>
    <row r="1121" spans="1:14" x14ac:dyDescent="0.25">
      <c r="A1121" t="s">
        <v>20</v>
      </c>
      <c r="B1121" t="s">
        <v>170</v>
      </c>
      <c r="C1121" t="s">
        <v>319</v>
      </c>
      <c r="D1121" t="s">
        <v>425</v>
      </c>
      <c r="F1121" t="s">
        <v>450</v>
      </c>
      <c r="G1121" t="str">
        <f>HYPERLINK("https://ca.linkedin.com/jobs/view/senior-data-analyst-at-thinkific-3333572538?refId=ErV0OnC6vBcNW0XMXA99lg%3D%3D&amp;trackingId=J4J21VW9jyDqY%2BSGWmeVcg%3D%3D&amp;position=13&amp;pageNum=0&amp;trk=public_jobs_jserp-result_search-card", "Job Link")</f>
        <v>Job Link</v>
      </c>
      <c r="H1121" t="s">
        <v>478</v>
      </c>
      <c r="I1121" t="s">
        <v>481</v>
      </c>
      <c r="J1121" t="s">
        <v>495</v>
      </c>
      <c r="K1121" t="s">
        <v>547</v>
      </c>
      <c r="L1121" t="s">
        <v>601</v>
      </c>
    </row>
    <row r="1122" spans="1:14" x14ac:dyDescent="0.25">
      <c r="A1122" t="s">
        <v>47</v>
      </c>
      <c r="B1122" t="s">
        <v>171</v>
      </c>
      <c r="C1122" t="s">
        <v>320</v>
      </c>
      <c r="D1122" t="s">
        <v>425</v>
      </c>
      <c r="F1122" t="s">
        <v>447</v>
      </c>
      <c r="G1122" t="str">
        <f>HYPERLINK("https://ca.linkedin.com/jobs/view/insights-analyst-at-flashfood-3312876343?refId=ErV0OnC6vBcNW0XMXA99lg%3D%3D&amp;trackingId=Q9UyQQ3HyHvvfbldFJf3pg%3D%3D&amp;position=14&amp;pageNum=0&amp;trk=public_jobs_jserp-result_search-card", "Job Link")</f>
        <v>Job Link</v>
      </c>
      <c r="I1122" t="s">
        <v>481</v>
      </c>
      <c r="L1122" t="s">
        <v>601</v>
      </c>
    </row>
    <row r="1123" spans="1:14" x14ac:dyDescent="0.25">
      <c r="A1123" t="s">
        <v>20</v>
      </c>
      <c r="B1123" t="s">
        <v>172</v>
      </c>
      <c r="C1123" t="s">
        <v>321</v>
      </c>
      <c r="D1123" t="s">
        <v>425</v>
      </c>
      <c r="F1123" t="s">
        <v>438</v>
      </c>
      <c r="G1123" t="str">
        <f>HYPERLINK("https://ca.linkedin.com/jobs/view/senior-data-analyst-at-system1-3324728130?refId=ErV0OnC6vBcNW0XMXA99lg%3D%3D&amp;trackingId=CRxzox1VPr6MCacEuZJgZw%3D%3D&amp;position=15&amp;pageNum=0&amp;trk=public_jobs_jserp-result_search-card", "Job Link")</f>
        <v>Job Link</v>
      </c>
      <c r="H1123" t="s">
        <v>478</v>
      </c>
      <c r="I1123" t="s">
        <v>481</v>
      </c>
      <c r="J1123" t="s">
        <v>486</v>
      </c>
      <c r="K1123" t="s">
        <v>548</v>
      </c>
      <c r="L1123" t="s">
        <v>587</v>
      </c>
      <c r="M1123" t="s">
        <v>588</v>
      </c>
      <c r="N1123" t="s">
        <v>601</v>
      </c>
    </row>
    <row r="1124" spans="1:14" x14ac:dyDescent="0.25">
      <c r="A1124" t="s">
        <v>48</v>
      </c>
      <c r="B1124" t="s">
        <v>173</v>
      </c>
      <c r="C1124" t="s">
        <v>322</v>
      </c>
      <c r="D1124" t="s">
        <v>425</v>
      </c>
      <c r="F1124" t="s">
        <v>462</v>
      </c>
      <c r="G1124" t="str">
        <f>HYPERLINK("https://ca.linkedin.com/jobs/view/data-analyst-trilogy-remote-%2460-000-year-usd-at-crossover-3367086698?refId=ErV0OnC6vBcNW0XMXA99lg%3D%3D&amp;trackingId=vcYkqWUDtJ7pSl0EwT2iDw%3D%3D&amp;position=16&amp;pageNum=0&amp;trk=public_jobs_jserp-result_search-card", "Job Link")</f>
        <v>Job Link</v>
      </c>
      <c r="H1124" t="s">
        <v>477</v>
      </c>
      <c r="I1124" t="s">
        <v>481</v>
      </c>
      <c r="J1124" t="s">
        <v>496</v>
      </c>
      <c r="K1124" t="s">
        <v>549</v>
      </c>
      <c r="L1124" t="s">
        <v>582</v>
      </c>
      <c r="M1124" t="s">
        <v>588</v>
      </c>
      <c r="N1124" t="s">
        <v>601</v>
      </c>
    </row>
    <row r="1125" spans="1:14" x14ac:dyDescent="0.25">
      <c r="A1125" t="s">
        <v>49</v>
      </c>
      <c r="B1125" t="s">
        <v>174</v>
      </c>
      <c r="C1125" t="s">
        <v>323</v>
      </c>
      <c r="D1125" t="s">
        <v>425</v>
      </c>
      <c r="F1125" t="s">
        <v>433</v>
      </c>
      <c r="G1125" t="str">
        <f>HYPERLINK("https://ca.linkedin.com/jobs/view/product-data-analyst-wtfast-at-blankslate-partners-3350561493?refId=ErV0OnC6vBcNW0XMXA99lg%3D%3D&amp;trackingId=WX9DI%2B99ABnRR%2BRjiyMWJw%3D%3D&amp;position=17&amp;pageNum=0&amp;trk=public_jobs_jserp-result_search-card", "Job Link")</f>
        <v>Job Link</v>
      </c>
      <c r="H1125" t="s">
        <v>479</v>
      </c>
      <c r="I1125" t="s">
        <v>481</v>
      </c>
      <c r="J1125" t="s">
        <v>497</v>
      </c>
      <c r="K1125" t="s">
        <v>538</v>
      </c>
      <c r="L1125" t="s">
        <v>603</v>
      </c>
      <c r="M1125" t="s">
        <v>618</v>
      </c>
      <c r="N1125" t="s">
        <v>601</v>
      </c>
    </row>
    <row r="1126" spans="1:14" x14ac:dyDescent="0.25">
      <c r="A1126" t="s">
        <v>50</v>
      </c>
      <c r="B1126" t="s">
        <v>175</v>
      </c>
      <c r="C1126" t="s">
        <v>324</v>
      </c>
      <c r="D1126" t="s">
        <v>425</v>
      </c>
      <c r="F1126" t="s">
        <v>443</v>
      </c>
      <c r="G1126" t="str">
        <f>HYPERLINK("https://ca.linkedin.com/jobs/view/senior-data-analyst-toronto-on-at-ssense-3369567279?refId=ErV0OnC6vBcNW0XMXA99lg%3D%3D&amp;trackingId=MHIJzJLHEvWr9zWFCQ78vA%3D%3D&amp;position=18&amp;pageNum=0&amp;trk=public_jobs_jserp-result_search-card", "Job Link")</f>
        <v>Job Link</v>
      </c>
      <c r="H1126" t="s">
        <v>478</v>
      </c>
      <c r="I1126" t="s">
        <v>481</v>
      </c>
      <c r="J1126" t="s">
        <v>486</v>
      </c>
      <c r="K1126" t="s">
        <v>550</v>
      </c>
      <c r="L1126" t="s">
        <v>582</v>
      </c>
      <c r="M1126" t="s">
        <v>588</v>
      </c>
      <c r="N1126" t="s">
        <v>601</v>
      </c>
    </row>
    <row r="1127" spans="1:14" x14ac:dyDescent="0.25">
      <c r="A1127" t="s">
        <v>51</v>
      </c>
      <c r="B1127" t="s">
        <v>175</v>
      </c>
      <c r="C1127" t="s">
        <v>325</v>
      </c>
      <c r="D1127" t="s">
        <v>425</v>
      </c>
      <c r="F1127" t="s">
        <v>443</v>
      </c>
      <c r="G1127" t="str">
        <f>HYPERLINK("https://ca.linkedin.com/jobs/view/senior-data-analyst-analytics-insights-toronto-on-at-ssense-3369558722?refId=ErV0OnC6vBcNW0XMXA99lg%3D%3D&amp;trackingId=6zN5FiXrw280MS%2FsIO2MJQ%3D%3D&amp;position=19&amp;pageNum=0&amp;trk=public_jobs_jserp-result_search-card", "Job Link")</f>
        <v>Job Link</v>
      </c>
      <c r="H1127" t="s">
        <v>478</v>
      </c>
      <c r="I1127" t="s">
        <v>481</v>
      </c>
      <c r="J1127" t="s">
        <v>491</v>
      </c>
      <c r="K1127" t="s">
        <v>550</v>
      </c>
      <c r="L1127" t="s">
        <v>582</v>
      </c>
      <c r="M1127" t="s">
        <v>588</v>
      </c>
      <c r="N1127" t="s">
        <v>601</v>
      </c>
    </row>
    <row r="1128" spans="1:14" x14ac:dyDescent="0.25">
      <c r="A1128" t="s">
        <v>51</v>
      </c>
      <c r="B1128" t="s">
        <v>175</v>
      </c>
      <c r="C1128" t="s">
        <v>325</v>
      </c>
      <c r="D1128" t="s">
        <v>425</v>
      </c>
      <c r="F1128" t="s">
        <v>443</v>
      </c>
      <c r="G1128" t="str">
        <f>HYPERLINK("https://ca.linkedin.com/jobs/view/senior-data-analyst-analytics-insights-toronto-on-at-ssense-3369560180?refId=ErV0OnC6vBcNW0XMXA99lg%3D%3D&amp;trackingId=fMoeoGEh4xBubFtPguajSw%3D%3D&amp;position=20&amp;pageNum=0&amp;trk=public_jobs_jserp-result_search-card", "Job Link")</f>
        <v>Job Link</v>
      </c>
      <c r="H1128" t="s">
        <v>478</v>
      </c>
      <c r="I1128" t="s">
        <v>481</v>
      </c>
      <c r="J1128" t="s">
        <v>491</v>
      </c>
      <c r="K1128" t="s">
        <v>550</v>
      </c>
      <c r="L1128" t="s">
        <v>582</v>
      </c>
      <c r="M1128" t="s">
        <v>588</v>
      </c>
      <c r="N1128" t="s">
        <v>601</v>
      </c>
    </row>
    <row r="1129" spans="1:14" x14ac:dyDescent="0.25">
      <c r="A1129" t="s">
        <v>27</v>
      </c>
      <c r="B1129" t="s">
        <v>176</v>
      </c>
      <c r="C1129" t="s">
        <v>326</v>
      </c>
      <c r="D1129" t="s">
        <v>425</v>
      </c>
      <c r="F1129" t="s">
        <v>441</v>
      </c>
      <c r="G1129" t="str">
        <f>HYPERLINK("https://ca.linkedin.com/jobs/view/sr-data-analyst-at-telus-international-digital-solutions-3331944226?refId=ErV0OnC6vBcNW0XMXA99lg%3D%3D&amp;trackingId=3Tg8jK5ScrTY58CVDqM1DA%3D%3D&amp;position=21&amp;pageNum=0&amp;trk=public_jobs_jserp-result_search-card", "Job Link")</f>
        <v>Job Link</v>
      </c>
      <c r="H1129" t="s">
        <v>478</v>
      </c>
      <c r="I1129" t="s">
        <v>481</v>
      </c>
      <c r="J1129" t="s">
        <v>498</v>
      </c>
      <c r="K1129" t="s">
        <v>521</v>
      </c>
      <c r="L1129" t="s">
        <v>604</v>
      </c>
      <c r="M1129" t="s">
        <v>618</v>
      </c>
      <c r="N1129" t="s">
        <v>601</v>
      </c>
    </row>
    <row r="1130" spans="1:14" x14ac:dyDescent="0.25">
      <c r="A1130" t="s">
        <v>20</v>
      </c>
      <c r="B1130" t="s">
        <v>175</v>
      </c>
      <c r="C1130" t="s">
        <v>324</v>
      </c>
      <c r="D1130" t="s">
        <v>425</v>
      </c>
      <c r="F1130" t="s">
        <v>446</v>
      </c>
      <c r="G1130" t="str">
        <f>HYPERLINK("https://ca.linkedin.com/jobs/view/senior-data-analyst-at-ssense-3342165774?refId=ErV0OnC6vBcNW0XMXA99lg%3D%3D&amp;trackingId=zECEUM4Pulft0uIGm6AxXw%3D%3D&amp;position=22&amp;pageNum=0&amp;trk=public_jobs_jserp-result_search-card", "Job Link")</f>
        <v>Job Link</v>
      </c>
      <c r="H1130" t="s">
        <v>478</v>
      </c>
      <c r="I1130" t="s">
        <v>481</v>
      </c>
      <c r="J1130" t="s">
        <v>486</v>
      </c>
      <c r="K1130" t="s">
        <v>550</v>
      </c>
      <c r="L1130" t="s">
        <v>605</v>
      </c>
      <c r="M1130" t="s">
        <v>617</v>
      </c>
      <c r="N1130" t="s">
        <v>601</v>
      </c>
    </row>
    <row r="1131" spans="1:14" x14ac:dyDescent="0.25">
      <c r="A1131" t="s">
        <v>14</v>
      </c>
      <c r="B1131" t="s">
        <v>158</v>
      </c>
      <c r="C1131" t="s">
        <v>307</v>
      </c>
      <c r="D1131" t="s">
        <v>425</v>
      </c>
      <c r="F1131" t="s">
        <v>430</v>
      </c>
      <c r="G1131" t="str">
        <f>HYPERLINK("https://ca.linkedin.com/jobs/view/data-analyst-at-empire-life-3324608289?refId=UchghugUNpNWqXypilTQYw%3D%3D&amp;trackingId=OW8zqKfPYJgSypl8v%2BNkrA%3D%3D&amp;position=1&amp;pageNum=0&amp;trk=public_jobs_jserp-result_search-card", "Job Link")</f>
        <v>Job Link</v>
      </c>
      <c r="H1131" t="s">
        <v>476</v>
      </c>
      <c r="I1131" t="s">
        <v>481</v>
      </c>
      <c r="J1131" t="s">
        <v>485</v>
      </c>
      <c r="K1131" t="s">
        <v>523</v>
      </c>
      <c r="L1131" t="s">
        <v>601</v>
      </c>
    </row>
    <row r="1132" spans="1:14" x14ac:dyDescent="0.25">
      <c r="A1132" t="s">
        <v>40</v>
      </c>
      <c r="B1132" t="s">
        <v>159</v>
      </c>
      <c r="C1132" t="s">
        <v>308</v>
      </c>
      <c r="D1132" t="s">
        <v>425</v>
      </c>
      <c r="F1132" t="s">
        <v>435</v>
      </c>
      <c r="G1132" t="str">
        <f>HYPERLINK("https://ca.linkedin.com/jobs/view/data-visualization-developer-analyst-at-blue-boat-data-3335318133?refId=UchghugUNpNWqXypilTQYw%3D%3D&amp;trackingId=%2BVVKpES%2BCWghrrdxqZZ%2F4Q%3D%3D&amp;position=2&amp;pageNum=0&amp;trk=public_jobs_jserp-result_search-card", "Job Link")</f>
        <v>Job Link</v>
      </c>
      <c r="I1132" t="s">
        <v>483</v>
      </c>
      <c r="L1132" t="s">
        <v>601</v>
      </c>
    </row>
    <row r="1133" spans="1:14" x14ac:dyDescent="0.25">
      <c r="A1133" t="s">
        <v>14</v>
      </c>
      <c r="B1133" t="s">
        <v>160</v>
      </c>
      <c r="C1133" t="s">
        <v>309</v>
      </c>
      <c r="D1133" t="s">
        <v>425</v>
      </c>
      <c r="E1133" t="s">
        <v>427</v>
      </c>
      <c r="F1133" t="s">
        <v>458</v>
      </c>
      <c r="G1133" t="str">
        <f>HYPERLINK("https://ca.linkedin.com/jobs/view/data-analyst-at-libitzky-property-companies-3314494593?refId=UchghugUNpNWqXypilTQYw%3D%3D&amp;trackingId=NmMOoXj3UTG2DQLOVFLyjg%3D%3D&amp;position=3&amp;pageNum=0&amp;trk=public_jobs_jserp-result_search-card", "Job Link")</f>
        <v>Job Link</v>
      </c>
      <c r="H1133" t="s">
        <v>476</v>
      </c>
      <c r="I1133" t="s">
        <v>481</v>
      </c>
      <c r="J1133" t="s">
        <v>486</v>
      </c>
      <c r="K1133" t="s">
        <v>516</v>
      </c>
      <c r="L1133" t="s">
        <v>601</v>
      </c>
    </row>
    <row r="1134" spans="1:14" x14ac:dyDescent="0.25">
      <c r="A1134" t="s">
        <v>14</v>
      </c>
      <c r="B1134" t="s">
        <v>161</v>
      </c>
      <c r="C1134" t="s">
        <v>310</v>
      </c>
      <c r="D1134" t="s">
        <v>425</v>
      </c>
      <c r="F1134" t="s">
        <v>435</v>
      </c>
      <c r="G1134" t="str">
        <f>HYPERLINK("https://ca.linkedin.com/jobs/view/data-analyst-at-spire-3340696458?refId=UchghugUNpNWqXypilTQYw%3D%3D&amp;trackingId=kiyEVSv2dteRy80B%2FbydDQ%3D%3D&amp;position=4&amp;pageNum=0&amp;trk=public_jobs_jserp-result_search-card", "Job Link")</f>
        <v>Job Link</v>
      </c>
      <c r="H1134" t="s">
        <v>476</v>
      </c>
      <c r="I1134" t="s">
        <v>481</v>
      </c>
      <c r="J1134" t="s">
        <v>486</v>
      </c>
      <c r="K1134" t="s">
        <v>517</v>
      </c>
      <c r="L1134" t="s">
        <v>602</v>
      </c>
      <c r="M1134" t="s">
        <v>588</v>
      </c>
      <c r="N1134" t="s">
        <v>601</v>
      </c>
    </row>
    <row r="1135" spans="1:14" x14ac:dyDescent="0.25">
      <c r="A1135" t="s">
        <v>14</v>
      </c>
      <c r="B1135" t="s">
        <v>163</v>
      </c>
      <c r="C1135" t="s">
        <v>312</v>
      </c>
      <c r="D1135" t="s">
        <v>425</v>
      </c>
      <c r="F1135" t="s">
        <v>443</v>
      </c>
      <c r="G1135" t="str">
        <f>HYPERLINK("https://ca.linkedin.com/jobs/view/data-analyst-at-mojio-3363472062?refId=UchghugUNpNWqXypilTQYw%3D%3D&amp;trackingId=oEBFQTyDEOr9zNG8tz%2BuNA%3D%3D&amp;position=5&amp;pageNum=0&amp;trk=public_jobs_jserp-result_search-card", "Job Link")</f>
        <v>Job Link</v>
      </c>
      <c r="H1135" t="s">
        <v>478</v>
      </c>
      <c r="I1135" t="s">
        <v>481</v>
      </c>
      <c r="J1135" t="s">
        <v>493</v>
      </c>
      <c r="K1135" t="s">
        <v>544</v>
      </c>
      <c r="L1135" t="s">
        <v>601</v>
      </c>
    </row>
    <row r="1136" spans="1:14" x14ac:dyDescent="0.25">
      <c r="A1136" t="s">
        <v>41</v>
      </c>
      <c r="B1136" t="s">
        <v>164</v>
      </c>
      <c r="C1136" t="s">
        <v>313</v>
      </c>
      <c r="D1136" t="s">
        <v>425</v>
      </c>
      <c r="F1136" t="s">
        <v>444</v>
      </c>
      <c r="G1136" t="str">
        <f>HYPERLINK("https://ca.linkedin.com/jobs/view/product-data-analyst-at-pdftron-systems-inc-3322845144?refId=UchghugUNpNWqXypilTQYw%3D%3D&amp;trackingId=hvu9SAtRlAPD%2FepQ%2B5uU0Q%3D%3D&amp;position=6&amp;pageNum=0&amp;trk=public_jobs_jserp-result_search-card", "Job Link")</f>
        <v>Job Link</v>
      </c>
      <c r="H1136" t="s">
        <v>479</v>
      </c>
      <c r="I1136" t="s">
        <v>481</v>
      </c>
      <c r="J1136" t="s">
        <v>487</v>
      </c>
      <c r="K1136" t="s">
        <v>538</v>
      </c>
      <c r="L1136" t="s">
        <v>590</v>
      </c>
      <c r="M1136" t="s">
        <v>618</v>
      </c>
      <c r="N1136" t="s">
        <v>601</v>
      </c>
    </row>
    <row r="1137" spans="1:14" x14ac:dyDescent="0.25">
      <c r="A1137" t="s">
        <v>42</v>
      </c>
      <c r="B1137" t="s">
        <v>165</v>
      </c>
      <c r="C1137" t="s">
        <v>314</v>
      </c>
      <c r="D1137" t="s">
        <v>425</v>
      </c>
      <c r="F1137" t="s">
        <v>459</v>
      </c>
      <c r="G1137" t="str">
        <f>HYPERLINK("https://ca.linkedin.com/jobs/view/cognitive-data-analyst-at-wysdom-ai-3333087497?refId=UchghugUNpNWqXypilTQYw%3D%3D&amp;trackingId=6SwM1qnBWrMs3CSLoU9LXg%3D%3D&amp;position=7&amp;pageNum=0&amp;trk=public_jobs_jserp-result_search-card", "Job Link")</f>
        <v>Job Link</v>
      </c>
      <c r="H1137" t="s">
        <v>478</v>
      </c>
      <c r="I1137" t="s">
        <v>481</v>
      </c>
      <c r="J1137" t="s">
        <v>486</v>
      </c>
      <c r="K1137" t="s">
        <v>516</v>
      </c>
      <c r="L1137" t="s">
        <v>601</v>
      </c>
    </row>
    <row r="1138" spans="1:14" x14ac:dyDescent="0.25">
      <c r="A1138" t="s">
        <v>14</v>
      </c>
      <c r="B1138" t="s">
        <v>162</v>
      </c>
      <c r="C1138" t="s">
        <v>311</v>
      </c>
      <c r="D1138" t="s">
        <v>425</v>
      </c>
      <c r="F1138" t="s">
        <v>434</v>
      </c>
      <c r="G1138" t="str">
        <f>HYPERLINK("https://ca.linkedin.com/jobs/view/data-analyst-at-money-mart-financial-services-3361528052?refId=UchghugUNpNWqXypilTQYw%3D%3D&amp;trackingId=qa4dfLuTyRXqDq%2FV8PPYLQ%3D%3D&amp;position=8&amp;pageNum=0&amp;trk=public_jobs_jserp-result_search-card", "Job Link")</f>
        <v>Job Link</v>
      </c>
      <c r="H1138" t="s">
        <v>477</v>
      </c>
      <c r="I1138" t="s">
        <v>481</v>
      </c>
      <c r="J1138" t="s">
        <v>488</v>
      </c>
      <c r="K1138" t="s">
        <v>527</v>
      </c>
      <c r="L1138" t="s">
        <v>582</v>
      </c>
      <c r="M1138" t="s">
        <v>588</v>
      </c>
      <c r="N1138" t="s">
        <v>601</v>
      </c>
    </row>
    <row r="1139" spans="1:14" x14ac:dyDescent="0.25">
      <c r="A1139" t="s">
        <v>44</v>
      </c>
      <c r="B1139" t="s">
        <v>167</v>
      </c>
      <c r="C1139" t="s">
        <v>316</v>
      </c>
      <c r="D1139" t="s">
        <v>425</v>
      </c>
      <c r="F1139" t="s">
        <v>460</v>
      </c>
      <c r="G1139" t="str">
        <f>HYPERLINK("https://ca.linkedin.com/jobs/view/data-analyst-marketing-at-thescore-3272474942?refId=UchghugUNpNWqXypilTQYw%3D%3D&amp;trackingId=bJRly5gyo%2Fp%2BJWmpjZqMRw%3D%3D&amp;position=9&amp;pageNum=0&amp;trk=public_jobs_jserp-result_search-card", "Job Link")</f>
        <v>Job Link</v>
      </c>
      <c r="H1139" t="s">
        <v>476</v>
      </c>
      <c r="I1139" t="s">
        <v>481</v>
      </c>
      <c r="J1139" t="s">
        <v>486</v>
      </c>
      <c r="K1139" t="s">
        <v>545</v>
      </c>
      <c r="L1139" t="s">
        <v>582</v>
      </c>
      <c r="M1139" t="s">
        <v>588</v>
      </c>
      <c r="N1139" t="s">
        <v>601</v>
      </c>
    </row>
    <row r="1140" spans="1:14" x14ac:dyDescent="0.25">
      <c r="A1140" t="s">
        <v>45</v>
      </c>
      <c r="B1140" t="s">
        <v>168</v>
      </c>
      <c r="C1140" t="s">
        <v>317</v>
      </c>
      <c r="D1140" t="s">
        <v>425</v>
      </c>
      <c r="F1140" t="s">
        <v>443</v>
      </c>
      <c r="G1140" t="str">
        <f>HYPERLINK("https://ca.linkedin.com/jobs/view/senior-data-analyst-apac-marketplace-at-hopper-3363404929?refId=UchghugUNpNWqXypilTQYw%3D%3D&amp;trackingId=QXP1t3sSWczeYFyRLIJwxg%3D%3D&amp;position=10&amp;pageNum=0&amp;trk=public_jobs_jserp-result_search-card", "Job Link")</f>
        <v>Job Link</v>
      </c>
      <c r="H1140" t="s">
        <v>478</v>
      </c>
      <c r="I1140" t="s">
        <v>485</v>
      </c>
      <c r="J1140" t="s">
        <v>486</v>
      </c>
      <c r="K1140" t="s">
        <v>538</v>
      </c>
      <c r="L1140" t="s">
        <v>601</v>
      </c>
    </row>
    <row r="1141" spans="1:14" x14ac:dyDescent="0.25">
      <c r="A1141" t="s">
        <v>46</v>
      </c>
      <c r="B1141" t="s">
        <v>169</v>
      </c>
      <c r="C1141" t="s">
        <v>318</v>
      </c>
      <c r="D1141" t="s">
        <v>425</v>
      </c>
      <c r="F1141" t="s">
        <v>461</v>
      </c>
      <c r="G1141" t="str">
        <f>HYPERLINK("https://ca.linkedin.com/jobs/view/senior-data-analyst-remote-at-insurance-supermarket-international-usa-3347334252?refId=UchghugUNpNWqXypilTQYw%3D%3D&amp;trackingId=XxvE161Xf1NH3tIsv9OfOQ%3D%3D&amp;position=11&amp;pageNum=0&amp;trk=public_jobs_jserp-result_search-card", "Job Link")</f>
        <v>Job Link</v>
      </c>
      <c r="H1141" t="s">
        <v>478</v>
      </c>
      <c r="I1141" t="s">
        <v>481</v>
      </c>
      <c r="J1141" t="s">
        <v>494</v>
      </c>
      <c r="K1141" t="s">
        <v>546</v>
      </c>
      <c r="L1141" t="s">
        <v>601</v>
      </c>
    </row>
    <row r="1142" spans="1:14" x14ac:dyDescent="0.25">
      <c r="A1142" t="s">
        <v>20</v>
      </c>
      <c r="B1142" t="s">
        <v>170</v>
      </c>
      <c r="C1142" t="s">
        <v>319</v>
      </c>
      <c r="D1142" t="s">
        <v>425</v>
      </c>
      <c r="F1142" t="s">
        <v>450</v>
      </c>
      <c r="G1142" t="str">
        <f>HYPERLINK("https://ca.linkedin.com/jobs/view/senior-data-analyst-at-thinkific-3333572538?refId=UchghugUNpNWqXypilTQYw%3D%3D&amp;trackingId=6PTiLJmHf%2F6UQ6iy%2FJ8rKw%3D%3D&amp;position=12&amp;pageNum=0&amp;trk=public_jobs_jserp-result_search-card", "Job Link")</f>
        <v>Job Link</v>
      </c>
      <c r="H1142" t="s">
        <v>478</v>
      </c>
      <c r="I1142" t="s">
        <v>481</v>
      </c>
      <c r="J1142" t="s">
        <v>495</v>
      </c>
      <c r="K1142" t="s">
        <v>547</v>
      </c>
      <c r="L1142" t="s">
        <v>601</v>
      </c>
    </row>
    <row r="1143" spans="1:14" x14ac:dyDescent="0.25">
      <c r="A1143" t="s">
        <v>47</v>
      </c>
      <c r="B1143" t="s">
        <v>171</v>
      </c>
      <c r="C1143" t="s">
        <v>320</v>
      </c>
      <c r="D1143" t="s">
        <v>425</v>
      </c>
      <c r="F1143" t="s">
        <v>447</v>
      </c>
      <c r="G1143" t="str">
        <f>HYPERLINK("https://ca.linkedin.com/jobs/view/insights-analyst-at-flashfood-3312876343?refId=UchghugUNpNWqXypilTQYw%3D%3D&amp;trackingId=tDWj19%2FxFSfK9NBC5dCl9Q%3D%3D&amp;position=13&amp;pageNum=0&amp;trk=public_jobs_jserp-result_search-card", "Job Link")</f>
        <v>Job Link</v>
      </c>
      <c r="I1143" t="s">
        <v>481</v>
      </c>
      <c r="L1143" t="s">
        <v>601</v>
      </c>
    </row>
    <row r="1144" spans="1:14" x14ac:dyDescent="0.25">
      <c r="A1144" t="s">
        <v>20</v>
      </c>
      <c r="B1144" t="s">
        <v>172</v>
      </c>
      <c r="C1144" t="s">
        <v>321</v>
      </c>
      <c r="D1144" t="s">
        <v>425</v>
      </c>
      <c r="F1144" t="s">
        <v>438</v>
      </c>
      <c r="G1144" t="str">
        <f>HYPERLINK("https://ca.linkedin.com/jobs/view/senior-data-analyst-at-system1-3324728130?refId=UchghugUNpNWqXypilTQYw%3D%3D&amp;trackingId=Egai2SEbThqjzPSyLALLlQ%3D%3D&amp;position=14&amp;pageNum=0&amp;trk=public_jobs_jserp-result_search-card", "Job Link")</f>
        <v>Job Link</v>
      </c>
      <c r="H1144" t="s">
        <v>478</v>
      </c>
      <c r="I1144" t="s">
        <v>481</v>
      </c>
      <c r="J1144" t="s">
        <v>486</v>
      </c>
      <c r="K1144" t="s">
        <v>548</v>
      </c>
      <c r="L1144" t="s">
        <v>587</v>
      </c>
      <c r="M1144" t="s">
        <v>588</v>
      </c>
      <c r="N1144" t="s">
        <v>601</v>
      </c>
    </row>
    <row r="1145" spans="1:14" x14ac:dyDescent="0.25">
      <c r="A1145" t="s">
        <v>48</v>
      </c>
      <c r="B1145" t="s">
        <v>173</v>
      </c>
      <c r="C1145" t="s">
        <v>322</v>
      </c>
      <c r="D1145" t="s">
        <v>425</v>
      </c>
      <c r="F1145" t="s">
        <v>462</v>
      </c>
      <c r="G1145" t="str">
        <f>HYPERLINK("https://ca.linkedin.com/jobs/view/data-analyst-trilogy-remote-%2460-000-year-usd-at-crossover-3367086698?refId=UchghugUNpNWqXypilTQYw%3D%3D&amp;trackingId=8jLywwJe4dFbSXsKcylJiA%3D%3D&amp;position=15&amp;pageNum=0&amp;trk=public_jobs_jserp-result_search-card", "Job Link")</f>
        <v>Job Link</v>
      </c>
      <c r="H1145" t="s">
        <v>477</v>
      </c>
      <c r="I1145" t="s">
        <v>481</v>
      </c>
      <c r="J1145" t="s">
        <v>496</v>
      </c>
      <c r="K1145" t="s">
        <v>549</v>
      </c>
      <c r="L1145" t="s">
        <v>582</v>
      </c>
      <c r="M1145" t="s">
        <v>588</v>
      </c>
      <c r="N1145" t="s">
        <v>601</v>
      </c>
    </row>
    <row r="1146" spans="1:14" x14ac:dyDescent="0.25">
      <c r="A1146" t="s">
        <v>49</v>
      </c>
      <c r="B1146" t="s">
        <v>174</v>
      </c>
      <c r="C1146" t="s">
        <v>323</v>
      </c>
      <c r="D1146" t="s">
        <v>425</v>
      </c>
      <c r="F1146" t="s">
        <v>433</v>
      </c>
      <c r="G1146" t="str">
        <f>HYPERLINK("https://ca.linkedin.com/jobs/view/product-data-analyst-wtfast-at-blankslate-partners-3350561493?refId=UchghugUNpNWqXypilTQYw%3D%3D&amp;trackingId=z%2Bn22K56Bet23dJ9wcLWkg%3D%3D&amp;position=16&amp;pageNum=0&amp;trk=public_jobs_jserp-result_search-card", "Job Link")</f>
        <v>Job Link</v>
      </c>
      <c r="H1146" t="s">
        <v>479</v>
      </c>
      <c r="I1146" t="s">
        <v>481</v>
      </c>
      <c r="J1146" t="s">
        <v>497</v>
      </c>
      <c r="K1146" t="s">
        <v>538</v>
      </c>
      <c r="L1146" t="s">
        <v>603</v>
      </c>
      <c r="M1146" t="s">
        <v>618</v>
      </c>
      <c r="N1146" t="s">
        <v>601</v>
      </c>
    </row>
    <row r="1147" spans="1:14" x14ac:dyDescent="0.25">
      <c r="A1147" t="s">
        <v>50</v>
      </c>
      <c r="B1147" t="s">
        <v>175</v>
      </c>
      <c r="C1147" t="s">
        <v>324</v>
      </c>
      <c r="D1147" t="s">
        <v>425</v>
      </c>
      <c r="F1147" t="s">
        <v>443</v>
      </c>
      <c r="G1147" t="str">
        <f>HYPERLINK("https://ca.linkedin.com/jobs/view/senior-data-analyst-toronto-on-at-ssense-3369567279?refId=UchghugUNpNWqXypilTQYw%3D%3D&amp;trackingId=%2FD0b2OUZDyIYxmn9XYB61Q%3D%3D&amp;position=17&amp;pageNum=0&amp;trk=public_jobs_jserp-result_search-card", "Job Link")</f>
        <v>Job Link</v>
      </c>
      <c r="H1147" t="s">
        <v>478</v>
      </c>
      <c r="I1147" t="s">
        <v>481</v>
      </c>
      <c r="J1147" t="s">
        <v>486</v>
      </c>
      <c r="K1147" t="s">
        <v>550</v>
      </c>
      <c r="L1147" t="s">
        <v>582</v>
      </c>
      <c r="M1147" t="s">
        <v>588</v>
      </c>
      <c r="N1147" t="s">
        <v>601</v>
      </c>
    </row>
    <row r="1148" spans="1:14" x14ac:dyDescent="0.25">
      <c r="A1148" t="s">
        <v>51</v>
      </c>
      <c r="B1148" t="s">
        <v>175</v>
      </c>
      <c r="C1148" t="s">
        <v>325</v>
      </c>
      <c r="D1148" t="s">
        <v>425</v>
      </c>
      <c r="F1148" t="s">
        <v>443</v>
      </c>
      <c r="G1148" t="str">
        <f>HYPERLINK("https://ca.linkedin.com/jobs/view/senior-data-analyst-analytics-insights-toronto-on-at-ssense-3369558722?refId=UchghugUNpNWqXypilTQYw%3D%3D&amp;trackingId=5yc60mOsRWfAD0LNzOKeOw%3D%3D&amp;position=18&amp;pageNum=0&amp;trk=public_jobs_jserp-result_search-card", "Job Link")</f>
        <v>Job Link</v>
      </c>
      <c r="H1148" t="s">
        <v>478</v>
      </c>
      <c r="I1148" t="s">
        <v>481</v>
      </c>
      <c r="J1148" t="s">
        <v>491</v>
      </c>
      <c r="K1148" t="s">
        <v>550</v>
      </c>
      <c r="L1148" t="s">
        <v>582</v>
      </c>
      <c r="M1148" t="s">
        <v>588</v>
      </c>
      <c r="N1148" t="s">
        <v>601</v>
      </c>
    </row>
    <row r="1149" spans="1:14" x14ac:dyDescent="0.25">
      <c r="A1149" t="s">
        <v>51</v>
      </c>
      <c r="B1149" t="s">
        <v>175</v>
      </c>
      <c r="C1149" t="s">
        <v>325</v>
      </c>
      <c r="D1149" t="s">
        <v>425</v>
      </c>
      <c r="F1149" t="s">
        <v>443</v>
      </c>
      <c r="G1149" t="str">
        <f>HYPERLINK("https://ca.linkedin.com/jobs/view/senior-data-analyst-analytics-insights-toronto-on-at-ssense-3369560180?refId=UchghugUNpNWqXypilTQYw%3D%3D&amp;trackingId=8CHJOgvM%2Fr3mNUkHTY4xLQ%3D%3D&amp;position=19&amp;pageNum=0&amp;trk=public_jobs_jserp-result_search-card", "Job Link")</f>
        <v>Job Link</v>
      </c>
      <c r="H1149" t="s">
        <v>478</v>
      </c>
      <c r="I1149" t="s">
        <v>481</v>
      </c>
      <c r="J1149" t="s">
        <v>491</v>
      </c>
      <c r="K1149" t="s">
        <v>550</v>
      </c>
      <c r="L1149" t="s">
        <v>582</v>
      </c>
      <c r="M1149" t="s">
        <v>588</v>
      </c>
      <c r="N1149" t="s">
        <v>601</v>
      </c>
    </row>
    <row r="1150" spans="1:14" x14ac:dyDescent="0.25">
      <c r="A1150" t="s">
        <v>27</v>
      </c>
      <c r="B1150" t="s">
        <v>176</v>
      </c>
      <c r="C1150" t="s">
        <v>326</v>
      </c>
      <c r="D1150" t="s">
        <v>425</v>
      </c>
      <c r="F1150" t="s">
        <v>441</v>
      </c>
      <c r="G1150" t="str">
        <f>HYPERLINK("https://ca.linkedin.com/jobs/view/sr-data-analyst-at-telus-international-digital-solutions-3331944226?refId=UchghugUNpNWqXypilTQYw%3D%3D&amp;trackingId=7icWYUusP%2BQOJSoUAQ%2BnZQ%3D%3D&amp;position=20&amp;pageNum=0&amp;trk=public_jobs_jserp-result_search-card", "Job Link")</f>
        <v>Job Link</v>
      </c>
      <c r="H1150" t="s">
        <v>478</v>
      </c>
      <c r="I1150" t="s">
        <v>481</v>
      </c>
      <c r="J1150" t="s">
        <v>498</v>
      </c>
      <c r="K1150" t="s">
        <v>521</v>
      </c>
      <c r="L1150" t="s">
        <v>604</v>
      </c>
      <c r="M1150" t="s">
        <v>618</v>
      </c>
      <c r="N1150" t="s">
        <v>601</v>
      </c>
    </row>
    <row r="1151" spans="1:14" x14ac:dyDescent="0.25">
      <c r="A1151" t="s">
        <v>20</v>
      </c>
      <c r="B1151" t="s">
        <v>175</v>
      </c>
      <c r="C1151" t="s">
        <v>324</v>
      </c>
      <c r="D1151" t="s">
        <v>425</v>
      </c>
      <c r="F1151" t="s">
        <v>446</v>
      </c>
      <c r="G1151" t="str">
        <f>HYPERLINK("https://ca.linkedin.com/jobs/view/senior-data-analyst-at-ssense-3342165774?refId=UchghugUNpNWqXypilTQYw%3D%3D&amp;trackingId=gtaeR76%2F5%2BXatXiFfvLLqw%3D%3D&amp;position=21&amp;pageNum=0&amp;trk=public_jobs_jserp-result_search-card", "Job Link")</f>
        <v>Job Link</v>
      </c>
      <c r="H1151" t="s">
        <v>478</v>
      </c>
      <c r="I1151" t="s">
        <v>481</v>
      </c>
      <c r="J1151" t="s">
        <v>486</v>
      </c>
      <c r="K1151" t="s">
        <v>550</v>
      </c>
      <c r="L1151" t="s">
        <v>605</v>
      </c>
      <c r="M1151" t="s">
        <v>617</v>
      </c>
      <c r="N1151" t="s">
        <v>601</v>
      </c>
    </row>
    <row r="1152" spans="1:14" x14ac:dyDescent="0.25">
      <c r="A1152" t="s">
        <v>53</v>
      </c>
      <c r="B1152" t="s">
        <v>177</v>
      </c>
      <c r="C1152" t="s">
        <v>328</v>
      </c>
      <c r="D1152" t="s">
        <v>425</v>
      </c>
      <c r="F1152" t="s">
        <v>454</v>
      </c>
      <c r="G1152" t="str">
        <f>HYPERLINK("https://ca.linkedin.com/jobs/view/gaming-data-analyst-at-insight-global-3338526926?refId=UchghugUNpNWqXypilTQYw%3D%3D&amp;trackingId=bYcOyp5ggQ%2FJmz79G5%2Fe3A%3D%3D&amp;position=22&amp;pageNum=0&amp;trk=public_jobs_jserp-result_search-card", "Job Link")</f>
        <v>Job Link</v>
      </c>
      <c r="H1152" t="s">
        <v>478</v>
      </c>
      <c r="I1152" t="s">
        <v>483</v>
      </c>
      <c r="J1152" t="s">
        <v>486</v>
      </c>
      <c r="K1152" t="s">
        <v>518</v>
      </c>
      <c r="L1152" t="s">
        <v>601</v>
      </c>
    </row>
    <row r="1153" spans="1:14" x14ac:dyDescent="0.25">
      <c r="A1153" t="s">
        <v>14</v>
      </c>
      <c r="B1153" t="s">
        <v>158</v>
      </c>
      <c r="C1153" t="s">
        <v>307</v>
      </c>
      <c r="D1153" t="s">
        <v>425</v>
      </c>
      <c r="F1153" t="s">
        <v>430</v>
      </c>
      <c r="G1153" t="str">
        <f>HYPERLINK("https://ca.linkedin.com/jobs/view/data-analyst-at-empire-life-3324608289?refId=YMMO9QMzD7r204Wfa31zVA%3D%3D&amp;trackingId=X7kUuxNXhjM2193JOR7iTg%3D%3D&amp;position=1&amp;pageNum=0&amp;trk=public_jobs_jserp-result_search-card", "Job Link")</f>
        <v>Job Link</v>
      </c>
      <c r="H1153" t="s">
        <v>476</v>
      </c>
      <c r="I1153" t="s">
        <v>481</v>
      </c>
      <c r="J1153" t="s">
        <v>485</v>
      </c>
      <c r="K1153" t="s">
        <v>523</v>
      </c>
      <c r="L1153" t="s">
        <v>601</v>
      </c>
    </row>
    <row r="1154" spans="1:14" x14ac:dyDescent="0.25">
      <c r="A1154" t="s">
        <v>40</v>
      </c>
      <c r="B1154" t="s">
        <v>159</v>
      </c>
      <c r="C1154" t="s">
        <v>308</v>
      </c>
      <c r="D1154" t="s">
        <v>425</v>
      </c>
      <c r="F1154" t="s">
        <v>435</v>
      </c>
      <c r="G1154" t="str">
        <f>HYPERLINK("https://ca.linkedin.com/jobs/view/data-visualization-developer-analyst-at-blue-boat-data-3335318133?refId=YMMO9QMzD7r204Wfa31zVA%3D%3D&amp;trackingId=gmcZzbYCTL8ADMCqrFlDJg%3D%3D&amp;position=2&amp;pageNum=0&amp;trk=public_jobs_jserp-result_search-card", "Job Link")</f>
        <v>Job Link</v>
      </c>
      <c r="I1154" t="s">
        <v>483</v>
      </c>
      <c r="L1154" t="s">
        <v>601</v>
      </c>
    </row>
    <row r="1155" spans="1:14" x14ac:dyDescent="0.25">
      <c r="A1155" t="s">
        <v>14</v>
      </c>
      <c r="B1155" t="s">
        <v>160</v>
      </c>
      <c r="C1155" t="s">
        <v>309</v>
      </c>
      <c r="D1155" t="s">
        <v>425</v>
      </c>
      <c r="E1155" t="s">
        <v>427</v>
      </c>
      <c r="F1155" t="s">
        <v>458</v>
      </c>
      <c r="G1155" t="str">
        <f>HYPERLINK("https://ca.linkedin.com/jobs/view/data-analyst-at-libitzky-property-companies-3314494593?refId=YMMO9QMzD7r204Wfa31zVA%3D%3D&amp;trackingId=dgYDgzR8UaWaAzppMrb6pg%3D%3D&amp;position=3&amp;pageNum=0&amp;trk=public_jobs_jserp-result_search-card", "Job Link")</f>
        <v>Job Link</v>
      </c>
      <c r="H1155" t="s">
        <v>476</v>
      </c>
      <c r="I1155" t="s">
        <v>481</v>
      </c>
      <c r="J1155" t="s">
        <v>486</v>
      </c>
      <c r="K1155" t="s">
        <v>516</v>
      </c>
      <c r="L1155" t="s">
        <v>601</v>
      </c>
    </row>
    <row r="1156" spans="1:14" x14ac:dyDescent="0.25">
      <c r="A1156" t="s">
        <v>14</v>
      </c>
      <c r="B1156" t="s">
        <v>161</v>
      </c>
      <c r="C1156" t="s">
        <v>310</v>
      </c>
      <c r="D1156" t="s">
        <v>425</v>
      </c>
      <c r="F1156" t="s">
        <v>435</v>
      </c>
      <c r="G1156" t="str">
        <f>HYPERLINK("https://ca.linkedin.com/jobs/view/data-analyst-at-spire-3340696458?refId=YMMO9QMzD7r204Wfa31zVA%3D%3D&amp;trackingId=VF5vpyE6Hui70vr30tS3Yw%3D%3D&amp;position=4&amp;pageNum=0&amp;trk=public_jobs_jserp-result_search-card", "Job Link")</f>
        <v>Job Link</v>
      </c>
      <c r="H1156" t="s">
        <v>476</v>
      </c>
      <c r="I1156" t="s">
        <v>481</v>
      </c>
      <c r="J1156" t="s">
        <v>486</v>
      </c>
      <c r="K1156" t="s">
        <v>517</v>
      </c>
      <c r="L1156" t="s">
        <v>602</v>
      </c>
      <c r="M1156" t="s">
        <v>588</v>
      </c>
      <c r="N1156" t="s">
        <v>601</v>
      </c>
    </row>
    <row r="1157" spans="1:14" x14ac:dyDescent="0.25">
      <c r="A1157" t="s">
        <v>14</v>
      </c>
      <c r="B1157" t="s">
        <v>162</v>
      </c>
      <c r="C1157" t="s">
        <v>311</v>
      </c>
      <c r="D1157" t="s">
        <v>425</v>
      </c>
      <c r="F1157" t="s">
        <v>434</v>
      </c>
      <c r="G1157" t="str">
        <f>HYPERLINK("https://ca.linkedin.com/jobs/view/data-analyst-at-money-mart-financial-services-3361528052?refId=YMMO9QMzD7r204Wfa31zVA%3D%3D&amp;trackingId=hxINTJxmcA77FVuBCQlEtQ%3D%3D&amp;position=5&amp;pageNum=0&amp;trk=public_jobs_jserp-result_search-card", "Job Link")</f>
        <v>Job Link</v>
      </c>
      <c r="H1157" t="s">
        <v>477</v>
      </c>
      <c r="I1157" t="s">
        <v>481</v>
      </c>
      <c r="J1157" t="s">
        <v>488</v>
      </c>
      <c r="K1157" t="s">
        <v>527</v>
      </c>
      <c r="L1157" t="s">
        <v>582</v>
      </c>
      <c r="M1157" t="s">
        <v>588</v>
      </c>
      <c r="N1157" t="s">
        <v>601</v>
      </c>
    </row>
    <row r="1158" spans="1:14" x14ac:dyDescent="0.25">
      <c r="A1158" t="s">
        <v>14</v>
      </c>
      <c r="B1158" t="s">
        <v>163</v>
      </c>
      <c r="C1158" t="s">
        <v>312</v>
      </c>
      <c r="D1158" t="s">
        <v>425</v>
      </c>
      <c r="F1158" t="s">
        <v>443</v>
      </c>
      <c r="G1158" t="str">
        <f>HYPERLINK("https://ca.linkedin.com/jobs/view/data-analyst-at-mojio-3363472062?refId=YMMO9QMzD7r204Wfa31zVA%3D%3D&amp;trackingId=271cgnFuUUYGgJPe1ZSlvA%3D%3D&amp;position=6&amp;pageNum=0&amp;trk=public_jobs_jserp-result_search-card", "Job Link")</f>
        <v>Job Link</v>
      </c>
      <c r="H1158" t="s">
        <v>478</v>
      </c>
      <c r="I1158" t="s">
        <v>481</v>
      </c>
      <c r="J1158" t="s">
        <v>493</v>
      </c>
      <c r="K1158" t="s">
        <v>544</v>
      </c>
      <c r="L1158" t="s">
        <v>601</v>
      </c>
    </row>
    <row r="1159" spans="1:14" x14ac:dyDescent="0.25">
      <c r="A1159" t="s">
        <v>41</v>
      </c>
      <c r="B1159" t="s">
        <v>164</v>
      </c>
      <c r="C1159" t="s">
        <v>313</v>
      </c>
      <c r="D1159" t="s">
        <v>425</v>
      </c>
      <c r="F1159" t="s">
        <v>444</v>
      </c>
      <c r="G1159" t="str">
        <f>HYPERLINK("https://ca.linkedin.com/jobs/view/product-data-analyst-at-pdftron-systems-inc-3322845144?refId=YMMO9QMzD7r204Wfa31zVA%3D%3D&amp;trackingId=ieo8yRg0%2Bdwxnf7LK3lB9A%3D%3D&amp;position=7&amp;pageNum=0&amp;trk=public_jobs_jserp-result_search-card", "Job Link")</f>
        <v>Job Link</v>
      </c>
      <c r="H1159" t="s">
        <v>479</v>
      </c>
      <c r="I1159" t="s">
        <v>481</v>
      </c>
      <c r="J1159" t="s">
        <v>487</v>
      </c>
      <c r="K1159" t="s">
        <v>538</v>
      </c>
      <c r="L1159" t="s">
        <v>590</v>
      </c>
      <c r="M1159" t="s">
        <v>618</v>
      </c>
      <c r="N1159" t="s">
        <v>601</v>
      </c>
    </row>
    <row r="1160" spans="1:14" x14ac:dyDescent="0.25">
      <c r="A1160" t="s">
        <v>42</v>
      </c>
      <c r="B1160" t="s">
        <v>165</v>
      </c>
      <c r="C1160" t="s">
        <v>314</v>
      </c>
      <c r="D1160" t="s">
        <v>425</v>
      </c>
      <c r="F1160" t="s">
        <v>459</v>
      </c>
      <c r="G1160" t="str">
        <f>HYPERLINK("https://ca.linkedin.com/jobs/view/cognitive-data-analyst-at-wysdom-ai-3333087497?refId=YMMO9QMzD7r204Wfa31zVA%3D%3D&amp;trackingId=sdb5h6hM%2BYhy53mBYK3y7w%3D%3D&amp;position=8&amp;pageNum=0&amp;trk=public_jobs_jserp-result_search-card", "Job Link")</f>
        <v>Job Link</v>
      </c>
      <c r="H1160" t="s">
        <v>478</v>
      </c>
      <c r="I1160" t="s">
        <v>481</v>
      </c>
      <c r="J1160" t="s">
        <v>486</v>
      </c>
      <c r="K1160" t="s">
        <v>516</v>
      </c>
      <c r="L1160" t="s">
        <v>601</v>
      </c>
    </row>
    <row r="1161" spans="1:14" x14ac:dyDescent="0.25">
      <c r="A1161" t="s">
        <v>43</v>
      </c>
      <c r="B1161" t="s">
        <v>166</v>
      </c>
      <c r="C1161" t="s">
        <v>315</v>
      </c>
      <c r="D1161" t="s">
        <v>425</v>
      </c>
      <c r="F1161" t="s">
        <v>432</v>
      </c>
      <c r="G1161" t="str">
        <f>HYPERLINK("https://ca.linkedin.com/jobs/view/data-analyst-operations-at-felix-3360946633?refId=YMMO9QMzD7r204Wfa31zVA%3D%3D&amp;trackingId=hdaPOuLjGMA%2FQcgmnQydWg%3D%3D&amp;position=9&amp;pageNum=0&amp;trk=public_jobs_jserp-result_search-card", "Job Link")</f>
        <v>Job Link</v>
      </c>
      <c r="I1161" t="s">
        <v>481</v>
      </c>
      <c r="L1161" t="s">
        <v>601</v>
      </c>
    </row>
    <row r="1162" spans="1:14" x14ac:dyDescent="0.25">
      <c r="A1162" t="s">
        <v>44</v>
      </c>
      <c r="B1162" t="s">
        <v>167</v>
      </c>
      <c r="C1162" t="s">
        <v>316</v>
      </c>
      <c r="D1162" t="s">
        <v>425</v>
      </c>
      <c r="F1162" t="s">
        <v>460</v>
      </c>
      <c r="G1162" t="str">
        <f>HYPERLINK("https://ca.linkedin.com/jobs/view/data-analyst-marketing-at-thescore-3272474942?refId=YMMO9QMzD7r204Wfa31zVA%3D%3D&amp;trackingId=Qd5wmiUElgH6cctyGs4iPg%3D%3D&amp;position=10&amp;pageNum=0&amp;trk=public_jobs_jserp-result_search-card", "Job Link")</f>
        <v>Job Link</v>
      </c>
      <c r="H1162" t="s">
        <v>476</v>
      </c>
      <c r="I1162" t="s">
        <v>481</v>
      </c>
      <c r="J1162" t="s">
        <v>486</v>
      </c>
      <c r="K1162" t="s">
        <v>545</v>
      </c>
      <c r="L1162" t="s">
        <v>582</v>
      </c>
      <c r="M1162" t="s">
        <v>588</v>
      </c>
      <c r="N1162" t="s">
        <v>601</v>
      </c>
    </row>
    <row r="1163" spans="1:14" x14ac:dyDescent="0.25">
      <c r="A1163" t="s">
        <v>45</v>
      </c>
      <c r="B1163" t="s">
        <v>168</v>
      </c>
      <c r="C1163" t="s">
        <v>317</v>
      </c>
      <c r="D1163" t="s">
        <v>425</v>
      </c>
      <c r="F1163" t="s">
        <v>443</v>
      </c>
      <c r="G1163" t="str">
        <f>HYPERLINK("https://ca.linkedin.com/jobs/view/senior-data-analyst-apac-marketplace-at-hopper-3363404929?refId=YMMO9QMzD7r204Wfa31zVA%3D%3D&amp;trackingId=UAj2Mvs%2B%2BIBuLcs6HIPoUA%3D%3D&amp;position=11&amp;pageNum=0&amp;trk=public_jobs_jserp-result_search-card", "Job Link")</f>
        <v>Job Link</v>
      </c>
      <c r="H1163" t="s">
        <v>478</v>
      </c>
      <c r="I1163" t="s">
        <v>485</v>
      </c>
      <c r="J1163" t="s">
        <v>486</v>
      </c>
      <c r="K1163" t="s">
        <v>538</v>
      </c>
      <c r="L1163" t="s">
        <v>601</v>
      </c>
    </row>
    <row r="1164" spans="1:14" x14ac:dyDescent="0.25">
      <c r="A1164" t="s">
        <v>46</v>
      </c>
      <c r="B1164" t="s">
        <v>169</v>
      </c>
      <c r="C1164" t="s">
        <v>318</v>
      </c>
      <c r="D1164" t="s">
        <v>425</v>
      </c>
      <c r="F1164" t="s">
        <v>461</v>
      </c>
      <c r="G1164" t="str">
        <f>HYPERLINK("https://ca.linkedin.com/jobs/view/senior-data-analyst-remote-at-insurance-supermarket-international-usa-3347334252?refId=YMMO9QMzD7r204Wfa31zVA%3D%3D&amp;trackingId=TWD1xmtTQ40KbX%2FY89sJfA%3D%3D&amp;position=12&amp;pageNum=0&amp;trk=public_jobs_jserp-result_search-card", "Job Link")</f>
        <v>Job Link</v>
      </c>
      <c r="H1164" t="s">
        <v>478</v>
      </c>
      <c r="I1164" t="s">
        <v>481</v>
      </c>
      <c r="J1164" t="s">
        <v>494</v>
      </c>
      <c r="K1164" t="s">
        <v>546</v>
      </c>
      <c r="L1164" t="s">
        <v>601</v>
      </c>
    </row>
    <row r="1165" spans="1:14" x14ac:dyDescent="0.25">
      <c r="A1165" t="s">
        <v>20</v>
      </c>
      <c r="B1165" t="s">
        <v>170</v>
      </c>
      <c r="C1165" t="s">
        <v>319</v>
      </c>
      <c r="D1165" t="s">
        <v>425</v>
      </c>
      <c r="F1165" t="s">
        <v>450</v>
      </c>
      <c r="G1165" t="str">
        <f>HYPERLINK("https://ca.linkedin.com/jobs/view/senior-data-analyst-at-thinkific-3333572538?refId=YMMO9QMzD7r204Wfa31zVA%3D%3D&amp;trackingId=yQ3L63eqbHjpU3R5zEbtYA%3D%3D&amp;position=13&amp;pageNum=0&amp;trk=public_jobs_jserp-result_search-card", "Job Link")</f>
        <v>Job Link</v>
      </c>
      <c r="H1165" t="s">
        <v>478</v>
      </c>
      <c r="I1165" t="s">
        <v>481</v>
      </c>
      <c r="J1165" t="s">
        <v>495</v>
      </c>
      <c r="K1165" t="s">
        <v>547</v>
      </c>
      <c r="L1165" t="s">
        <v>601</v>
      </c>
    </row>
    <row r="1166" spans="1:14" x14ac:dyDescent="0.25">
      <c r="A1166" t="s">
        <v>47</v>
      </c>
      <c r="B1166" t="s">
        <v>171</v>
      </c>
      <c r="C1166" t="s">
        <v>320</v>
      </c>
      <c r="D1166" t="s">
        <v>425</v>
      </c>
      <c r="F1166" t="s">
        <v>447</v>
      </c>
      <c r="G1166" t="str">
        <f>HYPERLINK("https://ca.linkedin.com/jobs/view/insights-analyst-at-flashfood-3312876343?refId=YMMO9QMzD7r204Wfa31zVA%3D%3D&amp;trackingId=55sXdmSuFpLt%2BCvMputHxg%3D%3D&amp;position=14&amp;pageNum=0&amp;trk=public_jobs_jserp-result_search-card", "Job Link")</f>
        <v>Job Link</v>
      </c>
      <c r="I1166" t="s">
        <v>481</v>
      </c>
      <c r="L1166" t="s">
        <v>601</v>
      </c>
    </row>
    <row r="1167" spans="1:14" x14ac:dyDescent="0.25">
      <c r="A1167" t="s">
        <v>20</v>
      </c>
      <c r="B1167" t="s">
        <v>172</v>
      </c>
      <c r="C1167" t="s">
        <v>321</v>
      </c>
      <c r="D1167" t="s">
        <v>425</v>
      </c>
      <c r="F1167" t="s">
        <v>438</v>
      </c>
      <c r="G1167" t="str">
        <f>HYPERLINK("https://ca.linkedin.com/jobs/view/senior-data-analyst-at-system1-3324728130?refId=YMMO9QMzD7r204Wfa31zVA%3D%3D&amp;trackingId=nrrWvw7obL%2FTI7qN8Gz3mA%3D%3D&amp;position=15&amp;pageNum=0&amp;trk=public_jobs_jserp-result_search-card", "Job Link")</f>
        <v>Job Link</v>
      </c>
      <c r="H1167" t="s">
        <v>478</v>
      </c>
      <c r="I1167" t="s">
        <v>481</v>
      </c>
      <c r="J1167" t="s">
        <v>486</v>
      </c>
      <c r="K1167" t="s">
        <v>548</v>
      </c>
      <c r="L1167" t="s">
        <v>587</v>
      </c>
      <c r="M1167" t="s">
        <v>588</v>
      </c>
      <c r="N1167" t="s">
        <v>601</v>
      </c>
    </row>
    <row r="1168" spans="1:14" x14ac:dyDescent="0.25">
      <c r="A1168" t="s">
        <v>48</v>
      </c>
      <c r="B1168" t="s">
        <v>173</v>
      </c>
      <c r="C1168" t="s">
        <v>322</v>
      </c>
      <c r="D1168" t="s">
        <v>425</v>
      </c>
      <c r="F1168" t="s">
        <v>462</v>
      </c>
      <c r="G1168" t="str">
        <f>HYPERLINK("https://ca.linkedin.com/jobs/view/data-analyst-trilogy-remote-%2460-000-year-usd-at-crossover-3367086698?refId=YMMO9QMzD7r204Wfa31zVA%3D%3D&amp;trackingId=2bbhvUMPbjv4YXYTUFZyCQ%3D%3D&amp;position=16&amp;pageNum=0&amp;trk=public_jobs_jserp-result_search-card", "Job Link")</f>
        <v>Job Link</v>
      </c>
      <c r="H1168" t="s">
        <v>477</v>
      </c>
      <c r="I1168" t="s">
        <v>481</v>
      </c>
      <c r="J1168" t="s">
        <v>496</v>
      </c>
      <c r="K1168" t="s">
        <v>549</v>
      </c>
      <c r="L1168" t="s">
        <v>582</v>
      </c>
      <c r="M1168" t="s">
        <v>588</v>
      </c>
      <c r="N1168" t="s">
        <v>601</v>
      </c>
    </row>
    <row r="1169" spans="1:14" x14ac:dyDescent="0.25">
      <c r="A1169" t="s">
        <v>49</v>
      </c>
      <c r="B1169" t="s">
        <v>174</v>
      </c>
      <c r="C1169" t="s">
        <v>323</v>
      </c>
      <c r="D1169" t="s">
        <v>425</v>
      </c>
      <c r="F1169" t="s">
        <v>433</v>
      </c>
      <c r="G1169" t="str">
        <f>HYPERLINK("https://ca.linkedin.com/jobs/view/product-data-analyst-wtfast-at-blankslate-partners-3350561493?refId=YMMO9QMzD7r204Wfa31zVA%3D%3D&amp;trackingId=wemSmYs7M9oKDE2h%2FfqJwQ%3D%3D&amp;position=17&amp;pageNum=0&amp;trk=public_jobs_jserp-result_search-card", "Job Link")</f>
        <v>Job Link</v>
      </c>
      <c r="H1169" t="s">
        <v>479</v>
      </c>
      <c r="I1169" t="s">
        <v>481</v>
      </c>
      <c r="J1169" t="s">
        <v>497</v>
      </c>
      <c r="K1169" t="s">
        <v>538</v>
      </c>
      <c r="L1169" t="s">
        <v>603</v>
      </c>
      <c r="M1169" t="s">
        <v>618</v>
      </c>
      <c r="N1169" t="s">
        <v>601</v>
      </c>
    </row>
    <row r="1170" spans="1:14" x14ac:dyDescent="0.25">
      <c r="A1170" t="s">
        <v>50</v>
      </c>
      <c r="B1170" t="s">
        <v>175</v>
      </c>
      <c r="C1170" t="s">
        <v>324</v>
      </c>
      <c r="D1170" t="s">
        <v>425</v>
      </c>
      <c r="F1170" t="s">
        <v>443</v>
      </c>
      <c r="G1170" t="str">
        <f>HYPERLINK("https://ca.linkedin.com/jobs/view/senior-data-analyst-toronto-on-at-ssense-3369567279?refId=YMMO9QMzD7r204Wfa31zVA%3D%3D&amp;trackingId=4EfTqAgtQUfgq1hMdqbiJw%3D%3D&amp;position=18&amp;pageNum=0&amp;trk=public_jobs_jserp-result_search-card", "Job Link")</f>
        <v>Job Link</v>
      </c>
      <c r="H1170" t="s">
        <v>478</v>
      </c>
      <c r="I1170" t="s">
        <v>481</v>
      </c>
      <c r="J1170" t="s">
        <v>486</v>
      </c>
      <c r="K1170" t="s">
        <v>550</v>
      </c>
      <c r="L1170" t="s">
        <v>582</v>
      </c>
      <c r="M1170" t="s">
        <v>588</v>
      </c>
      <c r="N1170" t="s">
        <v>601</v>
      </c>
    </row>
    <row r="1171" spans="1:14" x14ac:dyDescent="0.25">
      <c r="A1171" t="s">
        <v>51</v>
      </c>
      <c r="B1171" t="s">
        <v>175</v>
      </c>
      <c r="C1171" t="s">
        <v>325</v>
      </c>
      <c r="D1171" t="s">
        <v>425</v>
      </c>
      <c r="F1171" t="s">
        <v>443</v>
      </c>
      <c r="G1171" t="str">
        <f>HYPERLINK("https://ca.linkedin.com/jobs/view/senior-data-analyst-analytics-insights-toronto-on-at-ssense-3369558722?refId=YMMO9QMzD7r204Wfa31zVA%3D%3D&amp;trackingId=TCA5vrfpKt0uNEGO6oDFUg%3D%3D&amp;position=19&amp;pageNum=0&amp;trk=public_jobs_jserp-result_search-card", "Job Link")</f>
        <v>Job Link</v>
      </c>
      <c r="H1171" t="s">
        <v>478</v>
      </c>
      <c r="I1171" t="s">
        <v>481</v>
      </c>
      <c r="J1171" t="s">
        <v>491</v>
      </c>
      <c r="K1171" t="s">
        <v>550</v>
      </c>
      <c r="L1171" t="s">
        <v>582</v>
      </c>
      <c r="M1171" t="s">
        <v>588</v>
      </c>
      <c r="N1171" t="s">
        <v>601</v>
      </c>
    </row>
    <row r="1172" spans="1:14" x14ac:dyDescent="0.25">
      <c r="A1172" t="s">
        <v>51</v>
      </c>
      <c r="B1172" t="s">
        <v>175</v>
      </c>
      <c r="C1172" t="s">
        <v>325</v>
      </c>
      <c r="D1172" t="s">
        <v>425</v>
      </c>
      <c r="F1172" t="s">
        <v>443</v>
      </c>
      <c r="G1172" t="str">
        <f>HYPERLINK("https://ca.linkedin.com/jobs/view/senior-data-analyst-analytics-insights-toronto-on-at-ssense-3369560180?refId=YMMO9QMzD7r204Wfa31zVA%3D%3D&amp;trackingId=qJ4TOJa%2FiHHrhT%2BetAKo8w%3D%3D&amp;position=20&amp;pageNum=0&amp;trk=public_jobs_jserp-result_search-card", "Job Link")</f>
        <v>Job Link</v>
      </c>
      <c r="H1172" t="s">
        <v>478</v>
      </c>
      <c r="I1172" t="s">
        <v>481</v>
      </c>
      <c r="J1172" t="s">
        <v>491</v>
      </c>
      <c r="K1172" t="s">
        <v>550</v>
      </c>
      <c r="L1172" t="s">
        <v>582</v>
      </c>
      <c r="M1172" t="s">
        <v>588</v>
      </c>
      <c r="N1172" t="s">
        <v>601</v>
      </c>
    </row>
    <row r="1173" spans="1:14" x14ac:dyDescent="0.25">
      <c r="A1173" t="s">
        <v>27</v>
      </c>
      <c r="B1173" t="s">
        <v>176</v>
      </c>
      <c r="C1173" t="s">
        <v>326</v>
      </c>
      <c r="D1173" t="s">
        <v>425</v>
      </c>
      <c r="F1173" t="s">
        <v>441</v>
      </c>
      <c r="G1173" t="str">
        <f>HYPERLINK("https://ca.linkedin.com/jobs/view/sr-data-analyst-at-telus-international-digital-solutions-3331944226?refId=YMMO9QMzD7r204Wfa31zVA%3D%3D&amp;trackingId=LuRx2Q7h1BcGCxgX0xrvnw%3D%3D&amp;position=21&amp;pageNum=0&amp;trk=public_jobs_jserp-result_search-card", "Job Link")</f>
        <v>Job Link</v>
      </c>
      <c r="H1173" t="s">
        <v>478</v>
      </c>
      <c r="I1173" t="s">
        <v>481</v>
      </c>
      <c r="J1173" t="s">
        <v>498</v>
      </c>
      <c r="K1173" t="s">
        <v>521</v>
      </c>
      <c r="L1173" t="s">
        <v>604</v>
      </c>
      <c r="M1173" t="s">
        <v>618</v>
      </c>
      <c r="N1173" t="s">
        <v>601</v>
      </c>
    </row>
    <row r="1174" spans="1:14" x14ac:dyDescent="0.25">
      <c r="A1174" t="s">
        <v>20</v>
      </c>
      <c r="B1174" t="s">
        <v>175</v>
      </c>
      <c r="C1174" t="s">
        <v>324</v>
      </c>
      <c r="D1174" t="s">
        <v>425</v>
      </c>
      <c r="F1174" t="s">
        <v>446</v>
      </c>
      <c r="G1174" t="str">
        <f>HYPERLINK("https://ca.linkedin.com/jobs/view/senior-data-analyst-at-ssense-3342165774?refId=YMMO9QMzD7r204Wfa31zVA%3D%3D&amp;trackingId=swsVZP8Avlk56Kne57doFA%3D%3D&amp;position=22&amp;pageNum=0&amp;trk=public_jobs_jserp-result_search-card", "Job Link")</f>
        <v>Job Link</v>
      </c>
      <c r="H1174" t="s">
        <v>478</v>
      </c>
      <c r="I1174" t="s">
        <v>481</v>
      </c>
      <c r="J1174" t="s">
        <v>486</v>
      </c>
      <c r="K1174" t="s">
        <v>550</v>
      </c>
      <c r="L1174" t="s">
        <v>605</v>
      </c>
      <c r="M1174" t="s">
        <v>617</v>
      </c>
      <c r="N1174" t="s">
        <v>601</v>
      </c>
    </row>
    <row r="1175" spans="1:14" x14ac:dyDescent="0.25">
      <c r="A1175" t="s">
        <v>14</v>
      </c>
      <c r="B1175" t="s">
        <v>158</v>
      </c>
      <c r="C1175" t="s">
        <v>307</v>
      </c>
      <c r="D1175" t="s">
        <v>425</v>
      </c>
      <c r="F1175" t="s">
        <v>430</v>
      </c>
      <c r="G1175" t="str">
        <f>HYPERLINK("https://ca.linkedin.com/jobs/view/data-analyst-at-empire-life-3324608289?refId=uFp3C1zz%2FgJooEhVK3dtGQ%3D%3D&amp;trackingId=33GU6weTDnKDaLl44kAMUg%3D%3D&amp;position=1&amp;pageNum=0&amp;trk=public_jobs_jserp-result_search-card", "Job Link")</f>
        <v>Job Link</v>
      </c>
      <c r="H1175" t="s">
        <v>476</v>
      </c>
      <c r="I1175" t="s">
        <v>481</v>
      </c>
      <c r="J1175" t="s">
        <v>485</v>
      </c>
      <c r="K1175" t="s">
        <v>523</v>
      </c>
      <c r="L1175" t="s">
        <v>601</v>
      </c>
    </row>
    <row r="1176" spans="1:14" x14ac:dyDescent="0.25">
      <c r="A1176" t="s">
        <v>40</v>
      </c>
      <c r="B1176" t="s">
        <v>159</v>
      </c>
      <c r="C1176" t="s">
        <v>308</v>
      </c>
      <c r="D1176" t="s">
        <v>425</v>
      </c>
      <c r="F1176" t="s">
        <v>435</v>
      </c>
      <c r="G1176" t="str">
        <f>HYPERLINK("https://ca.linkedin.com/jobs/view/data-visualization-developer-analyst-at-blue-boat-data-3335318133?refId=uFp3C1zz%2FgJooEhVK3dtGQ%3D%3D&amp;trackingId=YYa3d19YOnw2ojC3up1AXg%3D%3D&amp;position=2&amp;pageNum=0&amp;trk=public_jobs_jserp-result_search-card", "Job Link")</f>
        <v>Job Link</v>
      </c>
      <c r="I1176" t="s">
        <v>483</v>
      </c>
      <c r="L1176" t="s">
        <v>601</v>
      </c>
    </row>
    <row r="1177" spans="1:14" x14ac:dyDescent="0.25">
      <c r="A1177" t="s">
        <v>14</v>
      </c>
      <c r="B1177" t="s">
        <v>160</v>
      </c>
      <c r="C1177" t="s">
        <v>309</v>
      </c>
      <c r="D1177" t="s">
        <v>425</v>
      </c>
      <c r="E1177" t="s">
        <v>427</v>
      </c>
      <c r="F1177" t="s">
        <v>458</v>
      </c>
      <c r="G1177" t="str">
        <f>HYPERLINK("https://ca.linkedin.com/jobs/view/data-analyst-at-libitzky-property-companies-3314494593?refId=uFp3C1zz%2FgJooEhVK3dtGQ%3D%3D&amp;trackingId=%2FaRvHxy1tAdSspL6qh5HFg%3D%3D&amp;position=3&amp;pageNum=0&amp;trk=public_jobs_jserp-result_search-card", "Job Link")</f>
        <v>Job Link</v>
      </c>
      <c r="H1177" t="s">
        <v>476</v>
      </c>
      <c r="I1177" t="s">
        <v>481</v>
      </c>
      <c r="J1177" t="s">
        <v>486</v>
      </c>
      <c r="K1177" t="s">
        <v>516</v>
      </c>
      <c r="L1177" t="s">
        <v>601</v>
      </c>
    </row>
    <row r="1178" spans="1:14" x14ac:dyDescent="0.25">
      <c r="A1178" t="s">
        <v>14</v>
      </c>
      <c r="B1178" t="s">
        <v>161</v>
      </c>
      <c r="C1178" t="s">
        <v>310</v>
      </c>
      <c r="D1178" t="s">
        <v>425</v>
      </c>
      <c r="F1178" t="s">
        <v>435</v>
      </c>
      <c r="G1178" t="str">
        <f>HYPERLINK("https://ca.linkedin.com/jobs/view/data-analyst-at-spire-3340696458?refId=uFp3C1zz%2FgJooEhVK3dtGQ%3D%3D&amp;trackingId=QGi5XORfW%2FbvsfMRcgnIVA%3D%3D&amp;position=4&amp;pageNum=0&amp;trk=public_jobs_jserp-result_search-card", "Job Link")</f>
        <v>Job Link</v>
      </c>
      <c r="H1178" t="s">
        <v>476</v>
      </c>
      <c r="I1178" t="s">
        <v>481</v>
      </c>
      <c r="J1178" t="s">
        <v>486</v>
      </c>
      <c r="K1178" t="s">
        <v>517</v>
      </c>
      <c r="L1178" t="s">
        <v>602</v>
      </c>
      <c r="M1178" t="s">
        <v>588</v>
      </c>
      <c r="N1178" t="s">
        <v>601</v>
      </c>
    </row>
    <row r="1179" spans="1:14" x14ac:dyDescent="0.25">
      <c r="A1179" t="s">
        <v>14</v>
      </c>
      <c r="B1179" t="s">
        <v>162</v>
      </c>
      <c r="C1179" t="s">
        <v>311</v>
      </c>
      <c r="D1179" t="s">
        <v>425</v>
      </c>
      <c r="F1179" t="s">
        <v>434</v>
      </c>
      <c r="G1179" t="str">
        <f>HYPERLINK("https://ca.linkedin.com/jobs/view/data-analyst-at-money-mart-financial-services-3361528052?refId=uFp3C1zz%2FgJooEhVK3dtGQ%3D%3D&amp;trackingId=LLA7nduPk416MuargGlTMA%3D%3D&amp;position=5&amp;pageNum=0&amp;trk=public_jobs_jserp-result_search-card", "Job Link")</f>
        <v>Job Link</v>
      </c>
      <c r="H1179" t="s">
        <v>477</v>
      </c>
      <c r="I1179" t="s">
        <v>481</v>
      </c>
      <c r="J1179" t="s">
        <v>488</v>
      </c>
      <c r="K1179" t="s">
        <v>527</v>
      </c>
      <c r="L1179" t="s">
        <v>582</v>
      </c>
      <c r="M1179" t="s">
        <v>588</v>
      </c>
      <c r="N1179" t="s">
        <v>601</v>
      </c>
    </row>
    <row r="1180" spans="1:14" x14ac:dyDescent="0.25">
      <c r="A1180" t="s">
        <v>14</v>
      </c>
      <c r="B1180" t="s">
        <v>163</v>
      </c>
      <c r="C1180" t="s">
        <v>312</v>
      </c>
      <c r="D1180" t="s">
        <v>425</v>
      </c>
      <c r="F1180" t="s">
        <v>443</v>
      </c>
      <c r="G1180" t="str">
        <f>HYPERLINK("https://ca.linkedin.com/jobs/view/data-analyst-at-mojio-3363472062?refId=uFp3C1zz%2FgJooEhVK3dtGQ%3D%3D&amp;trackingId=mCeYuH2bk%2BiiIdije5Tc4w%3D%3D&amp;position=6&amp;pageNum=0&amp;trk=public_jobs_jserp-result_search-card", "Job Link")</f>
        <v>Job Link</v>
      </c>
      <c r="H1180" t="s">
        <v>478</v>
      </c>
      <c r="I1180" t="s">
        <v>481</v>
      </c>
      <c r="J1180" t="s">
        <v>493</v>
      </c>
      <c r="K1180" t="s">
        <v>544</v>
      </c>
      <c r="L1180" t="s">
        <v>601</v>
      </c>
    </row>
    <row r="1181" spans="1:14" x14ac:dyDescent="0.25">
      <c r="A1181" t="s">
        <v>41</v>
      </c>
      <c r="B1181" t="s">
        <v>164</v>
      </c>
      <c r="C1181" t="s">
        <v>313</v>
      </c>
      <c r="D1181" t="s">
        <v>425</v>
      </c>
      <c r="F1181" t="s">
        <v>444</v>
      </c>
      <c r="G1181" t="str">
        <f>HYPERLINK("https://ca.linkedin.com/jobs/view/product-data-analyst-at-pdftron-systems-inc-3322845144?refId=uFp3C1zz%2FgJooEhVK3dtGQ%3D%3D&amp;trackingId=N26Za9O9281lv8EqO8Mx8g%3D%3D&amp;position=7&amp;pageNum=0&amp;trk=public_jobs_jserp-result_search-card", "Job Link")</f>
        <v>Job Link</v>
      </c>
      <c r="H1181" t="s">
        <v>479</v>
      </c>
      <c r="I1181" t="s">
        <v>481</v>
      </c>
      <c r="J1181" t="s">
        <v>487</v>
      </c>
      <c r="K1181" t="s">
        <v>538</v>
      </c>
      <c r="L1181" t="s">
        <v>590</v>
      </c>
      <c r="M1181" t="s">
        <v>618</v>
      </c>
      <c r="N1181" t="s">
        <v>601</v>
      </c>
    </row>
    <row r="1182" spans="1:14" x14ac:dyDescent="0.25">
      <c r="A1182" t="s">
        <v>42</v>
      </c>
      <c r="B1182" t="s">
        <v>165</v>
      </c>
      <c r="C1182" t="s">
        <v>314</v>
      </c>
      <c r="D1182" t="s">
        <v>425</v>
      </c>
      <c r="F1182" t="s">
        <v>459</v>
      </c>
      <c r="G1182" t="str">
        <f>HYPERLINK("https://ca.linkedin.com/jobs/view/cognitive-data-analyst-at-wysdom-ai-3333087497?refId=uFp3C1zz%2FgJooEhVK3dtGQ%3D%3D&amp;trackingId=NIyMpdk%2BlGhLgnLyqKBjZA%3D%3D&amp;position=8&amp;pageNum=0&amp;trk=public_jobs_jserp-result_search-card", "Job Link")</f>
        <v>Job Link</v>
      </c>
      <c r="H1182" t="s">
        <v>478</v>
      </c>
      <c r="I1182" t="s">
        <v>481</v>
      </c>
      <c r="J1182" t="s">
        <v>486</v>
      </c>
      <c r="K1182" t="s">
        <v>516</v>
      </c>
      <c r="L1182" t="s">
        <v>601</v>
      </c>
    </row>
    <row r="1183" spans="1:14" x14ac:dyDescent="0.25">
      <c r="A1183" t="s">
        <v>43</v>
      </c>
      <c r="B1183" t="s">
        <v>166</v>
      </c>
      <c r="C1183" t="s">
        <v>315</v>
      </c>
      <c r="D1183" t="s">
        <v>425</v>
      </c>
      <c r="F1183" t="s">
        <v>432</v>
      </c>
      <c r="G1183" t="str">
        <f>HYPERLINK("https://ca.linkedin.com/jobs/view/data-analyst-operations-at-felix-3360946633?refId=uFp3C1zz%2FgJooEhVK3dtGQ%3D%3D&amp;trackingId=bQ0H3IiJFgLiLmrPaqFeZA%3D%3D&amp;position=9&amp;pageNum=0&amp;trk=public_jobs_jserp-result_search-card", "Job Link")</f>
        <v>Job Link</v>
      </c>
      <c r="I1183" t="s">
        <v>481</v>
      </c>
      <c r="L1183" t="s">
        <v>601</v>
      </c>
    </row>
    <row r="1184" spans="1:14" x14ac:dyDescent="0.25">
      <c r="A1184" t="s">
        <v>44</v>
      </c>
      <c r="B1184" t="s">
        <v>167</v>
      </c>
      <c r="C1184" t="s">
        <v>316</v>
      </c>
      <c r="D1184" t="s">
        <v>425</v>
      </c>
      <c r="F1184" t="s">
        <v>460</v>
      </c>
      <c r="G1184" t="str">
        <f>HYPERLINK("https://ca.linkedin.com/jobs/view/data-analyst-marketing-at-thescore-3272474942?refId=uFp3C1zz%2FgJooEhVK3dtGQ%3D%3D&amp;trackingId=6aHoYLVk3%2FioJq7JFjlmtA%3D%3D&amp;position=10&amp;pageNum=0&amp;trk=public_jobs_jserp-result_search-card", "Job Link")</f>
        <v>Job Link</v>
      </c>
      <c r="H1184" t="s">
        <v>476</v>
      </c>
      <c r="I1184" t="s">
        <v>481</v>
      </c>
      <c r="J1184" t="s">
        <v>486</v>
      </c>
      <c r="K1184" t="s">
        <v>545</v>
      </c>
      <c r="L1184" t="s">
        <v>582</v>
      </c>
      <c r="M1184" t="s">
        <v>588</v>
      </c>
      <c r="N1184" t="s">
        <v>601</v>
      </c>
    </row>
    <row r="1185" spans="1:14" x14ac:dyDescent="0.25">
      <c r="A1185" t="s">
        <v>45</v>
      </c>
      <c r="B1185" t="s">
        <v>168</v>
      </c>
      <c r="C1185" t="s">
        <v>317</v>
      </c>
      <c r="D1185" t="s">
        <v>425</v>
      </c>
      <c r="F1185" t="s">
        <v>443</v>
      </c>
      <c r="G1185" t="str">
        <f>HYPERLINK("https://ca.linkedin.com/jobs/view/senior-data-analyst-apac-marketplace-at-hopper-3363404929?refId=uFp3C1zz%2FgJooEhVK3dtGQ%3D%3D&amp;trackingId=idwvleTrgvaWvoT0gCb%2BwA%3D%3D&amp;position=11&amp;pageNum=0&amp;trk=public_jobs_jserp-result_search-card", "Job Link")</f>
        <v>Job Link</v>
      </c>
      <c r="H1185" t="s">
        <v>478</v>
      </c>
      <c r="I1185" t="s">
        <v>485</v>
      </c>
      <c r="J1185" t="s">
        <v>486</v>
      </c>
      <c r="K1185" t="s">
        <v>538</v>
      </c>
      <c r="L1185" t="s">
        <v>601</v>
      </c>
    </row>
    <row r="1186" spans="1:14" x14ac:dyDescent="0.25">
      <c r="A1186" t="s">
        <v>46</v>
      </c>
      <c r="B1186" t="s">
        <v>169</v>
      </c>
      <c r="C1186" t="s">
        <v>318</v>
      </c>
      <c r="D1186" t="s">
        <v>425</v>
      </c>
      <c r="F1186" t="s">
        <v>461</v>
      </c>
      <c r="G1186" t="str">
        <f>HYPERLINK("https://ca.linkedin.com/jobs/view/senior-data-analyst-remote-at-insurance-supermarket-international-usa-3347334252?refId=uFp3C1zz%2FgJooEhVK3dtGQ%3D%3D&amp;trackingId=t0dX2tgJ4tvgveXDNpOlog%3D%3D&amp;position=12&amp;pageNum=0&amp;trk=public_jobs_jserp-result_search-card", "Job Link")</f>
        <v>Job Link</v>
      </c>
      <c r="H1186" t="s">
        <v>478</v>
      </c>
      <c r="I1186" t="s">
        <v>481</v>
      </c>
      <c r="J1186" t="s">
        <v>494</v>
      </c>
      <c r="K1186" t="s">
        <v>546</v>
      </c>
      <c r="L1186" t="s">
        <v>601</v>
      </c>
    </row>
    <row r="1187" spans="1:14" x14ac:dyDescent="0.25">
      <c r="A1187" t="s">
        <v>20</v>
      </c>
      <c r="B1187" t="s">
        <v>170</v>
      </c>
      <c r="C1187" t="s">
        <v>319</v>
      </c>
      <c r="D1187" t="s">
        <v>425</v>
      </c>
      <c r="F1187" t="s">
        <v>450</v>
      </c>
      <c r="G1187" t="str">
        <f>HYPERLINK("https://ca.linkedin.com/jobs/view/senior-data-analyst-at-thinkific-3333572538?refId=uFp3C1zz%2FgJooEhVK3dtGQ%3D%3D&amp;trackingId=t7VvDaYXvROP%2FkbBUedplg%3D%3D&amp;position=13&amp;pageNum=0&amp;trk=public_jobs_jserp-result_search-card", "Job Link")</f>
        <v>Job Link</v>
      </c>
      <c r="H1187" t="s">
        <v>478</v>
      </c>
      <c r="I1187" t="s">
        <v>481</v>
      </c>
      <c r="J1187" t="s">
        <v>495</v>
      </c>
      <c r="K1187" t="s">
        <v>547</v>
      </c>
      <c r="L1187" t="s">
        <v>601</v>
      </c>
    </row>
    <row r="1188" spans="1:14" x14ac:dyDescent="0.25">
      <c r="A1188" t="s">
        <v>47</v>
      </c>
      <c r="B1188" t="s">
        <v>171</v>
      </c>
      <c r="C1188" t="s">
        <v>320</v>
      </c>
      <c r="D1188" t="s">
        <v>425</v>
      </c>
      <c r="F1188" t="s">
        <v>447</v>
      </c>
      <c r="G1188" t="str">
        <f>HYPERLINK("https://ca.linkedin.com/jobs/view/insights-analyst-at-flashfood-3312876343?refId=uFp3C1zz%2FgJooEhVK3dtGQ%3D%3D&amp;trackingId=DrP39OSJwFc1xkIrXvmdnA%3D%3D&amp;position=14&amp;pageNum=0&amp;trk=public_jobs_jserp-result_search-card", "Job Link")</f>
        <v>Job Link</v>
      </c>
      <c r="I1188" t="s">
        <v>481</v>
      </c>
      <c r="L1188" t="s">
        <v>601</v>
      </c>
    </row>
    <row r="1189" spans="1:14" x14ac:dyDescent="0.25">
      <c r="A1189" t="s">
        <v>20</v>
      </c>
      <c r="B1189" t="s">
        <v>172</v>
      </c>
      <c r="C1189" t="s">
        <v>321</v>
      </c>
      <c r="D1189" t="s">
        <v>425</v>
      </c>
      <c r="F1189" t="s">
        <v>438</v>
      </c>
      <c r="G1189" t="str">
        <f>HYPERLINK("https://ca.linkedin.com/jobs/view/senior-data-analyst-at-system1-3324728130?refId=uFp3C1zz%2FgJooEhVK3dtGQ%3D%3D&amp;trackingId=xOr5rl5Xu3jKFnSHidl9yQ%3D%3D&amp;position=15&amp;pageNum=0&amp;trk=public_jobs_jserp-result_search-card", "Job Link")</f>
        <v>Job Link</v>
      </c>
      <c r="H1189" t="s">
        <v>478</v>
      </c>
      <c r="I1189" t="s">
        <v>481</v>
      </c>
      <c r="J1189" t="s">
        <v>486</v>
      </c>
      <c r="K1189" t="s">
        <v>548</v>
      </c>
      <c r="L1189" t="s">
        <v>587</v>
      </c>
      <c r="M1189" t="s">
        <v>588</v>
      </c>
      <c r="N1189" t="s">
        <v>601</v>
      </c>
    </row>
    <row r="1190" spans="1:14" x14ac:dyDescent="0.25">
      <c r="A1190" t="s">
        <v>48</v>
      </c>
      <c r="B1190" t="s">
        <v>173</v>
      </c>
      <c r="C1190" t="s">
        <v>322</v>
      </c>
      <c r="D1190" t="s">
        <v>425</v>
      </c>
      <c r="F1190" t="s">
        <v>462</v>
      </c>
      <c r="G1190" t="str">
        <f>HYPERLINK("https://ca.linkedin.com/jobs/view/data-analyst-trilogy-remote-%2460-000-year-usd-at-crossover-3367086698?refId=uFp3C1zz%2FgJooEhVK3dtGQ%3D%3D&amp;trackingId=VkcO9fIlQ1DheVjs171KMg%3D%3D&amp;position=16&amp;pageNum=0&amp;trk=public_jobs_jserp-result_search-card", "Job Link")</f>
        <v>Job Link</v>
      </c>
      <c r="H1190" t="s">
        <v>477</v>
      </c>
      <c r="I1190" t="s">
        <v>481</v>
      </c>
      <c r="J1190" t="s">
        <v>496</v>
      </c>
      <c r="K1190" t="s">
        <v>549</v>
      </c>
      <c r="L1190" t="s">
        <v>582</v>
      </c>
      <c r="M1190" t="s">
        <v>588</v>
      </c>
      <c r="N1190" t="s">
        <v>601</v>
      </c>
    </row>
    <row r="1191" spans="1:14" x14ac:dyDescent="0.25">
      <c r="A1191" t="s">
        <v>49</v>
      </c>
      <c r="B1191" t="s">
        <v>174</v>
      </c>
      <c r="C1191" t="s">
        <v>323</v>
      </c>
      <c r="D1191" t="s">
        <v>425</v>
      </c>
      <c r="F1191" t="s">
        <v>433</v>
      </c>
      <c r="G1191" t="str">
        <f>HYPERLINK("https://ca.linkedin.com/jobs/view/product-data-analyst-wtfast-at-blankslate-partners-3350561493?refId=uFp3C1zz%2FgJooEhVK3dtGQ%3D%3D&amp;trackingId=e0HPKoR900BNby%2Bu0brSkg%3D%3D&amp;position=17&amp;pageNum=0&amp;trk=public_jobs_jserp-result_search-card", "Job Link")</f>
        <v>Job Link</v>
      </c>
      <c r="H1191" t="s">
        <v>479</v>
      </c>
      <c r="I1191" t="s">
        <v>481</v>
      </c>
      <c r="J1191" t="s">
        <v>497</v>
      </c>
      <c r="K1191" t="s">
        <v>538</v>
      </c>
      <c r="L1191" t="s">
        <v>603</v>
      </c>
      <c r="M1191" t="s">
        <v>618</v>
      </c>
      <c r="N1191" t="s">
        <v>601</v>
      </c>
    </row>
    <row r="1192" spans="1:14" x14ac:dyDescent="0.25">
      <c r="A1192" t="s">
        <v>50</v>
      </c>
      <c r="B1192" t="s">
        <v>175</v>
      </c>
      <c r="C1192" t="s">
        <v>324</v>
      </c>
      <c r="D1192" t="s">
        <v>425</v>
      </c>
      <c r="F1192" t="s">
        <v>443</v>
      </c>
      <c r="G1192" t="str">
        <f>HYPERLINK("https://ca.linkedin.com/jobs/view/senior-data-analyst-toronto-on-at-ssense-3369567279?refId=uFp3C1zz%2FgJooEhVK3dtGQ%3D%3D&amp;trackingId=8Mxp2eC2eOQeQu%2BKgvTGdA%3D%3D&amp;position=18&amp;pageNum=0&amp;trk=public_jobs_jserp-result_search-card", "Job Link")</f>
        <v>Job Link</v>
      </c>
      <c r="H1192" t="s">
        <v>478</v>
      </c>
      <c r="I1192" t="s">
        <v>481</v>
      </c>
      <c r="J1192" t="s">
        <v>486</v>
      </c>
      <c r="K1192" t="s">
        <v>550</v>
      </c>
      <c r="L1192" t="s">
        <v>582</v>
      </c>
      <c r="M1192" t="s">
        <v>588</v>
      </c>
      <c r="N1192" t="s">
        <v>601</v>
      </c>
    </row>
    <row r="1193" spans="1:14" x14ac:dyDescent="0.25">
      <c r="A1193" t="s">
        <v>51</v>
      </c>
      <c r="B1193" t="s">
        <v>175</v>
      </c>
      <c r="C1193" t="s">
        <v>325</v>
      </c>
      <c r="D1193" t="s">
        <v>425</v>
      </c>
      <c r="F1193" t="s">
        <v>443</v>
      </c>
      <c r="G1193" t="str">
        <f>HYPERLINK("https://ca.linkedin.com/jobs/view/senior-data-analyst-analytics-insights-toronto-on-at-ssense-3369558722?refId=uFp3C1zz%2FgJooEhVK3dtGQ%3D%3D&amp;trackingId=PaXGlKjC6D6A68%2F0OQjoZw%3D%3D&amp;position=19&amp;pageNum=0&amp;trk=public_jobs_jserp-result_search-card", "Job Link")</f>
        <v>Job Link</v>
      </c>
      <c r="H1193" t="s">
        <v>478</v>
      </c>
      <c r="I1193" t="s">
        <v>481</v>
      </c>
      <c r="J1193" t="s">
        <v>491</v>
      </c>
      <c r="K1193" t="s">
        <v>550</v>
      </c>
      <c r="L1193" t="s">
        <v>582</v>
      </c>
      <c r="M1193" t="s">
        <v>588</v>
      </c>
      <c r="N1193" t="s">
        <v>601</v>
      </c>
    </row>
    <row r="1194" spans="1:14" x14ac:dyDescent="0.25">
      <c r="A1194" t="s">
        <v>51</v>
      </c>
      <c r="B1194" t="s">
        <v>175</v>
      </c>
      <c r="C1194" t="s">
        <v>325</v>
      </c>
      <c r="D1194" t="s">
        <v>425</v>
      </c>
      <c r="F1194" t="s">
        <v>443</v>
      </c>
      <c r="G1194" t="str">
        <f>HYPERLINK("https://ca.linkedin.com/jobs/view/senior-data-analyst-analytics-insights-toronto-on-at-ssense-3369560180?refId=uFp3C1zz%2FgJooEhVK3dtGQ%3D%3D&amp;trackingId=usiuJhIc4BT%2Fw1hiqWkXHw%3D%3D&amp;position=20&amp;pageNum=0&amp;trk=public_jobs_jserp-result_search-card", "Job Link")</f>
        <v>Job Link</v>
      </c>
      <c r="H1194" t="s">
        <v>478</v>
      </c>
      <c r="I1194" t="s">
        <v>481</v>
      </c>
      <c r="J1194" t="s">
        <v>491</v>
      </c>
      <c r="K1194" t="s">
        <v>550</v>
      </c>
      <c r="L1194" t="s">
        <v>582</v>
      </c>
      <c r="M1194" t="s">
        <v>588</v>
      </c>
      <c r="N1194" t="s">
        <v>601</v>
      </c>
    </row>
    <row r="1195" spans="1:14" x14ac:dyDescent="0.25">
      <c r="A1195" t="s">
        <v>27</v>
      </c>
      <c r="B1195" t="s">
        <v>176</v>
      </c>
      <c r="C1195" t="s">
        <v>326</v>
      </c>
      <c r="D1195" t="s">
        <v>425</v>
      </c>
      <c r="F1195" t="s">
        <v>441</v>
      </c>
      <c r="G1195" t="str">
        <f>HYPERLINK("https://ca.linkedin.com/jobs/view/sr-data-analyst-at-telus-international-digital-solutions-3331944226?refId=uFp3C1zz%2FgJooEhVK3dtGQ%3D%3D&amp;trackingId=N3OTQ34R1Pv4xvisylkWVA%3D%3D&amp;position=21&amp;pageNum=0&amp;trk=public_jobs_jserp-result_search-card", "Job Link")</f>
        <v>Job Link</v>
      </c>
      <c r="H1195" t="s">
        <v>478</v>
      </c>
      <c r="I1195" t="s">
        <v>481</v>
      </c>
      <c r="J1195" t="s">
        <v>498</v>
      </c>
      <c r="K1195" t="s">
        <v>521</v>
      </c>
      <c r="L1195" t="s">
        <v>604</v>
      </c>
      <c r="M1195" t="s">
        <v>618</v>
      </c>
      <c r="N1195" t="s">
        <v>601</v>
      </c>
    </row>
    <row r="1196" spans="1:14" x14ac:dyDescent="0.25">
      <c r="A1196" t="s">
        <v>20</v>
      </c>
      <c r="B1196" t="s">
        <v>175</v>
      </c>
      <c r="C1196" t="s">
        <v>324</v>
      </c>
      <c r="D1196" t="s">
        <v>425</v>
      </c>
      <c r="F1196" t="s">
        <v>446</v>
      </c>
      <c r="G1196" t="str">
        <f>HYPERLINK("https://ca.linkedin.com/jobs/view/senior-data-analyst-at-ssense-3342165774?refId=uFp3C1zz%2FgJooEhVK3dtGQ%3D%3D&amp;trackingId=mcGcm1vb9R53Y5KJuVE3zA%3D%3D&amp;position=22&amp;pageNum=0&amp;trk=public_jobs_jserp-result_search-card", "Job Link")</f>
        <v>Job Link</v>
      </c>
      <c r="H1196" t="s">
        <v>478</v>
      </c>
      <c r="I1196" t="s">
        <v>481</v>
      </c>
      <c r="J1196" t="s">
        <v>486</v>
      </c>
      <c r="K1196" t="s">
        <v>550</v>
      </c>
      <c r="L1196" t="s">
        <v>605</v>
      </c>
      <c r="M1196" t="s">
        <v>617</v>
      </c>
      <c r="N1196" t="s">
        <v>601</v>
      </c>
    </row>
    <row r="1197" spans="1:14" x14ac:dyDescent="0.25">
      <c r="A1197" t="s">
        <v>14</v>
      </c>
      <c r="B1197" t="s">
        <v>158</v>
      </c>
      <c r="C1197" t="s">
        <v>307</v>
      </c>
      <c r="D1197" t="s">
        <v>425</v>
      </c>
      <c r="F1197" t="s">
        <v>430</v>
      </c>
      <c r="G1197" t="str">
        <f>HYPERLINK("https://ca.linkedin.com/jobs/view/data-analyst-at-empire-life-3324608289?refId=HhWu0Fp10rXT0RsnN%2FEKxQ%3D%3D&amp;trackingId=ZhE%2F3MFkrHYlKx5sWO1QlA%3D%3D&amp;position=1&amp;pageNum=0&amp;trk=public_jobs_jserp-result_search-card", "Job Link")</f>
        <v>Job Link</v>
      </c>
      <c r="H1197" t="s">
        <v>476</v>
      </c>
      <c r="I1197" t="s">
        <v>481</v>
      </c>
      <c r="J1197" t="s">
        <v>485</v>
      </c>
      <c r="K1197" t="s">
        <v>523</v>
      </c>
      <c r="L1197" t="s">
        <v>601</v>
      </c>
    </row>
    <row r="1198" spans="1:14" x14ac:dyDescent="0.25">
      <c r="A1198" t="s">
        <v>40</v>
      </c>
      <c r="B1198" t="s">
        <v>159</v>
      </c>
      <c r="C1198" t="s">
        <v>308</v>
      </c>
      <c r="D1198" t="s">
        <v>425</v>
      </c>
      <c r="F1198" t="s">
        <v>435</v>
      </c>
      <c r="G1198" t="str">
        <f>HYPERLINK("https://ca.linkedin.com/jobs/view/data-visualization-developer-analyst-at-blue-boat-data-3335318133?refId=HhWu0Fp10rXT0RsnN%2FEKxQ%3D%3D&amp;trackingId=b3QV1vycR%2FWmbhgc7dNW%2Fg%3D%3D&amp;position=2&amp;pageNum=0&amp;trk=public_jobs_jserp-result_search-card", "Job Link")</f>
        <v>Job Link</v>
      </c>
      <c r="I1198" t="s">
        <v>483</v>
      </c>
      <c r="L1198" t="s">
        <v>601</v>
      </c>
    </row>
    <row r="1199" spans="1:14" x14ac:dyDescent="0.25">
      <c r="A1199" t="s">
        <v>14</v>
      </c>
      <c r="B1199" t="s">
        <v>160</v>
      </c>
      <c r="C1199" t="s">
        <v>309</v>
      </c>
      <c r="D1199" t="s">
        <v>425</v>
      </c>
      <c r="E1199" t="s">
        <v>427</v>
      </c>
      <c r="F1199" t="s">
        <v>458</v>
      </c>
      <c r="G1199" t="str">
        <f>HYPERLINK("https://ca.linkedin.com/jobs/view/data-analyst-at-libitzky-property-companies-3314494593?refId=HhWu0Fp10rXT0RsnN%2FEKxQ%3D%3D&amp;trackingId=mL3XIWjD53hsaOK03nWpWA%3D%3D&amp;position=3&amp;pageNum=0&amp;trk=public_jobs_jserp-result_search-card", "Job Link")</f>
        <v>Job Link</v>
      </c>
      <c r="H1199" t="s">
        <v>476</v>
      </c>
      <c r="I1199" t="s">
        <v>481</v>
      </c>
      <c r="J1199" t="s">
        <v>486</v>
      </c>
      <c r="K1199" t="s">
        <v>516</v>
      </c>
      <c r="L1199" t="s">
        <v>601</v>
      </c>
    </row>
    <row r="1200" spans="1:14" x14ac:dyDescent="0.25">
      <c r="A1200" t="s">
        <v>14</v>
      </c>
      <c r="B1200" t="s">
        <v>161</v>
      </c>
      <c r="C1200" t="s">
        <v>310</v>
      </c>
      <c r="D1200" t="s">
        <v>425</v>
      </c>
      <c r="F1200" t="s">
        <v>435</v>
      </c>
      <c r="G1200" t="str">
        <f>HYPERLINK("https://ca.linkedin.com/jobs/view/data-analyst-at-spire-3340696458?refId=HhWu0Fp10rXT0RsnN%2FEKxQ%3D%3D&amp;trackingId=ZwUbKpdY4htkSKvb2YeN1w%3D%3D&amp;position=4&amp;pageNum=0&amp;trk=public_jobs_jserp-result_search-card", "Job Link")</f>
        <v>Job Link</v>
      </c>
      <c r="H1200" t="s">
        <v>476</v>
      </c>
      <c r="I1200" t="s">
        <v>481</v>
      </c>
      <c r="J1200" t="s">
        <v>486</v>
      </c>
      <c r="K1200" t="s">
        <v>517</v>
      </c>
      <c r="L1200" t="s">
        <v>602</v>
      </c>
      <c r="M1200" t="s">
        <v>588</v>
      </c>
      <c r="N1200" t="s">
        <v>601</v>
      </c>
    </row>
    <row r="1201" spans="1:14" x14ac:dyDescent="0.25">
      <c r="A1201" t="s">
        <v>14</v>
      </c>
      <c r="B1201" t="s">
        <v>162</v>
      </c>
      <c r="C1201" t="s">
        <v>311</v>
      </c>
      <c r="D1201" t="s">
        <v>425</v>
      </c>
      <c r="F1201" t="s">
        <v>434</v>
      </c>
      <c r="G1201" t="str">
        <f>HYPERLINK("https://ca.linkedin.com/jobs/view/data-analyst-at-money-mart-financial-services-3361528052?refId=HhWu0Fp10rXT0RsnN%2FEKxQ%3D%3D&amp;trackingId=iEANQCLQcIFdPeTwb11ONA%3D%3D&amp;position=5&amp;pageNum=0&amp;trk=public_jobs_jserp-result_search-card", "Job Link")</f>
        <v>Job Link</v>
      </c>
      <c r="H1201" t="s">
        <v>477</v>
      </c>
      <c r="I1201" t="s">
        <v>481</v>
      </c>
      <c r="J1201" t="s">
        <v>488</v>
      </c>
      <c r="K1201" t="s">
        <v>527</v>
      </c>
      <c r="L1201" t="s">
        <v>582</v>
      </c>
      <c r="M1201" t="s">
        <v>588</v>
      </c>
      <c r="N1201" t="s">
        <v>601</v>
      </c>
    </row>
    <row r="1202" spans="1:14" x14ac:dyDescent="0.25">
      <c r="A1202" t="s">
        <v>14</v>
      </c>
      <c r="B1202" t="s">
        <v>163</v>
      </c>
      <c r="C1202" t="s">
        <v>312</v>
      </c>
      <c r="D1202" t="s">
        <v>425</v>
      </c>
      <c r="F1202" t="s">
        <v>443</v>
      </c>
      <c r="G1202" t="str">
        <f>HYPERLINK("https://ca.linkedin.com/jobs/view/data-analyst-at-mojio-3363472062?refId=HhWu0Fp10rXT0RsnN%2FEKxQ%3D%3D&amp;trackingId=kVjqRMbff2zvbyocnA8W7Q%3D%3D&amp;position=6&amp;pageNum=0&amp;trk=public_jobs_jserp-result_search-card", "Job Link")</f>
        <v>Job Link</v>
      </c>
      <c r="H1202" t="s">
        <v>478</v>
      </c>
      <c r="I1202" t="s">
        <v>481</v>
      </c>
      <c r="J1202" t="s">
        <v>493</v>
      </c>
      <c r="K1202" t="s">
        <v>544</v>
      </c>
      <c r="L1202" t="s">
        <v>601</v>
      </c>
    </row>
    <row r="1203" spans="1:14" x14ac:dyDescent="0.25">
      <c r="A1203" t="s">
        <v>41</v>
      </c>
      <c r="B1203" t="s">
        <v>164</v>
      </c>
      <c r="C1203" t="s">
        <v>313</v>
      </c>
      <c r="D1203" t="s">
        <v>425</v>
      </c>
      <c r="F1203" t="s">
        <v>444</v>
      </c>
      <c r="G1203" t="str">
        <f>HYPERLINK("https://ca.linkedin.com/jobs/view/product-data-analyst-at-pdftron-systems-inc-3322845144?refId=HhWu0Fp10rXT0RsnN%2FEKxQ%3D%3D&amp;trackingId=OT%2FORyooT3WDupFbzKXU7g%3D%3D&amp;position=7&amp;pageNum=0&amp;trk=public_jobs_jserp-result_search-card", "Job Link")</f>
        <v>Job Link</v>
      </c>
      <c r="H1203" t="s">
        <v>479</v>
      </c>
      <c r="I1203" t="s">
        <v>481</v>
      </c>
      <c r="J1203" t="s">
        <v>487</v>
      </c>
      <c r="K1203" t="s">
        <v>538</v>
      </c>
      <c r="L1203" t="s">
        <v>590</v>
      </c>
      <c r="M1203" t="s">
        <v>618</v>
      </c>
      <c r="N1203" t="s">
        <v>601</v>
      </c>
    </row>
    <row r="1204" spans="1:14" x14ac:dyDescent="0.25">
      <c r="A1204" t="s">
        <v>42</v>
      </c>
      <c r="B1204" t="s">
        <v>165</v>
      </c>
      <c r="C1204" t="s">
        <v>314</v>
      </c>
      <c r="D1204" t="s">
        <v>425</v>
      </c>
      <c r="F1204" t="s">
        <v>459</v>
      </c>
      <c r="G1204" t="str">
        <f>HYPERLINK("https://ca.linkedin.com/jobs/view/cognitive-data-analyst-at-wysdom-ai-3333087497?refId=HhWu0Fp10rXT0RsnN%2FEKxQ%3D%3D&amp;trackingId=8Y9CrXTANfb1p6eVMghUgQ%3D%3D&amp;position=8&amp;pageNum=0&amp;trk=public_jobs_jserp-result_search-card", "Job Link")</f>
        <v>Job Link</v>
      </c>
      <c r="H1204" t="s">
        <v>478</v>
      </c>
      <c r="I1204" t="s">
        <v>481</v>
      </c>
      <c r="J1204" t="s">
        <v>486</v>
      </c>
      <c r="K1204" t="s">
        <v>516</v>
      </c>
      <c r="L1204" t="s">
        <v>601</v>
      </c>
    </row>
    <row r="1205" spans="1:14" x14ac:dyDescent="0.25">
      <c r="A1205" t="s">
        <v>43</v>
      </c>
      <c r="B1205" t="s">
        <v>166</v>
      </c>
      <c r="C1205" t="s">
        <v>315</v>
      </c>
      <c r="D1205" t="s">
        <v>425</v>
      </c>
      <c r="F1205" t="s">
        <v>432</v>
      </c>
      <c r="G1205" t="str">
        <f>HYPERLINK("https://ca.linkedin.com/jobs/view/data-analyst-operations-at-felix-3360946633?refId=HhWu0Fp10rXT0RsnN%2FEKxQ%3D%3D&amp;trackingId=%2Fu25vnpnHVbd0K9nIA%2F%2BwQ%3D%3D&amp;position=9&amp;pageNum=0&amp;trk=public_jobs_jserp-result_search-card", "Job Link")</f>
        <v>Job Link</v>
      </c>
      <c r="I1205" t="s">
        <v>481</v>
      </c>
      <c r="L1205" t="s">
        <v>601</v>
      </c>
    </row>
    <row r="1206" spans="1:14" x14ac:dyDescent="0.25">
      <c r="A1206" t="s">
        <v>44</v>
      </c>
      <c r="B1206" t="s">
        <v>167</v>
      </c>
      <c r="C1206" t="s">
        <v>316</v>
      </c>
      <c r="D1206" t="s">
        <v>425</v>
      </c>
      <c r="F1206" t="s">
        <v>460</v>
      </c>
      <c r="G1206" t="str">
        <f>HYPERLINK("https://ca.linkedin.com/jobs/view/data-analyst-marketing-at-thescore-3272474942?refId=HhWu0Fp10rXT0RsnN%2FEKxQ%3D%3D&amp;trackingId=lcNt6tRbFvv3290P2QBAww%3D%3D&amp;position=10&amp;pageNum=0&amp;trk=public_jobs_jserp-result_search-card", "Job Link")</f>
        <v>Job Link</v>
      </c>
      <c r="H1206" t="s">
        <v>476</v>
      </c>
      <c r="I1206" t="s">
        <v>481</v>
      </c>
      <c r="J1206" t="s">
        <v>486</v>
      </c>
      <c r="K1206" t="s">
        <v>545</v>
      </c>
      <c r="L1206" t="s">
        <v>582</v>
      </c>
      <c r="M1206" t="s">
        <v>588</v>
      </c>
      <c r="N1206" t="s">
        <v>601</v>
      </c>
    </row>
    <row r="1207" spans="1:14" x14ac:dyDescent="0.25">
      <c r="A1207" t="s">
        <v>45</v>
      </c>
      <c r="B1207" t="s">
        <v>168</v>
      </c>
      <c r="C1207" t="s">
        <v>317</v>
      </c>
      <c r="D1207" t="s">
        <v>425</v>
      </c>
      <c r="F1207" t="s">
        <v>443</v>
      </c>
      <c r="G1207" t="str">
        <f>HYPERLINK("https://ca.linkedin.com/jobs/view/senior-data-analyst-apac-marketplace-at-hopper-3363404929?refId=HhWu0Fp10rXT0RsnN%2FEKxQ%3D%3D&amp;trackingId=Q8sRpPe6NVTy8u9xwe1Nyg%3D%3D&amp;position=11&amp;pageNum=0&amp;trk=public_jobs_jserp-result_search-card", "Job Link")</f>
        <v>Job Link</v>
      </c>
      <c r="H1207" t="s">
        <v>478</v>
      </c>
      <c r="I1207" t="s">
        <v>485</v>
      </c>
      <c r="J1207" t="s">
        <v>486</v>
      </c>
      <c r="K1207" t="s">
        <v>538</v>
      </c>
      <c r="L1207" t="s">
        <v>601</v>
      </c>
    </row>
    <row r="1208" spans="1:14" x14ac:dyDescent="0.25">
      <c r="A1208" t="s">
        <v>46</v>
      </c>
      <c r="B1208" t="s">
        <v>169</v>
      </c>
      <c r="C1208" t="s">
        <v>318</v>
      </c>
      <c r="D1208" t="s">
        <v>425</v>
      </c>
      <c r="F1208" t="s">
        <v>461</v>
      </c>
      <c r="G1208" t="str">
        <f>HYPERLINK("https://ca.linkedin.com/jobs/view/senior-data-analyst-remote-at-insurance-supermarket-international-usa-3347334252?refId=HhWu0Fp10rXT0RsnN%2FEKxQ%3D%3D&amp;trackingId=rYo6a4FfynQhu09hvz9HYw%3D%3D&amp;position=12&amp;pageNum=0&amp;trk=public_jobs_jserp-result_search-card", "Job Link")</f>
        <v>Job Link</v>
      </c>
      <c r="H1208" t="s">
        <v>478</v>
      </c>
      <c r="I1208" t="s">
        <v>481</v>
      </c>
      <c r="J1208" t="s">
        <v>494</v>
      </c>
      <c r="K1208" t="s">
        <v>546</v>
      </c>
      <c r="L1208" t="s">
        <v>601</v>
      </c>
    </row>
    <row r="1209" spans="1:14" x14ac:dyDescent="0.25">
      <c r="A1209" t="s">
        <v>20</v>
      </c>
      <c r="B1209" t="s">
        <v>170</v>
      </c>
      <c r="C1209" t="s">
        <v>319</v>
      </c>
      <c r="D1209" t="s">
        <v>425</v>
      </c>
      <c r="F1209" t="s">
        <v>450</v>
      </c>
      <c r="G1209" t="str">
        <f>HYPERLINK("https://ca.linkedin.com/jobs/view/senior-data-analyst-at-thinkific-3333572538?refId=HhWu0Fp10rXT0RsnN%2FEKxQ%3D%3D&amp;trackingId=bFpjGVv51MWuSvpBy6Womg%3D%3D&amp;position=13&amp;pageNum=0&amp;trk=public_jobs_jserp-result_search-card", "Job Link")</f>
        <v>Job Link</v>
      </c>
      <c r="H1209" t="s">
        <v>478</v>
      </c>
      <c r="I1209" t="s">
        <v>481</v>
      </c>
      <c r="J1209" t="s">
        <v>495</v>
      </c>
      <c r="K1209" t="s">
        <v>547</v>
      </c>
      <c r="L1209" t="s">
        <v>601</v>
      </c>
    </row>
    <row r="1210" spans="1:14" x14ac:dyDescent="0.25">
      <c r="A1210" t="s">
        <v>47</v>
      </c>
      <c r="B1210" t="s">
        <v>171</v>
      </c>
      <c r="C1210" t="s">
        <v>320</v>
      </c>
      <c r="D1210" t="s">
        <v>425</v>
      </c>
      <c r="F1210" t="s">
        <v>447</v>
      </c>
      <c r="G1210" t="str">
        <f>HYPERLINK("https://ca.linkedin.com/jobs/view/insights-analyst-at-flashfood-3312876343?refId=HhWu0Fp10rXT0RsnN%2FEKxQ%3D%3D&amp;trackingId=hkcYKTUTbxIVcJFcMW7yTg%3D%3D&amp;position=14&amp;pageNum=0&amp;trk=public_jobs_jserp-result_search-card", "Job Link")</f>
        <v>Job Link</v>
      </c>
      <c r="I1210" t="s">
        <v>481</v>
      </c>
      <c r="L1210" t="s">
        <v>601</v>
      </c>
    </row>
    <row r="1211" spans="1:14" x14ac:dyDescent="0.25">
      <c r="A1211" t="s">
        <v>20</v>
      </c>
      <c r="B1211" t="s">
        <v>172</v>
      </c>
      <c r="C1211" t="s">
        <v>321</v>
      </c>
      <c r="D1211" t="s">
        <v>425</v>
      </c>
      <c r="F1211" t="s">
        <v>438</v>
      </c>
      <c r="G1211" t="str">
        <f>HYPERLINK("https://ca.linkedin.com/jobs/view/senior-data-analyst-at-system1-3324728130?refId=HhWu0Fp10rXT0RsnN%2FEKxQ%3D%3D&amp;trackingId=IwEAGlcgMNAr61NIlekyNQ%3D%3D&amp;position=15&amp;pageNum=0&amp;trk=public_jobs_jserp-result_search-card", "Job Link")</f>
        <v>Job Link</v>
      </c>
      <c r="H1211" t="s">
        <v>478</v>
      </c>
      <c r="I1211" t="s">
        <v>481</v>
      </c>
      <c r="J1211" t="s">
        <v>486</v>
      </c>
      <c r="K1211" t="s">
        <v>548</v>
      </c>
      <c r="L1211" t="s">
        <v>587</v>
      </c>
      <c r="M1211" t="s">
        <v>588</v>
      </c>
      <c r="N1211" t="s">
        <v>601</v>
      </c>
    </row>
    <row r="1212" spans="1:14" x14ac:dyDescent="0.25">
      <c r="A1212" t="s">
        <v>48</v>
      </c>
      <c r="B1212" t="s">
        <v>173</v>
      </c>
      <c r="C1212" t="s">
        <v>322</v>
      </c>
      <c r="D1212" t="s">
        <v>425</v>
      </c>
      <c r="F1212" t="s">
        <v>462</v>
      </c>
      <c r="G1212" t="str">
        <f>HYPERLINK("https://ca.linkedin.com/jobs/view/data-analyst-trilogy-remote-%2460-000-year-usd-at-crossover-3367086698?refId=HhWu0Fp10rXT0RsnN%2FEKxQ%3D%3D&amp;trackingId=nvVr4muuaR8OUA5y3NgzwQ%3D%3D&amp;position=16&amp;pageNum=0&amp;trk=public_jobs_jserp-result_search-card", "Job Link")</f>
        <v>Job Link</v>
      </c>
      <c r="H1212" t="s">
        <v>477</v>
      </c>
      <c r="I1212" t="s">
        <v>481</v>
      </c>
      <c r="J1212" t="s">
        <v>496</v>
      </c>
      <c r="K1212" t="s">
        <v>549</v>
      </c>
      <c r="L1212" t="s">
        <v>582</v>
      </c>
      <c r="M1212" t="s">
        <v>588</v>
      </c>
      <c r="N1212" t="s">
        <v>601</v>
      </c>
    </row>
    <row r="1213" spans="1:14" x14ac:dyDescent="0.25">
      <c r="A1213" t="s">
        <v>49</v>
      </c>
      <c r="B1213" t="s">
        <v>174</v>
      </c>
      <c r="C1213" t="s">
        <v>323</v>
      </c>
      <c r="D1213" t="s">
        <v>425</v>
      </c>
      <c r="F1213" t="s">
        <v>433</v>
      </c>
      <c r="G1213" t="str">
        <f>HYPERLINK("https://ca.linkedin.com/jobs/view/product-data-analyst-wtfast-at-blankslate-partners-3350561493?refId=HhWu0Fp10rXT0RsnN%2FEKxQ%3D%3D&amp;trackingId=gNkTn00rTnyX5TCfc5Csxg%3D%3D&amp;position=17&amp;pageNum=0&amp;trk=public_jobs_jserp-result_search-card", "Job Link")</f>
        <v>Job Link</v>
      </c>
      <c r="H1213" t="s">
        <v>479</v>
      </c>
      <c r="I1213" t="s">
        <v>481</v>
      </c>
      <c r="J1213" t="s">
        <v>497</v>
      </c>
      <c r="K1213" t="s">
        <v>538</v>
      </c>
      <c r="L1213" t="s">
        <v>603</v>
      </c>
      <c r="M1213" t="s">
        <v>618</v>
      </c>
      <c r="N1213" t="s">
        <v>601</v>
      </c>
    </row>
    <row r="1214" spans="1:14" x14ac:dyDescent="0.25">
      <c r="A1214" t="s">
        <v>50</v>
      </c>
      <c r="B1214" t="s">
        <v>175</v>
      </c>
      <c r="C1214" t="s">
        <v>324</v>
      </c>
      <c r="D1214" t="s">
        <v>425</v>
      </c>
      <c r="F1214" t="s">
        <v>443</v>
      </c>
      <c r="G1214" t="str">
        <f>HYPERLINK("https://ca.linkedin.com/jobs/view/senior-data-analyst-toronto-on-at-ssense-3369567279?refId=HhWu0Fp10rXT0RsnN%2FEKxQ%3D%3D&amp;trackingId=7C8eNQLMI%2Fy4l9xTNxPVLg%3D%3D&amp;position=18&amp;pageNum=0&amp;trk=public_jobs_jserp-result_search-card", "Job Link")</f>
        <v>Job Link</v>
      </c>
      <c r="H1214" t="s">
        <v>478</v>
      </c>
      <c r="I1214" t="s">
        <v>481</v>
      </c>
      <c r="J1214" t="s">
        <v>486</v>
      </c>
      <c r="K1214" t="s">
        <v>550</v>
      </c>
      <c r="L1214" t="s">
        <v>582</v>
      </c>
      <c r="M1214" t="s">
        <v>588</v>
      </c>
      <c r="N1214" t="s">
        <v>601</v>
      </c>
    </row>
    <row r="1215" spans="1:14" x14ac:dyDescent="0.25">
      <c r="A1215" t="s">
        <v>51</v>
      </c>
      <c r="B1215" t="s">
        <v>175</v>
      </c>
      <c r="C1215" t="s">
        <v>325</v>
      </c>
      <c r="D1215" t="s">
        <v>425</v>
      </c>
      <c r="F1215" t="s">
        <v>443</v>
      </c>
      <c r="G1215" t="str">
        <f>HYPERLINK("https://ca.linkedin.com/jobs/view/senior-data-analyst-analytics-insights-toronto-on-at-ssense-3369558722?refId=HhWu0Fp10rXT0RsnN%2FEKxQ%3D%3D&amp;trackingId=n8jSY2wP2nvhL8Ty5S4h0w%3D%3D&amp;position=19&amp;pageNum=0&amp;trk=public_jobs_jserp-result_search-card", "Job Link")</f>
        <v>Job Link</v>
      </c>
      <c r="H1215" t="s">
        <v>478</v>
      </c>
      <c r="I1215" t="s">
        <v>481</v>
      </c>
      <c r="J1215" t="s">
        <v>491</v>
      </c>
      <c r="K1215" t="s">
        <v>550</v>
      </c>
      <c r="L1215" t="s">
        <v>582</v>
      </c>
      <c r="M1215" t="s">
        <v>588</v>
      </c>
      <c r="N1215" t="s">
        <v>601</v>
      </c>
    </row>
    <row r="1216" spans="1:14" x14ac:dyDescent="0.25">
      <c r="A1216" t="s">
        <v>51</v>
      </c>
      <c r="B1216" t="s">
        <v>175</v>
      </c>
      <c r="C1216" t="s">
        <v>325</v>
      </c>
      <c r="D1216" t="s">
        <v>425</v>
      </c>
      <c r="F1216" t="s">
        <v>443</v>
      </c>
      <c r="G1216" t="str">
        <f>HYPERLINK("https://ca.linkedin.com/jobs/view/senior-data-analyst-analytics-insights-toronto-on-at-ssense-3369560180?refId=HhWu0Fp10rXT0RsnN%2FEKxQ%3D%3D&amp;trackingId=r5nAlra2WL4SBxxPNkgO%2BQ%3D%3D&amp;position=20&amp;pageNum=0&amp;trk=public_jobs_jserp-result_search-card", "Job Link")</f>
        <v>Job Link</v>
      </c>
      <c r="H1216" t="s">
        <v>478</v>
      </c>
      <c r="I1216" t="s">
        <v>481</v>
      </c>
      <c r="J1216" t="s">
        <v>491</v>
      </c>
      <c r="K1216" t="s">
        <v>550</v>
      </c>
      <c r="L1216" t="s">
        <v>582</v>
      </c>
      <c r="M1216" t="s">
        <v>588</v>
      </c>
      <c r="N1216" t="s">
        <v>601</v>
      </c>
    </row>
    <row r="1217" spans="1:14" x14ac:dyDescent="0.25">
      <c r="A1217" t="s">
        <v>27</v>
      </c>
      <c r="B1217" t="s">
        <v>176</v>
      </c>
      <c r="C1217" t="s">
        <v>326</v>
      </c>
      <c r="D1217" t="s">
        <v>425</v>
      </c>
      <c r="F1217" t="s">
        <v>441</v>
      </c>
      <c r="G1217" t="str">
        <f>HYPERLINK("https://ca.linkedin.com/jobs/view/sr-data-analyst-at-telus-international-digital-solutions-3331944226?refId=HhWu0Fp10rXT0RsnN%2FEKxQ%3D%3D&amp;trackingId=e6KblxconSV5VkEQMilRdg%3D%3D&amp;position=21&amp;pageNum=0&amp;trk=public_jobs_jserp-result_search-card", "Job Link")</f>
        <v>Job Link</v>
      </c>
      <c r="H1217" t="s">
        <v>478</v>
      </c>
      <c r="I1217" t="s">
        <v>481</v>
      </c>
      <c r="J1217" t="s">
        <v>498</v>
      </c>
      <c r="K1217" t="s">
        <v>521</v>
      </c>
      <c r="L1217" t="s">
        <v>604</v>
      </c>
      <c r="M1217" t="s">
        <v>618</v>
      </c>
      <c r="N1217" t="s">
        <v>601</v>
      </c>
    </row>
    <row r="1218" spans="1:14" x14ac:dyDescent="0.25">
      <c r="A1218" t="s">
        <v>20</v>
      </c>
      <c r="B1218" t="s">
        <v>175</v>
      </c>
      <c r="C1218" t="s">
        <v>324</v>
      </c>
      <c r="D1218" t="s">
        <v>425</v>
      </c>
      <c r="F1218" t="s">
        <v>446</v>
      </c>
      <c r="G1218" t="str">
        <f>HYPERLINK("https://ca.linkedin.com/jobs/view/senior-data-analyst-at-ssense-3342165774?refId=HhWu0Fp10rXT0RsnN%2FEKxQ%3D%3D&amp;trackingId=jaH7OcVCA9EG6PRsC14HPg%3D%3D&amp;position=22&amp;pageNum=0&amp;trk=public_jobs_jserp-result_search-card", "Job Link")</f>
        <v>Job Link</v>
      </c>
      <c r="H1218" t="s">
        <v>478</v>
      </c>
      <c r="I1218" t="s">
        <v>481</v>
      </c>
      <c r="J1218" t="s">
        <v>486</v>
      </c>
      <c r="K1218" t="s">
        <v>550</v>
      </c>
      <c r="L1218" t="s">
        <v>605</v>
      </c>
      <c r="M1218" t="s">
        <v>617</v>
      </c>
      <c r="N1218" t="s">
        <v>601</v>
      </c>
    </row>
    <row r="1219" spans="1:14" x14ac:dyDescent="0.25">
      <c r="A1219" t="s">
        <v>14</v>
      </c>
      <c r="B1219" t="s">
        <v>158</v>
      </c>
      <c r="C1219" t="s">
        <v>307</v>
      </c>
      <c r="D1219" t="s">
        <v>425</v>
      </c>
      <c r="F1219" t="s">
        <v>430</v>
      </c>
      <c r="G1219" t="str">
        <f>HYPERLINK("https://ca.linkedin.com/jobs/view/data-analyst-at-empire-life-3324608289?refId=0EQkcXvaIBjeTAE7tU4J7A%3D%3D&amp;trackingId=LQ62rRmm1ieAbTJGVczBKQ%3D%3D&amp;position=1&amp;pageNum=0&amp;trk=public_jobs_jserp-result_search-card", "Job Link")</f>
        <v>Job Link</v>
      </c>
      <c r="H1219" t="s">
        <v>476</v>
      </c>
      <c r="I1219" t="s">
        <v>481</v>
      </c>
      <c r="J1219" t="s">
        <v>485</v>
      </c>
      <c r="K1219" t="s">
        <v>523</v>
      </c>
      <c r="L1219" t="s">
        <v>601</v>
      </c>
    </row>
    <row r="1220" spans="1:14" x14ac:dyDescent="0.25">
      <c r="A1220" t="s">
        <v>40</v>
      </c>
      <c r="B1220" t="s">
        <v>159</v>
      </c>
      <c r="C1220" t="s">
        <v>308</v>
      </c>
      <c r="D1220" t="s">
        <v>425</v>
      </c>
      <c r="F1220" t="s">
        <v>435</v>
      </c>
      <c r="G1220" t="str">
        <f>HYPERLINK("https://ca.linkedin.com/jobs/view/data-visualization-developer-analyst-at-blue-boat-data-3335318133?refId=0EQkcXvaIBjeTAE7tU4J7A%3D%3D&amp;trackingId=NoVpwnmeujER1YLDdg%2Bj4w%3D%3D&amp;position=2&amp;pageNum=0&amp;trk=public_jobs_jserp-result_search-card", "Job Link")</f>
        <v>Job Link</v>
      </c>
      <c r="I1220" t="s">
        <v>483</v>
      </c>
      <c r="L1220" t="s">
        <v>601</v>
      </c>
    </row>
    <row r="1221" spans="1:14" x14ac:dyDescent="0.25">
      <c r="A1221" t="s">
        <v>14</v>
      </c>
      <c r="B1221" t="s">
        <v>160</v>
      </c>
      <c r="C1221" t="s">
        <v>309</v>
      </c>
      <c r="D1221" t="s">
        <v>425</v>
      </c>
      <c r="E1221" t="s">
        <v>427</v>
      </c>
      <c r="F1221" t="s">
        <v>458</v>
      </c>
      <c r="G1221" t="str">
        <f>HYPERLINK("https://ca.linkedin.com/jobs/view/data-analyst-at-libitzky-property-companies-3314494593?refId=0EQkcXvaIBjeTAE7tU4J7A%3D%3D&amp;trackingId=FwqJm7U%2FoKMkhYYth%2FZP%2BA%3D%3D&amp;position=3&amp;pageNum=0&amp;trk=public_jobs_jserp-result_search-card", "Job Link")</f>
        <v>Job Link</v>
      </c>
      <c r="H1221" t="s">
        <v>476</v>
      </c>
      <c r="I1221" t="s">
        <v>481</v>
      </c>
      <c r="J1221" t="s">
        <v>486</v>
      </c>
      <c r="K1221" t="s">
        <v>516</v>
      </c>
      <c r="L1221" t="s">
        <v>601</v>
      </c>
    </row>
    <row r="1222" spans="1:14" x14ac:dyDescent="0.25">
      <c r="A1222" t="s">
        <v>14</v>
      </c>
      <c r="B1222" t="s">
        <v>161</v>
      </c>
      <c r="C1222" t="s">
        <v>310</v>
      </c>
      <c r="D1222" t="s">
        <v>425</v>
      </c>
      <c r="F1222" t="s">
        <v>435</v>
      </c>
      <c r="G1222" t="str">
        <f>HYPERLINK("https://ca.linkedin.com/jobs/view/data-analyst-at-spire-3340696458?refId=0EQkcXvaIBjeTAE7tU4J7A%3D%3D&amp;trackingId=Fxod%2FmgsjsX03JLgAT5Rxw%3D%3D&amp;position=4&amp;pageNum=0&amp;trk=public_jobs_jserp-result_search-card", "Job Link")</f>
        <v>Job Link</v>
      </c>
      <c r="H1222" t="s">
        <v>476</v>
      </c>
      <c r="I1222" t="s">
        <v>481</v>
      </c>
      <c r="J1222" t="s">
        <v>486</v>
      </c>
      <c r="K1222" t="s">
        <v>517</v>
      </c>
      <c r="L1222" t="s">
        <v>602</v>
      </c>
      <c r="M1222" t="s">
        <v>588</v>
      </c>
      <c r="N1222" t="s">
        <v>601</v>
      </c>
    </row>
    <row r="1223" spans="1:14" x14ac:dyDescent="0.25">
      <c r="A1223" t="s">
        <v>14</v>
      </c>
      <c r="B1223" t="s">
        <v>163</v>
      </c>
      <c r="C1223" t="s">
        <v>312</v>
      </c>
      <c r="D1223" t="s">
        <v>425</v>
      </c>
      <c r="F1223" t="s">
        <v>443</v>
      </c>
      <c r="G1223" t="str">
        <f>HYPERLINK("https://ca.linkedin.com/jobs/view/data-analyst-at-mojio-3363472062?refId=0EQkcXvaIBjeTAE7tU4J7A%3D%3D&amp;trackingId=%2F1u589%2FpqKOuuTqrNjQ1%2BQ%3D%3D&amp;position=5&amp;pageNum=0&amp;trk=public_jobs_jserp-result_search-card", "Job Link")</f>
        <v>Job Link</v>
      </c>
      <c r="H1223" t="s">
        <v>478</v>
      </c>
      <c r="I1223" t="s">
        <v>481</v>
      </c>
      <c r="J1223" t="s">
        <v>493</v>
      </c>
      <c r="K1223" t="s">
        <v>544</v>
      </c>
      <c r="L1223" t="s">
        <v>601</v>
      </c>
    </row>
    <row r="1224" spans="1:14" x14ac:dyDescent="0.25">
      <c r="A1224" t="s">
        <v>41</v>
      </c>
      <c r="B1224" t="s">
        <v>164</v>
      </c>
      <c r="C1224" t="s">
        <v>313</v>
      </c>
      <c r="D1224" t="s">
        <v>425</v>
      </c>
      <c r="F1224" t="s">
        <v>444</v>
      </c>
      <c r="G1224" t="str">
        <f>HYPERLINK("https://ca.linkedin.com/jobs/view/product-data-analyst-at-pdftron-systems-inc-3322845144?refId=0EQkcXvaIBjeTAE7tU4J7A%3D%3D&amp;trackingId=1YvuQ%2Bdd9nWErt5mdi2Gig%3D%3D&amp;position=6&amp;pageNum=0&amp;trk=public_jobs_jserp-result_search-card", "Job Link")</f>
        <v>Job Link</v>
      </c>
      <c r="H1224" t="s">
        <v>479</v>
      </c>
      <c r="I1224" t="s">
        <v>481</v>
      </c>
      <c r="J1224" t="s">
        <v>487</v>
      </c>
      <c r="K1224" t="s">
        <v>538</v>
      </c>
      <c r="L1224" t="s">
        <v>590</v>
      </c>
      <c r="M1224" t="s">
        <v>618</v>
      </c>
      <c r="N1224" t="s">
        <v>601</v>
      </c>
    </row>
    <row r="1225" spans="1:14" x14ac:dyDescent="0.25">
      <c r="A1225" t="s">
        <v>42</v>
      </c>
      <c r="B1225" t="s">
        <v>165</v>
      </c>
      <c r="C1225" t="s">
        <v>314</v>
      </c>
      <c r="D1225" t="s">
        <v>425</v>
      </c>
      <c r="F1225" t="s">
        <v>459</v>
      </c>
      <c r="G1225" t="str">
        <f>HYPERLINK("https://ca.linkedin.com/jobs/view/cognitive-data-analyst-at-wysdom-ai-3333087497?refId=0EQkcXvaIBjeTAE7tU4J7A%3D%3D&amp;trackingId=ZxsJrZwEv2ulTiXotEZv4Q%3D%3D&amp;position=7&amp;pageNum=0&amp;trk=public_jobs_jserp-result_search-card", "Job Link")</f>
        <v>Job Link</v>
      </c>
      <c r="H1225" t="s">
        <v>478</v>
      </c>
      <c r="I1225" t="s">
        <v>481</v>
      </c>
      <c r="J1225" t="s">
        <v>486</v>
      </c>
      <c r="K1225" t="s">
        <v>516</v>
      </c>
      <c r="L1225" t="s">
        <v>601</v>
      </c>
    </row>
    <row r="1226" spans="1:14" x14ac:dyDescent="0.25">
      <c r="A1226" t="s">
        <v>14</v>
      </c>
      <c r="B1226" t="s">
        <v>162</v>
      </c>
      <c r="C1226" t="s">
        <v>311</v>
      </c>
      <c r="D1226" t="s">
        <v>425</v>
      </c>
      <c r="F1226" t="s">
        <v>434</v>
      </c>
      <c r="G1226" t="str">
        <f>HYPERLINK("https://ca.linkedin.com/jobs/view/data-analyst-at-money-mart-financial-services-3361528052?refId=0EQkcXvaIBjeTAE7tU4J7A%3D%3D&amp;trackingId=D44aWv6oM5N6QwTFECR7vg%3D%3D&amp;position=8&amp;pageNum=0&amp;trk=public_jobs_jserp-result_search-card", "Job Link")</f>
        <v>Job Link</v>
      </c>
      <c r="H1226" t="s">
        <v>477</v>
      </c>
      <c r="I1226" t="s">
        <v>481</v>
      </c>
      <c r="J1226" t="s">
        <v>488</v>
      </c>
      <c r="K1226" t="s">
        <v>527</v>
      </c>
      <c r="L1226" t="s">
        <v>582</v>
      </c>
      <c r="M1226" t="s">
        <v>588</v>
      </c>
      <c r="N1226" t="s">
        <v>601</v>
      </c>
    </row>
    <row r="1227" spans="1:14" x14ac:dyDescent="0.25">
      <c r="A1227" t="s">
        <v>44</v>
      </c>
      <c r="B1227" t="s">
        <v>167</v>
      </c>
      <c r="C1227" t="s">
        <v>316</v>
      </c>
      <c r="D1227" t="s">
        <v>425</v>
      </c>
      <c r="F1227" t="s">
        <v>460</v>
      </c>
      <c r="G1227" t="str">
        <f>HYPERLINK("https://ca.linkedin.com/jobs/view/data-analyst-marketing-at-thescore-3272474942?refId=0EQkcXvaIBjeTAE7tU4J7A%3D%3D&amp;trackingId=4asM%2FPBEDPQtqtzWXRTOdQ%3D%3D&amp;position=9&amp;pageNum=0&amp;trk=public_jobs_jserp-result_search-card", "Job Link")</f>
        <v>Job Link</v>
      </c>
      <c r="H1227" t="s">
        <v>476</v>
      </c>
      <c r="I1227" t="s">
        <v>481</v>
      </c>
      <c r="J1227" t="s">
        <v>486</v>
      </c>
      <c r="K1227" t="s">
        <v>545</v>
      </c>
      <c r="L1227" t="s">
        <v>582</v>
      </c>
      <c r="M1227" t="s">
        <v>588</v>
      </c>
      <c r="N1227" t="s">
        <v>601</v>
      </c>
    </row>
    <row r="1228" spans="1:14" x14ac:dyDescent="0.25">
      <c r="A1228" t="s">
        <v>45</v>
      </c>
      <c r="B1228" t="s">
        <v>168</v>
      </c>
      <c r="C1228" t="s">
        <v>317</v>
      </c>
      <c r="D1228" t="s">
        <v>425</v>
      </c>
      <c r="F1228" t="s">
        <v>443</v>
      </c>
      <c r="G1228" t="str">
        <f>HYPERLINK("https://ca.linkedin.com/jobs/view/senior-data-analyst-apac-marketplace-at-hopper-3363404929?refId=0EQkcXvaIBjeTAE7tU4J7A%3D%3D&amp;trackingId=lfxuUvBK17Dykk7jFEJIZg%3D%3D&amp;position=10&amp;pageNum=0&amp;trk=public_jobs_jserp-result_search-card", "Job Link")</f>
        <v>Job Link</v>
      </c>
      <c r="H1228" t="s">
        <v>478</v>
      </c>
      <c r="I1228" t="s">
        <v>485</v>
      </c>
      <c r="J1228" t="s">
        <v>486</v>
      </c>
      <c r="K1228" t="s">
        <v>538</v>
      </c>
      <c r="L1228" t="s">
        <v>601</v>
      </c>
    </row>
    <row r="1229" spans="1:14" x14ac:dyDescent="0.25">
      <c r="A1229" t="s">
        <v>46</v>
      </c>
      <c r="B1229" t="s">
        <v>169</v>
      </c>
      <c r="C1229" t="s">
        <v>318</v>
      </c>
      <c r="D1229" t="s">
        <v>425</v>
      </c>
      <c r="F1229" t="s">
        <v>461</v>
      </c>
      <c r="G1229">
        <v>0</v>
      </c>
      <c r="H1229" t="s">
        <v>478</v>
      </c>
      <c r="I1229" t="s">
        <v>481</v>
      </c>
      <c r="J1229" t="s">
        <v>494</v>
      </c>
      <c r="K1229" t="s">
        <v>546</v>
      </c>
      <c r="L1229" t="s">
        <v>601</v>
      </c>
    </row>
    <row r="1230" spans="1:14" x14ac:dyDescent="0.25">
      <c r="A1230" t="s">
        <v>20</v>
      </c>
      <c r="B1230" t="s">
        <v>170</v>
      </c>
      <c r="C1230" t="s">
        <v>319</v>
      </c>
      <c r="D1230" t="s">
        <v>425</v>
      </c>
      <c r="F1230" t="s">
        <v>450</v>
      </c>
      <c r="G1230" t="str">
        <f>HYPERLINK("https://ca.linkedin.com/jobs/view/senior-data-analyst-at-thinkific-3333572538?refId=0EQkcXvaIBjeTAE7tU4J7A%3D%3D&amp;trackingId=%2FT1CeDwmehCMUL%2ByEF69sg%3D%3D&amp;position=12&amp;pageNum=0&amp;trk=public_jobs_jserp-result_search-card", "Job Link")</f>
        <v>Job Link</v>
      </c>
      <c r="H1230" t="s">
        <v>478</v>
      </c>
      <c r="I1230" t="s">
        <v>481</v>
      </c>
      <c r="J1230" t="s">
        <v>495</v>
      </c>
      <c r="K1230" t="s">
        <v>547</v>
      </c>
      <c r="L1230" t="s">
        <v>601</v>
      </c>
    </row>
    <row r="1231" spans="1:14" x14ac:dyDescent="0.25">
      <c r="A1231" t="s">
        <v>47</v>
      </c>
      <c r="B1231" t="s">
        <v>171</v>
      </c>
      <c r="C1231" t="s">
        <v>320</v>
      </c>
      <c r="D1231" t="s">
        <v>425</v>
      </c>
      <c r="F1231" t="s">
        <v>447</v>
      </c>
      <c r="G1231" t="str">
        <f>HYPERLINK("https://ca.linkedin.com/jobs/view/insights-analyst-at-flashfood-3312876343?refId=0EQkcXvaIBjeTAE7tU4J7A%3D%3D&amp;trackingId=zXIX1ttjcpBVKGZhIf89Bw%3D%3D&amp;position=13&amp;pageNum=0&amp;trk=public_jobs_jserp-result_search-card", "Job Link")</f>
        <v>Job Link</v>
      </c>
      <c r="I1231" t="s">
        <v>481</v>
      </c>
      <c r="L1231" t="s">
        <v>601</v>
      </c>
    </row>
    <row r="1232" spans="1:14" x14ac:dyDescent="0.25">
      <c r="A1232" t="s">
        <v>20</v>
      </c>
      <c r="B1232" t="s">
        <v>172</v>
      </c>
      <c r="C1232" t="s">
        <v>321</v>
      </c>
      <c r="D1232" t="s">
        <v>425</v>
      </c>
      <c r="F1232" t="s">
        <v>438</v>
      </c>
      <c r="G1232" t="str">
        <f>HYPERLINK("https://ca.linkedin.com/jobs/view/senior-data-analyst-at-system1-3324728130?refId=0EQkcXvaIBjeTAE7tU4J7A%3D%3D&amp;trackingId=%2FJrJKihZwzaoZqKTMgCxHQ%3D%3D&amp;position=14&amp;pageNum=0&amp;trk=public_jobs_jserp-result_search-card", "Job Link")</f>
        <v>Job Link</v>
      </c>
      <c r="H1232" t="s">
        <v>478</v>
      </c>
      <c r="I1232" t="s">
        <v>481</v>
      </c>
      <c r="J1232" t="s">
        <v>486</v>
      </c>
      <c r="K1232" t="s">
        <v>548</v>
      </c>
      <c r="L1232" t="s">
        <v>587</v>
      </c>
      <c r="M1232" t="s">
        <v>588</v>
      </c>
      <c r="N1232" t="s">
        <v>601</v>
      </c>
    </row>
    <row r="1233" spans="1:14" x14ac:dyDescent="0.25">
      <c r="A1233" t="s">
        <v>48</v>
      </c>
      <c r="B1233" t="s">
        <v>173</v>
      </c>
      <c r="C1233" t="s">
        <v>322</v>
      </c>
      <c r="D1233" t="s">
        <v>425</v>
      </c>
      <c r="F1233" t="s">
        <v>462</v>
      </c>
      <c r="G1233" t="str">
        <f>HYPERLINK("https://ca.linkedin.com/jobs/view/data-analyst-trilogy-remote-%2460-000-year-usd-at-crossover-3367086698?refId=0EQkcXvaIBjeTAE7tU4J7A%3D%3D&amp;trackingId=d9xZ0gMLilnmyjEoWycQhg%3D%3D&amp;position=15&amp;pageNum=0&amp;trk=public_jobs_jserp-result_search-card", "Job Link")</f>
        <v>Job Link</v>
      </c>
      <c r="H1233" t="s">
        <v>477</v>
      </c>
      <c r="I1233" t="s">
        <v>481</v>
      </c>
      <c r="J1233" t="s">
        <v>496</v>
      </c>
      <c r="K1233" t="s">
        <v>549</v>
      </c>
      <c r="L1233" t="s">
        <v>582</v>
      </c>
      <c r="M1233" t="s">
        <v>588</v>
      </c>
      <c r="N1233" t="s">
        <v>601</v>
      </c>
    </row>
    <row r="1234" spans="1:14" x14ac:dyDescent="0.25">
      <c r="A1234" t="s">
        <v>49</v>
      </c>
      <c r="B1234" t="s">
        <v>174</v>
      </c>
      <c r="C1234" t="s">
        <v>323</v>
      </c>
      <c r="D1234" t="s">
        <v>425</v>
      </c>
      <c r="F1234" t="s">
        <v>433</v>
      </c>
      <c r="G1234" t="str">
        <f>HYPERLINK("https://ca.linkedin.com/jobs/view/product-data-analyst-wtfast-at-blankslate-partners-3350561493?refId=0EQkcXvaIBjeTAE7tU4J7A%3D%3D&amp;trackingId=xGd41xnLBEcO2Os84z95PA%3D%3D&amp;position=16&amp;pageNum=0&amp;trk=public_jobs_jserp-result_search-card", "Job Link")</f>
        <v>Job Link</v>
      </c>
      <c r="H1234" t="s">
        <v>479</v>
      </c>
      <c r="I1234" t="s">
        <v>481</v>
      </c>
      <c r="J1234" t="s">
        <v>497</v>
      </c>
      <c r="K1234" t="s">
        <v>538</v>
      </c>
      <c r="L1234" t="s">
        <v>603</v>
      </c>
      <c r="M1234" t="s">
        <v>618</v>
      </c>
      <c r="N1234" t="s">
        <v>601</v>
      </c>
    </row>
    <row r="1235" spans="1:14" x14ac:dyDescent="0.25">
      <c r="A1235" t="s">
        <v>50</v>
      </c>
      <c r="B1235" t="s">
        <v>175</v>
      </c>
      <c r="C1235" t="s">
        <v>324</v>
      </c>
      <c r="D1235" t="s">
        <v>425</v>
      </c>
      <c r="F1235" t="s">
        <v>443</v>
      </c>
      <c r="G1235" t="str">
        <f>HYPERLINK("https://ca.linkedin.com/jobs/view/senior-data-analyst-toronto-on-at-ssense-3369567279?refId=0EQkcXvaIBjeTAE7tU4J7A%3D%3D&amp;trackingId=4ntLEbgRc0ktshoG95nc%2BQ%3D%3D&amp;position=17&amp;pageNum=0&amp;trk=public_jobs_jserp-result_search-card", "Job Link")</f>
        <v>Job Link</v>
      </c>
      <c r="H1235" t="s">
        <v>478</v>
      </c>
      <c r="I1235" t="s">
        <v>481</v>
      </c>
      <c r="J1235" t="s">
        <v>486</v>
      </c>
      <c r="K1235" t="s">
        <v>550</v>
      </c>
      <c r="L1235" t="s">
        <v>582</v>
      </c>
      <c r="M1235" t="s">
        <v>588</v>
      </c>
      <c r="N1235" t="s">
        <v>601</v>
      </c>
    </row>
    <row r="1236" spans="1:14" x14ac:dyDescent="0.25">
      <c r="A1236" t="s">
        <v>51</v>
      </c>
      <c r="B1236" t="s">
        <v>175</v>
      </c>
      <c r="C1236" t="s">
        <v>325</v>
      </c>
      <c r="D1236" t="s">
        <v>425</v>
      </c>
      <c r="F1236" t="s">
        <v>443</v>
      </c>
      <c r="G1236" t="str">
        <f>HYPERLINK("https://ca.linkedin.com/jobs/view/senior-data-analyst-analytics-insights-toronto-on-at-ssense-3369558722?refId=0EQkcXvaIBjeTAE7tU4J7A%3D%3D&amp;trackingId=y77hEj0C6Xp32PSCEaeixA%3D%3D&amp;position=18&amp;pageNum=0&amp;trk=public_jobs_jserp-result_search-card", "Job Link")</f>
        <v>Job Link</v>
      </c>
      <c r="H1236" t="s">
        <v>478</v>
      </c>
      <c r="I1236" t="s">
        <v>481</v>
      </c>
      <c r="J1236" t="s">
        <v>491</v>
      </c>
      <c r="K1236" t="s">
        <v>550</v>
      </c>
      <c r="L1236" t="s">
        <v>582</v>
      </c>
      <c r="M1236" t="s">
        <v>588</v>
      </c>
      <c r="N1236" t="s">
        <v>601</v>
      </c>
    </row>
    <row r="1237" spans="1:14" x14ac:dyDescent="0.25">
      <c r="A1237" t="s">
        <v>51</v>
      </c>
      <c r="B1237" t="s">
        <v>175</v>
      </c>
      <c r="C1237" t="s">
        <v>325</v>
      </c>
      <c r="D1237" t="s">
        <v>425</v>
      </c>
      <c r="F1237" t="s">
        <v>443</v>
      </c>
      <c r="G1237" t="str">
        <f>HYPERLINK("https://ca.linkedin.com/jobs/view/senior-data-analyst-analytics-insights-toronto-on-at-ssense-3369560180?refId=0EQkcXvaIBjeTAE7tU4J7A%3D%3D&amp;trackingId=jRZVti8aSXAHns1wjcJuCQ%3D%3D&amp;position=19&amp;pageNum=0&amp;trk=public_jobs_jserp-result_search-card", "Job Link")</f>
        <v>Job Link</v>
      </c>
      <c r="H1237" t="s">
        <v>478</v>
      </c>
      <c r="I1237" t="s">
        <v>481</v>
      </c>
      <c r="J1237" t="s">
        <v>491</v>
      </c>
      <c r="K1237" t="s">
        <v>550</v>
      </c>
      <c r="L1237" t="s">
        <v>582</v>
      </c>
      <c r="M1237" t="s">
        <v>588</v>
      </c>
      <c r="N1237" t="s">
        <v>601</v>
      </c>
    </row>
    <row r="1238" spans="1:14" x14ac:dyDescent="0.25">
      <c r="A1238" t="s">
        <v>27</v>
      </c>
      <c r="B1238" t="s">
        <v>176</v>
      </c>
      <c r="C1238" t="s">
        <v>326</v>
      </c>
      <c r="D1238" t="s">
        <v>425</v>
      </c>
      <c r="F1238" t="s">
        <v>441</v>
      </c>
      <c r="G1238" t="str">
        <f>HYPERLINK("https://ca.linkedin.com/jobs/view/sr-data-analyst-at-telus-international-digital-solutions-3331944226?refId=0EQkcXvaIBjeTAE7tU4J7A%3D%3D&amp;trackingId=Qabza5%2F6WI4ZuWlCanKprA%3D%3D&amp;position=20&amp;pageNum=0&amp;trk=public_jobs_jserp-result_search-card", "Job Link")</f>
        <v>Job Link</v>
      </c>
      <c r="H1238" t="s">
        <v>478</v>
      </c>
      <c r="I1238" t="s">
        <v>481</v>
      </c>
      <c r="J1238" t="s">
        <v>498</v>
      </c>
      <c r="K1238" t="s">
        <v>521</v>
      </c>
      <c r="L1238" t="s">
        <v>604</v>
      </c>
      <c r="M1238" t="s">
        <v>618</v>
      </c>
      <c r="N1238" t="s">
        <v>601</v>
      </c>
    </row>
    <row r="1239" spans="1:14" x14ac:dyDescent="0.25">
      <c r="A1239" t="s">
        <v>20</v>
      </c>
      <c r="B1239" t="s">
        <v>175</v>
      </c>
      <c r="C1239" t="s">
        <v>324</v>
      </c>
      <c r="D1239" t="s">
        <v>425</v>
      </c>
      <c r="F1239" t="s">
        <v>446</v>
      </c>
      <c r="G1239" t="str">
        <f>HYPERLINK("https://ca.linkedin.com/jobs/view/senior-data-analyst-at-ssense-3342165774?refId=0EQkcXvaIBjeTAE7tU4J7A%3D%3D&amp;trackingId=UgoXN7ojpARVnq4Ss6%2F3Gw%3D%3D&amp;position=21&amp;pageNum=0&amp;trk=public_jobs_jserp-result_search-card", "Job Link")</f>
        <v>Job Link</v>
      </c>
      <c r="H1239" t="s">
        <v>478</v>
      </c>
      <c r="I1239" t="s">
        <v>481</v>
      </c>
      <c r="J1239" t="s">
        <v>486</v>
      </c>
      <c r="K1239" t="s">
        <v>550</v>
      </c>
      <c r="L1239" t="s">
        <v>605</v>
      </c>
      <c r="M1239" t="s">
        <v>617</v>
      </c>
      <c r="N1239" t="s">
        <v>601</v>
      </c>
    </row>
    <row r="1240" spans="1:14" x14ac:dyDescent="0.25">
      <c r="A1240" t="s">
        <v>53</v>
      </c>
      <c r="B1240" t="s">
        <v>177</v>
      </c>
      <c r="C1240" t="s">
        <v>328</v>
      </c>
      <c r="D1240" t="s">
        <v>425</v>
      </c>
      <c r="F1240" t="s">
        <v>454</v>
      </c>
      <c r="G1240" t="str">
        <f>HYPERLINK("https://ca.linkedin.com/jobs/view/gaming-data-analyst-at-insight-global-3338526926?refId=0EQkcXvaIBjeTAE7tU4J7A%3D%3D&amp;trackingId=xbHX2QP5pGeM7%2Be1MM0Y3Q%3D%3D&amp;position=22&amp;pageNum=0&amp;trk=public_jobs_jserp-result_search-card", "Job Link")</f>
        <v>Job Link</v>
      </c>
      <c r="H1240" t="s">
        <v>478</v>
      </c>
      <c r="I1240" t="s">
        <v>483</v>
      </c>
      <c r="J1240" t="s">
        <v>486</v>
      </c>
      <c r="K1240" t="s">
        <v>518</v>
      </c>
      <c r="L1240" t="s">
        <v>601</v>
      </c>
    </row>
    <row r="1241" spans="1:14" x14ac:dyDescent="0.25">
      <c r="A1241" t="s">
        <v>14</v>
      </c>
      <c r="B1241" t="s">
        <v>158</v>
      </c>
      <c r="C1241" t="s">
        <v>307</v>
      </c>
      <c r="D1241" t="s">
        <v>425</v>
      </c>
      <c r="F1241" t="s">
        <v>430</v>
      </c>
      <c r="G1241" t="str">
        <f>HYPERLINK("https://ca.linkedin.com/jobs/view/data-analyst-at-empire-life-3324608289?refId=ZCYIfgTv0qLIl98LhGG%2F1A%3D%3D&amp;trackingId=UwuYqQ8hNSXpM6ARD6ApFA%3D%3D&amp;position=1&amp;pageNum=0&amp;trk=public_jobs_jserp-result_search-card", "Job Link")</f>
        <v>Job Link</v>
      </c>
      <c r="H1241" t="s">
        <v>476</v>
      </c>
      <c r="I1241" t="s">
        <v>481</v>
      </c>
      <c r="J1241" t="s">
        <v>485</v>
      </c>
      <c r="K1241" t="s">
        <v>523</v>
      </c>
      <c r="L1241" t="s">
        <v>601</v>
      </c>
    </row>
    <row r="1242" spans="1:14" x14ac:dyDescent="0.25">
      <c r="A1242" t="s">
        <v>40</v>
      </c>
      <c r="B1242" t="s">
        <v>159</v>
      </c>
      <c r="C1242" t="s">
        <v>308</v>
      </c>
      <c r="D1242" t="s">
        <v>425</v>
      </c>
      <c r="F1242" t="s">
        <v>435</v>
      </c>
      <c r="G1242" t="str">
        <f>HYPERLINK("https://ca.linkedin.com/jobs/view/data-visualization-developer-analyst-at-blue-boat-data-3335318133?refId=ZCYIfgTv0qLIl98LhGG%2F1A%3D%3D&amp;trackingId=tDcR%2F1qrA2lUfjBUtVS2NQ%3D%3D&amp;position=2&amp;pageNum=0&amp;trk=public_jobs_jserp-result_search-card", "Job Link")</f>
        <v>Job Link</v>
      </c>
      <c r="I1242" t="s">
        <v>483</v>
      </c>
      <c r="L1242" t="s">
        <v>601</v>
      </c>
    </row>
    <row r="1243" spans="1:14" x14ac:dyDescent="0.25">
      <c r="A1243" t="s">
        <v>14</v>
      </c>
      <c r="B1243" t="s">
        <v>160</v>
      </c>
      <c r="C1243" t="s">
        <v>309</v>
      </c>
      <c r="D1243" t="s">
        <v>425</v>
      </c>
      <c r="E1243" t="s">
        <v>427</v>
      </c>
      <c r="F1243" t="s">
        <v>458</v>
      </c>
      <c r="G1243" t="str">
        <f>HYPERLINK("https://ca.linkedin.com/jobs/view/data-analyst-at-libitzky-property-companies-3314494593?refId=ZCYIfgTv0qLIl98LhGG%2F1A%3D%3D&amp;trackingId=tBdAJvGLtAJkc78%2F15UtMQ%3D%3D&amp;position=3&amp;pageNum=0&amp;trk=public_jobs_jserp-result_search-card", "Job Link")</f>
        <v>Job Link</v>
      </c>
      <c r="H1243" t="s">
        <v>476</v>
      </c>
      <c r="I1243" t="s">
        <v>481</v>
      </c>
      <c r="J1243" t="s">
        <v>486</v>
      </c>
      <c r="K1243" t="s">
        <v>516</v>
      </c>
      <c r="L1243" t="s">
        <v>601</v>
      </c>
    </row>
    <row r="1244" spans="1:14" x14ac:dyDescent="0.25">
      <c r="A1244" t="s">
        <v>14</v>
      </c>
      <c r="B1244" t="s">
        <v>161</v>
      </c>
      <c r="C1244" t="s">
        <v>310</v>
      </c>
      <c r="D1244" t="s">
        <v>425</v>
      </c>
      <c r="F1244" t="s">
        <v>435</v>
      </c>
      <c r="G1244" t="str">
        <f>HYPERLINK("https://ca.linkedin.com/jobs/view/data-analyst-at-spire-3340696458?refId=ZCYIfgTv0qLIl98LhGG%2F1A%3D%3D&amp;trackingId=SfPcoutPG2BD9jMZEsaZag%3D%3D&amp;position=4&amp;pageNum=0&amp;trk=public_jobs_jserp-result_search-card", "Job Link")</f>
        <v>Job Link</v>
      </c>
      <c r="H1244" t="s">
        <v>476</v>
      </c>
      <c r="I1244" t="s">
        <v>481</v>
      </c>
      <c r="J1244" t="s">
        <v>486</v>
      </c>
      <c r="K1244" t="s">
        <v>517</v>
      </c>
      <c r="L1244" t="s">
        <v>602</v>
      </c>
      <c r="M1244" t="s">
        <v>588</v>
      </c>
      <c r="N1244" t="s">
        <v>601</v>
      </c>
    </row>
    <row r="1245" spans="1:14" x14ac:dyDescent="0.25">
      <c r="A1245" t="s">
        <v>14</v>
      </c>
      <c r="B1245" t="s">
        <v>163</v>
      </c>
      <c r="C1245" t="s">
        <v>312</v>
      </c>
      <c r="D1245" t="s">
        <v>425</v>
      </c>
      <c r="F1245" t="s">
        <v>443</v>
      </c>
      <c r="G1245" t="str">
        <f>HYPERLINK("https://ca.linkedin.com/jobs/view/data-analyst-at-mojio-3363472062?refId=ZCYIfgTv0qLIl98LhGG%2F1A%3D%3D&amp;trackingId=iYF6zyaBDUR%2FBYN9BvSeEA%3D%3D&amp;position=5&amp;pageNum=0&amp;trk=public_jobs_jserp-result_search-card", "Job Link")</f>
        <v>Job Link</v>
      </c>
      <c r="H1245" t="s">
        <v>478</v>
      </c>
      <c r="I1245" t="s">
        <v>481</v>
      </c>
      <c r="J1245" t="s">
        <v>493</v>
      </c>
      <c r="K1245" t="s">
        <v>544</v>
      </c>
      <c r="L1245" t="s">
        <v>601</v>
      </c>
    </row>
    <row r="1246" spans="1:14" x14ac:dyDescent="0.25">
      <c r="A1246" t="s">
        <v>41</v>
      </c>
      <c r="B1246" t="s">
        <v>164</v>
      </c>
      <c r="C1246" t="s">
        <v>313</v>
      </c>
      <c r="D1246" t="s">
        <v>425</v>
      </c>
      <c r="F1246" t="s">
        <v>444</v>
      </c>
      <c r="G1246" t="str">
        <f>HYPERLINK("https://ca.linkedin.com/jobs/view/product-data-analyst-at-pdftron-systems-inc-3322845144?refId=ZCYIfgTv0qLIl98LhGG%2F1A%3D%3D&amp;trackingId=7PgLhp0%2BcissIavUiF99ag%3D%3D&amp;position=6&amp;pageNum=0&amp;trk=public_jobs_jserp-result_search-card", "Job Link")</f>
        <v>Job Link</v>
      </c>
      <c r="H1246" t="s">
        <v>479</v>
      </c>
      <c r="I1246" t="s">
        <v>481</v>
      </c>
      <c r="J1246" t="s">
        <v>487</v>
      </c>
      <c r="K1246" t="s">
        <v>538</v>
      </c>
      <c r="L1246" t="s">
        <v>590</v>
      </c>
      <c r="M1246" t="s">
        <v>618</v>
      </c>
      <c r="N1246" t="s">
        <v>601</v>
      </c>
    </row>
    <row r="1247" spans="1:14" x14ac:dyDescent="0.25">
      <c r="A1247" t="s">
        <v>42</v>
      </c>
      <c r="B1247" t="s">
        <v>165</v>
      </c>
      <c r="C1247" t="s">
        <v>314</v>
      </c>
      <c r="D1247" t="s">
        <v>425</v>
      </c>
      <c r="F1247" t="s">
        <v>459</v>
      </c>
      <c r="G1247" t="str">
        <f>HYPERLINK("https://ca.linkedin.com/jobs/view/cognitive-data-analyst-at-wysdom-ai-3333087497?refId=ZCYIfgTv0qLIl98LhGG%2F1A%3D%3D&amp;trackingId=DqdxmhVu8y4ZtIzusRKLHA%3D%3D&amp;position=7&amp;pageNum=0&amp;trk=public_jobs_jserp-result_search-card", "Job Link")</f>
        <v>Job Link</v>
      </c>
      <c r="H1247" t="s">
        <v>478</v>
      </c>
      <c r="I1247" t="s">
        <v>481</v>
      </c>
      <c r="J1247" t="s">
        <v>486</v>
      </c>
      <c r="K1247" t="s">
        <v>516</v>
      </c>
      <c r="L1247" t="s">
        <v>601</v>
      </c>
    </row>
    <row r="1248" spans="1:14" x14ac:dyDescent="0.25">
      <c r="A1248" t="s">
        <v>43</v>
      </c>
      <c r="B1248" t="s">
        <v>166</v>
      </c>
      <c r="C1248" t="s">
        <v>315</v>
      </c>
      <c r="D1248" t="s">
        <v>425</v>
      </c>
      <c r="F1248" t="s">
        <v>432</v>
      </c>
      <c r="G1248" t="str">
        <f>HYPERLINK("https://ca.linkedin.com/jobs/view/data-analyst-operations-at-felix-3360946633?refId=ZCYIfgTv0qLIl98LhGG%2F1A%3D%3D&amp;trackingId=zlTEUW9Gg9UZivG8ZqQPLA%3D%3D&amp;position=8&amp;pageNum=0&amp;trk=public_jobs_jserp-result_search-card", "Job Link")</f>
        <v>Job Link</v>
      </c>
      <c r="I1248" t="s">
        <v>481</v>
      </c>
      <c r="L1248" t="s">
        <v>601</v>
      </c>
    </row>
    <row r="1249" spans="1:14" x14ac:dyDescent="0.25">
      <c r="A1249" t="s">
        <v>14</v>
      </c>
      <c r="B1249" t="s">
        <v>162</v>
      </c>
      <c r="C1249" t="s">
        <v>311</v>
      </c>
      <c r="D1249" t="s">
        <v>425</v>
      </c>
      <c r="F1249" t="s">
        <v>434</v>
      </c>
      <c r="G1249" t="str">
        <f>HYPERLINK("https://ca.linkedin.com/jobs/view/data-analyst-at-money-mart-financial-services-3361528052?refId=ZCYIfgTv0qLIl98LhGG%2F1A%3D%3D&amp;trackingId=pb%2BCXZc3rv6zNqxY%2BSYnfw%3D%3D&amp;position=9&amp;pageNum=0&amp;trk=public_jobs_jserp-result_search-card", "Job Link")</f>
        <v>Job Link</v>
      </c>
      <c r="H1249" t="s">
        <v>477</v>
      </c>
      <c r="I1249" t="s">
        <v>481</v>
      </c>
      <c r="J1249" t="s">
        <v>488</v>
      </c>
      <c r="K1249" t="s">
        <v>527</v>
      </c>
      <c r="L1249" t="s">
        <v>582</v>
      </c>
      <c r="M1249" t="s">
        <v>588</v>
      </c>
      <c r="N1249" t="s">
        <v>601</v>
      </c>
    </row>
    <row r="1250" spans="1:14" x14ac:dyDescent="0.25">
      <c r="A1250" t="s">
        <v>44</v>
      </c>
      <c r="B1250" t="s">
        <v>167</v>
      </c>
      <c r="C1250" t="s">
        <v>316</v>
      </c>
      <c r="D1250" t="s">
        <v>425</v>
      </c>
      <c r="F1250" t="s">
        <v>460</v>
      </c>
      <c r="G1250" t="str">
        <f>HYPERLINK("https://ca.linkedin.com/jobs/view/data-analyst-marketing-at-thescore-3272474942?refId=ZCYIfgTv0qLIl98LhGG%2F1A%3D%3D&amp;trackingId=Ngr8zK7O07PlOB3udn7DGA%3D%3D&amp;position=10&amp;pageNum=0&amp;trk=public_jobs_jserp-result_search-card", "Job Link")</f>
        <v>Job Link</v>
      </c>
      <c r="H1250" t="s">
        <v>476</v>
      </c>
      <c r="I1250" t="s">
        <v>481</v>
      </c>
      <c r="J1250" t="s">
        <v>486</v>
      </c>
      <c r="K1250" t="s">
        <v>545</v>
      </c>
      <c r="L1250" t="s">
        <v>582</v>
      </c>
      <c r="M1250" t="s">
        <v>588</v>
      </c>
      <c r="N1250" t="s">
        <v>601</v>
      </c>
    </row>
    <row r="1251" spans="1:14" x14ac:dyDescent="0.25">
      <c r="A1251" t="s">
        <v>45</v>
      </c>
      <c r="B1251" t="s">
        <v>168</v>
      </c>
      <c r="C1251" t="s">
        <v>317</v>
      </c>
      <c r="D1251" t="s">
        <v>425</v>
      </c>
      <c r="F1251" t="s">
        <v>443</v>
      </c>
      <c r="G1251" t="str">
        <f>HYPERLINK("https://ca.linkedin.com/jobs/view/senior-data-analyst-apac-marketplace-at-hopper-3363404929?refId=ZCYIfgTv0qLIl98LhGG%2F1A%3D%3D&amp;trackingId=pn4jJPUatxVMJlYcHOrkzg%3D%3D&amp;position=11&amp;pageNum=0&amp;trk=public_jobs_jserp-result_search-card", "Job Link")</f>
        <v>Job Link</v>
      </c>
      <c r="H1251" t="s">
        <v>478</v>
      </c>
      <c r="I1251" t="s">
        <v>485</v>
      </c>
      <c r="J1251" t="s">
        <v>486</v>
      </c>
      <c r="K1251" t="s">
        <v>538</v>
      </c>
      <c r="L1251" t="s">
        <v>601</v>
      </c>
    </row>
    <row r="1252" spans="1:14" x14ac:dyDescent="0.25">
      <c r="A1252" t="s">
        <v>48</v>
      </c>
      <c r="B1252" t="s">
        <v>173</v>
      </c>
      <c r="C1252" t="s">
        <v>322</v>
      </c>
      <c r="D1252" t="s">
        <v>425</v>
      </c>
      <c r="F1252" t="s">
        <v>462</v>
      </c>
      <c r="G1252" t="str">
        <f>HYPERLINK("https://ca.linkedin.com/jobs/view/data-analyst-trilogy-remote-%2460-000-year-usd-at-crossover-3367086698?refId=ZCYIfgTv0qLIl98LhGG%2F1A%3D%3D&amp;trackingId=mrVHfAFrrYhp69AoxDV1xw%3D%3D&amp;position=12&amp;pageNum=0&amp;trk=public_jobs_jserp-result_search-card", "Job Link")</f>
        <v>Job Link</v>
      </c>
      <c r="H1252" t="s">
        <v>477</v>
      </c>
      <c r="I1252" t="s">
        <v>481</v>
      </c>
      <c r="J1252" t="s">
        <v>496</v>
      </c>
      <c r="K1252" t="s">
        <v>549</v>
      </c>
      <c r="L1252" t="s">
        <v>582</v>
      </c>
      <c r="M1252" t="s">
        <v>588</v>
      </c>
      <c r="N1252" t="s">
        <v>601</v>
      </c>
    </row>
    <row r="1253" spans="1:14" x14ac:dyDescent="0.25">
      <c r="A1253" t="s">
        <v>46</v>
      </c>
      <c r="B1253" t="s">
        <v>169</v>
      </c>
      <c r="C1253" t="s">
        <v>318</v>
      </c>
      <c r="D1253" t="s">
        <v>425</v>
      </c>
      <c r="F1253" t="s">
        <v>461</v>
      </c>
      <c r="G1253">
        <v>0</v>
      </c>
      <c r="H1253" t="s">
        <v>478</v>
      </c>
      <c r="I1253" t="s">
        <v>481</v>
      </c>
      <c r="J1253" t="s">
        <v>494</v>
      </c>
      <c r="K1253" t="s">
        <v>546</v>
      </c>
      <c r="L1253" t="s">
        <v>601</v>
      </c>
    </row>
    <row r="1254" spans="1:14" x14ac:dyDescent="0.25">
      <c r="A1254" t="s">
        <v>20</v>
      </c>
      <c r="B1254" t="s">
        <v>170</v>
      </c>
      <c r="C1254" t="s">
        <v>319</v>
      </c>
      <c r="D1254" t="s">
        <v>425</v>
      </c>
      <c r="F1254" t="s">
        <v>450</v>
      </c>
      <c r="G1254" t="str">
        <f>HYPERLINK("https://ca.linkedin.com/jobs/view/senior-data-analyst-at-thinkific-3333572538?refId=ZCYIfgTv0qLIl98LhGG%2F1A%3D%3D&amp;trackingId=C213USOsxAFEbuVl1%2FgYdA%3D%3D&amp;position=14&amp;pageNum=0&amp;trk=public_jobs_jserp-result_search-card", "Job Link")</f>
        <v>Job Link</v>
      </c>
      <c r="H1254" t="s">
        <v>478</v>
      </c>
      <c r="I1254" t="s">
        <v>481</v>
      </c>
      <c r="J1254" t="s">
        <v>495</v>
      </c>
      <c r="K1254" t="s">
        <v>547</v>
      </c>
      <c r="L1254" t="s">
        <v>601</v>
      </c>
    </row>
    <row r="1255" spans="1:14" x14ac:dyDescent="0.25">
      <c r="A1255" t="s">
        <v>47</v>
      </c>
      <c r="B1255" t="s">
        <v>171</v>
      </c>
      <c r="C1255" t="s">
        <v>320</v>
      </c>
      <c r="D1255" t="s">
        <v>425</v>
      </c>
      <c r="F1255" t="s">
        <v>447</v>
      </c>
      <c r="G1255" t="str">
        <f>HYPERLINK("https://ca.linkedin.com/jobs/view/insights-analyst-at-flashfood-3312876343?refId=ZCYIfgTv0qLIl98LhGG%2F1A%3D%3D&amp;trackingId=7FhGGTXrX%2FsrW9U8E4B4iQ%3D%3D&amp;position=15&amp;pageNum=0&amp;trk=public_jobs_jserp-result_search-card", "Job Link")</f>
        <v>Job Link</v>
      </c>
      <c r="I1255" t="s">
        <v>481</v>
      </c>
      <c r="L1255" t="s">
        <v>601</v>
      </c>
    </row>
    <row r="1256" spans="1:14" x14ac:dyDescent="0.25">
      <c r="A1256" t="s">
        <v>20</v>
      </c>
      <c r="B1256" t="s">
        <v>172</v>
      </c>
      <c r="C1256" t="s">
        <v>321</v>
      </c>
      <c r="D1256" t="s">
        <v>425</v>
      </c>
      <c r="F1256" t="s">
        <v>438</v>
      </c>
      <c r="G1256" t="str">
        <f>HYPERLINK("https://ca.linkedin.com/jobs/view/senior-data-analyst-at-system1-3324728130?refId=ZCYIfgTv0qLIl98LhGG%2F1A%3D%3D&amp;trackingId=5u%2FBNRius4oITZG8Gyk91Q%3D%3D&amp;position=16&amp;pageNum=0&amp;trk=public_jobs_jserp-result_search-card", "Job Link")</f>
        <v>Job Link</v>
      </c>
      <c r="H1256" t="s">
        <v>478</v>
      </c>
      <c r="I1256" t="s">
        <v>481</v>
      </c>
      <c r="J1256" t="s">
        <v>486</v>
      </c>
      <c r="K1256" t="s">
        <v>548</v>
      </c>
      <c r="L1256" t="s">
        <v>587</v>
      </c>
      <c r="M1256" t="s">
        <v>588</v>
      </c>
      <c r="N1256" t="s">
        <v>601</v>
      </c>
    </row>
    <row r="1257" spans="1:14" x14ac:dyDescent="0.25">
      <c r="A1257" t="s">
        <v>49</v>
      </c>
      <c r="B1257" t="s">
        <v>174</v>
      </c>
      <c r="C1257" t="s">
        <v>323</v>
      </c>
      <c r="D1257" t="s">
        <v>425</v>
      </c>
      <c r="F1257" t="s">
        <v>433</v>
      </c>
      <c r="G1257" t="str">
        <f>HYPERLINK("https://ca.linkedin.com/jobs/view/product-data-analyst-wtfast-at-blankslate-partners-3350561493?refId=ZCYIfgTv0qLIl98LhGG%2F1A%3D%3D&amp;trackingId=rwfFmw1EA6ZFFIt4gY%2Fj1A%3D%3D&amp;position=17&amp;pageNum=0&amp;trk=public_jobs_jserp-result_search-card", "Job Link")</f>
        <v>Job Link</v>
      </c>
      <c r="H1257" t="s">
        <v>479</v>
      </c>
      <c r="I1257" t="s">
        <v>481</v>
      </c>
      <c r="J1257" t="s">
        <v>497</v>
      </c>
      <c r="K1257" t="s">
        <v>538</v>
      </c>
      <c r="L1257" t="s">
        <v>603</v>
      </c>
      <c r="M1257" t="s">
        <v>618</v>
      </c>
      <c r="N1257" t="s">
        <v>601</v>
      </c>
    </row>
    <row r="1258" spans="1:14" x14ac:dyDescent="0.25">
      <c r="A1258" t="s">
        <v>50</v>
      </c>
      <c r="B1258" t="s">
        <v>175</v>
      </c>
      <c r="C1258" t="s">
        <v>324</v>
      </c>
      <c r="D1258" t="s">
        <v>425</v>
      </c>
      <c r="F1258" t="s">
        <v>443</v>
      </c>
      <c r="G1258" t="str">
        <f>HYPERLINK("https://ca.linkedin.com/jobs/view/senior-data-analyst-toronto-on-at-ssense-3369567279?refId=ZCYIfgTv0qLIl98LhGG%2F1A%3D%3D&amp;trackingId=aBe4eWLshhbdyuObc5NEoA%3D%3D&amp;position=18&amp;pageNum=0&amp;trk=public_jobs_jserp-result_search-card", "Job Link")</f>
        <v>Job Link</v>
      </c>
      <c r="H1258" t="s">
        <v>478</v>
      </c>
      <c r="I1258" t="s">
        <v>481</v>
      </c>
      <c r="J1258" t="s">
        <v>486</v>
      </c>
      <c r="K1258" t="s">
        <v>550</v>
      </c>
      <c r="L1258" t="s">
        <v>582</v>
      </c>
      <c r="M1258" t="s">
        <v>588</v>
      </c>
      <c r="N1258" t="s">
        <v>601</v>
      </c>
    </row>
    <row r="1259" spans="1:14" x14ac:dyDescent="0.25">
      <c r="A1259" t="s">
        <v>51</v>
      </c>
      <c r="B1259" t="s">
        <v>175</v>
      </c>
      <c r="C1259" t="s">
        <v>325</v>
      </c>
      <c r="D1259" t="s">
        <v>425</v>
      </c>
      <c r="F1259" t="s">
        <v>443</v>
      </c>
      <c r="G1259" t="str">
        <f>HYPERLINK("https://ca.linkedin.com/jobs/view/senior-data-analyst-analytics-insights-toronto-on-at-ssense-3369558722?refId=ZCYIfgTv0qLIl98LhGG%2F1A%3D%3D&amp;trackingId=TOPnIwIDwapCqhC%2FNNM0hw%3D%3D&amp;position=19&amp;pageNum=0&amp;trk=public_jobs_jserp-result_search-card", "Job Link")</f>
        <v>Job Link</v>
      </c>
      <c r="H1259" t="s">
        <v>478</v>
      </c>
      <c r="I1259" t="s">
        <v>481</v>
      </c>
      <c r="J1259" t="s">
        <v>491</v>
      </c>
      <c r="K1259" t="s">
        <v>550</v>
      </c>
      <c r="L1259" t="s">
        <v>582</v>
      </c>
      <c r="M1259" t="s">
        <v>588</v>
      </c>
      <c r="N1259" t="s">
        <v>601</v>
      </c>
    </row>
    <row r="1260" spans="1:14" x14ac:dyDescent="0.25">
      <c r="A1260" t="s">
        <v>51</v>
      </c>
      <c r="B1260" t="s">
        <v>175</v>
      </c>
      <c r="C1260" t="s">
        <v>325</v>
      </c>
      <c r="D1260" t="s">
        <v>425</v>
      </c>
      <c r="F1260" t="s">
        <v>443</v>
      </c>
      <c r="G1260" t="str">
        <f>HYPERLINK("https://ca.linkedin.com/jobs/view/senior-data-analyst-analytics-insights-toronto-on-at-ssense-3369560180?refId=ZCYIfgTv0qLIl98LhGG%2F1A%3D%3D&amp;trackingId=AK0qNPhacAMpACfn0Vcrzw%3D%3D&amp;position=20&amp;pageNum=0&amp;trk=public_jobs_jserp-result_search-card", "Job Link")</f>
        <v>Job Link</v>
      </c>
      <c r="H1260" t="s">
        <v>478</v>
      </c>
      <c r="I1260" t="s">
        <v>481</v>
      </c>
      <c r="J1260" t="s">
        <v>491</v>
      </c>
      <c r="K1260" t="s">
        <v>550</v>
      </c>
      <c r="L1260" t="s">
        <v>582</v>
      </c>
      <c r="M1260" t="s">
        <v>588</v>
      </c>
      <c r="N1260" t="s">
        <v>601</v>
      </c>
    </row>
    <row r="1261" spans="1:14" x14ac:dyDescent="0.25">
      <c r="A1261" t="s">
        <v>52</v>
      </c>
      <c r="B1261" t="s">
        <v>173</v>
      </c>
      <c r="C1261" t="s">
        <v>327</v>
      </c>
      <c r="D1261" t="s">
        <v>425</v>
      </c>
      <c r="F1261" t="s">
        <v>462</v>
      </c>
      <c r="G1261" t="str">
        <f>HYPERLINK("https://ca.linkedin.com/jobs/view/data-research-analyst-trilogy-remote-%2460-000-year-usd-at-crossover-3367090309?refId=ZCYIfgTv0qLIl98LhGG%2F1A%3D%3D&amp;trackingId=LslUo2IKqIKonK5I%2BXS2Ow%3D%3D&amp;position=21&amp;pageNum=0&amp;trk=public_jobs_jserp-result_search-card", "Job Link")</f>
        <v>Job Link</v>
      </c>
      <c r="H1261" t="s">
        <v>477</v>
      </c>
      <c r="I1261" t="s">
        <v>481</v>
      </c>
      <c r="J1261" t="s">
        <v>499</v>
      </c>
      <c r="K1261" t="s">
        <v>549</v>
      </c>
      <c r="L1261" t="s">
        <v>588</v>
      </c>
      <c r="M1261" t="s">
        <v>601</v>
      </c>
    </row>
    <row r="1262" spans="1:14" x14ac:dyDescent="0.25">
      <c r="A1262" t="s">
        <v>27</v>
      </c>
      <c r="B1262" t="s">
        <v>176</v>
      </c>
      <c r="C1262" t="s">
        <v>326</v>
      </c>
      <c r="D1262" t="s">
        <v>425</v>
      </c>
      <c r="F1262" t="s">
        <v>441</v>
      </c>
      <c r="G1262" t="str">
        <f>HYPERLINK("https://ca.linkedin.com/jobs/view/sr-data-analyst-at-telus-international-digital-solutions-3331944226?refId=ZCYIfgTv0qLIl98LhGG%2F1A%3D%3D&amp;trackingId=PuWsK8uYpk0fRXZ1ySsawg%3D%3D&amp;position=22&amp;pageNum=0&amp;trk=public_jobs_jserp-result_search-card", "Job Link")</f>
        <v>Job Link</v>
      </c>
      <c r="H1262" t="s">
        <v>478</v>
      </c>
      <c r="I1262" t="s">
        <v>481</v>
      </c>
      <c r="J1262" t="s">
        <v>498</v>
      </c>
      <c r="K1262" t="s">
        <v>521</v>
      </c>
      <c r="L1262" t="s">
        <v>604</v>
      </c>
      <c r="M1262" t="s">
        <v>618</v>
      </c>
      <c r="N1262" t="s">
        <v>601</v>
      </c>
    </row>
    <row r="1263" spans="1:14" x14ac:dyDescent="0.25">
      <c r="A1263" t="s">
        <v>14</v>
      </c>
      <c r="B1263" t="s">
        <v>158</v>
      </c>
      <c r="C1263" t="s">
        <v>307</v>
      </c>
      <c r="D1263" t="s">
        <v>425</v>
      </c>
      <c r="F1263" t="s">
        <v>430</v>
      </c>
      <c r="G1263" t="str">
        <f>HYPERLINK("https://ca.linkedin.com/jobs/view/data-analyst-at-empire-life-3324608289?refId=enxA1XGsyCx1kgHA5IYjwQ%3D%3D&amp;trackingId=7CIIgOCVUBJ9pX9r189p2g%3D%3D&amp;position=1&amp;pageNum=0&amp;trk=public_jobs_jserp-result_search-card", "Job Link")</f>
        <v>Job Link</v>
      </c>
      <c r="H1263" t="s">
        <v>476</v>
      </c>
      <c r="I1263" t="s">
        <v>481</v>
      </c>
      <c r="J1263" t="s">
        <v>485</v>
      </c>
      <c r="K1263" t="s">
        <v>523</v>
      </c>
      <c r="L1263" t="s">
        <v>601</v>
      </c>
    </row>
    <row r="1264" spans="1:14" x14ac:dyDescent="0.25">
      <c r="A1264" t="s">
        <v>40</v>
      </c>
      <c r="B1264" t="s">
        <v>159</v>
      </c>
      <c r="C1264" t="s">
        <v>308</v>
      </c>
      <c r="D1264" t="s">
        <v>425</v>
      </c>
      <c r="F1264" t="s">
        <v>435</v>
      </c>
      <c r="G1264" t="str">
        <f>HYPERLINK("https://ca.linkedin.com/jobs/view/data-visualization-developer-analyst-at-blue-boat-data-3335318133?refId=enxA1XGsyCx1kgHA5IYjwQ%3D%3D&amp;trackingId=KxUI7fdKEIHnQDJ0oBYbzA%3D%3D&amp;position=2&amp;pageNum=0&amp;trk=public_jobs_jserp-result_search-card", "Job Link")</f>
        <v>Job Link</v>
      </c>
      <c r="I1264" t="s">
        <v>483</v>
      </c>
      <c r="L1264" t="s">
        <v>601</v>
      </c>
    </row>
    <row r="1265" spans="1:14" x14ac:dyDescent="0.25">
      <c r="A1265" t="s">
        <v>14</v>
      </c>
      <c r="B1265" t="s">
        <v>160</v>
      </c>
      <c r="C1265" t="s">
        <v>309</v>
      </c>
      <c r="D1265" t="s">
        <v>425</v>
      </c>
      <c r="E1265" t="s">
        <v>427</v>
      </c>
      <c r="F1265" t="s">
        <v>458</v>
      </c>
      <c r="G1265" t="str">
        <f>HYPERLINK("https://ca.linkedin.com/jobs/view/data-analyst-at-libitzky-property-companies-3314494593?refId=enxA1XGsyCx1kgHA5IYjwQ%3D%3D&amp;trackingId=v4IUF5kWD5Ly%2BGeRQwhp0w%3D%3D&amp;position=3&amp;pageNum=0&amp;trk=public_jobs_jserp-result_search-card", "Job Link")</f>
        <v>Job Link</v>
      </c>
      <c r="H1265" t="s">
        <v>476</v>
      </c>
      <c r="I1265" t="s">
        <v>481</v>
      </c>
      <c r="J1265" t="s">
        <v>486</v>
      </c>
      <c r="K1265" t="s">
        <v>516</v>
      </c>
      <c r="L1265" t="s">
        <v>601</v>
      </c>
    </row>
    <row r="1266" spans="1:14" x14ac:dyDescent="0.25">
      <c r="A1266" t="s">
        <v>14</v>
      </c>
      <c r="B1266" t="s">
        <v>161</v>
      </c>
      <c r="C1266" t="s">
        <v>310</v>
      </c>
      <c r="D1266" t="s">
        <v>425</v>
      </c>
      <c r="F1266" t="s">
        <v>435</v>
      </c>
      <c r="G1266" t="str">
        <f>HYPERLINK("https://ca.linkedin.com/jobs/view/data-analyst-at-spire-3340696458?refId=enxA1XGsyCx1kgHA5IYjwQ%3D%3D&amp;trackingId=Ew%2FWNF5D%2Bcs3LyPb2YpoFg%3D%3D&amp;position=4&amp;pageNum=0&amp;trk=public_jobs_jserp-result_search-card", "Job Link")</f>
        <v>Job Link</v>
      </c>
      <c r="H1266" t="s">
        <v>476</v>
      </c>
      <c r="I1266" t="s">
        <v>481</v>
      </c>
      <c r="J1266" t="s">
        <v>486</v>
      </c>
      <c r="K1266" t="s">
        <v>517</v>
      </c>
      <c r="L1266" t="s">
        <v>602</v>
      </c>
      <c r="M1266" t="s">
        <v>588</v>
      </c>
      <c r="N1266" t="s">
        <v>601</v>
      </c>
    </row>
    <row r="1267" spans="1:14" x14ac:dyDescent="0.25">
      <c r="A1267" t="s">
        <v>14</v>
      </c>
      <c r="B1267" t="s">
        <v>163</v>
      </c>
      <c r="C1267" t="s">
        <v>312</v>
      </c>
      <c r="D1267" t="s">
        <v>425</v>
      </c>
      <c r="F1267" t="s">
        <v>443</v>
      </c>
      <c r="G1267" t="str">
        <f>HYPERLINK("https://ca.linkedin.com/jobs/view/data-analyst-at-mojio-3363472062?refId=enxA1XGsyCx1kgHA5IYjwQ%3D%3D&amp;trackingId=tyOXcFO4elfRrzRBoaSQHg%3D%3D&amp;position=5&amp;pageNum=0&amp;trk=public_jobs_jserp-result_search-card", "Job Link")</f>
        <v>Job Link</v>
      </c>
      <c r="H1267" t="s">
        <v>478</v>
      </c>
      <c r="I1267" t="s">
        <v>481</v>
      </c>
      <c r="J1267" t="s">
        <v>493</v>
      </c>
      <c r="K1267" t="s">
        <v>544</v>
      </c>
      <c r="L1267" t="s">
        <v>601</v>
      </c>
    </row>
    <row r="1268" spans="1:14" x14ac:dyDescent="0.25">
      <c r="A1268" t="s">
        <v>41</v>
      </c>
      <c r="B1268" t="s">
        <v>164</v>
      </c>
      <c r="C1268" t="s">
        <v>313</v>
      </c>
      <c r="D1268" t="s">
        <v>425</v>
      </c>
      <c r="F1268" t="s">
        <v>444</v>
      </c>
      <c r="G1268" t="str">
        <f>HYPERLINK("https://ca.linkedin.com/jobs/view/product-data-analyst-at-pdftron-systems-inc-3322845144?refId=enxA1XGsyCx1kgHA5IYjwQ%3D%3D&amp;trackingId=FBgSGL9qnplnunwIcjc2Wg%3D%3D&amp;position=6&amp;pageNum=0&amp;trk=public_jobs_jserp-result_search-card", "Job Link")</f>
        <v>Job Link</v>
      </c>
      <c r="H1268" t="s">
        <v>479</v>
      </c>
      <c r="I1268" t="s">
        <v>481</v>
      </c>
      <c r="J1268" t="s">
        <v>487</v>
      </c>
      <c r="K1268" t="s">
        <v>538</v>
      </c>
      <c r="L1268" t="s">
        <v>590</v>
      </c>
      <c r="M1268" t="s">
        <v>618</v>
      </c>
      <c r="N1268" t="s">
        <v>601</v>
      </c>
    </row>
    <row r="1269" spans="1:14" x14ac:dyDescent="0.25">
      <c r="A1269" t="s">
        <v>42</v>
      </c>
      <c r="B1269" t="s">
        <v>165</v>
      </c>
      <c r="C1269" t="s">
        <v>314</v>
      </c>
      <c r="D1269" t="s">
        <v>425</v>
      </c>
      <c r="F1269" t="s">
        <v>459</v>
      </c>
      <c r="G1269" t="str">
        <f>HYPERLINK("https://ca.linkedin.com/jobs/view/cognitive-data-analyst-at-wysdom-ai-3333087497?refId=enxA1XGsyCx1kgHA5IYjwQ%3D%3D&amp;trackingId=QHtr9Rrhaapo0SAX1UIZtw%3D%3D&amp;position=7&amp;pageNum=0&amp;trk=public_jobs_jserp-result_search-card", "Job Link")</f>
        <v>Job Link</v>
      </c>
      <c r="H1269" t="s">
        <v>478</v>
      </c>
      <c r="I1269" t="s">
        <v>481</v>
      </c>
      <c r="J1269" t="s">
        <v>486</v>
      </c>
      <c r="K1269" t="s">
        <v>516</v>
      </c>
      <c r="L1269" t="s">
        <v>601</v>
      </c>
    </row>
    <row r="1270" spans="1:14" x14ac:dyDescent="0.25">
      <c r="A1270" t="s">
        <v>14</v>
      </c>
      <c r="B1270" t="s">
        <v>162</v>
      </c>
      <c r="C1270" t="s">
        <v>311</v>
      </c>
      <c r="D1270" t="s">
        <v>425</v>
      </c>
      <c r="F1270" t="s">
        <v>434</v>
      </c>
      <c r="G1270" t="str">
        <f>HYPERLINK("https://ca.linkedin.com/jobs/view/data-analyst-at-money-mart-financial-services-3361528052?refId=enxA1XGsyCx1kgHA5IYjwQ%3D%3D&amp;trackingId=vYAGsSPruIzUWQ760ab0Zg%3D%3D&amp;position=8&amp;pageNum=0&amp;trk=public_jobs_jserp-result_search-card", "Job Link")</f>
        <v>Job Link</v>
      </c>
      <c r="H1270" t="s">
        <v>477</v>
      </c>
      <c r="I1270" t="s">
        <v>481</v>
      </c>
      <c r="J1270" t="s">
        <v>488</v>
      </c>
      <c r="K1270" t="s">
        <v>527</v>
      </c>
      <c r="L1270" t="s">
        <v>582</v>
      </c>
      <c r="M1270" t="s">
        <v>588</v>
      </c>
      <c r="N1270" t="s">
        <v>601</v>
      </c>
    </row>
    <row r="1271" spans="1:14" x14ac:dyDescent="0.25">
      <c r="A1271" t="s">
        <v>44</v>
      </c>
      <c r="B1271" t="s">
        <v>167</v>
      </c>
      <c r="C1271" t="s">
        <v>316</v>
      </c>
      <c r="D1271" t="s">
        <v>425</v>
      </c>
      <c r="F1271" t="s">
        <v>460</v>
      </c>
      <c r="G1271" t="str">
        <f>HYPERLINK("https://ca.linkedin.com/jobs/view/data-analyst-marketing-at-thescore-3272474942?refId=enxA1XGsyCx1kgHA5IYjwQ%3D%3D&amp;trackingId=Q7S0dT8yC4dtcjInyi3Hgg%3D%3D&amp;position=9&amp;pageNum=0&amp;trk=public_jobs_jserp-result_search-card", "Job Link")</f>
        <v>Job Link</v>
      </c>
      <c r="H1271" t="s">
        <v>476</v>
      </c>
      <c r="I1271" t="s">
        <v>481</v>
      </c>
      <c r="J1271" t="s">
        <v>486</v>
      </c>
      <c r="K1271" t="s">
        <v>545</v>
      </c>
      <c r="L1271" t="s">
        <v>582</v>
      </c>
      <c r="M1271" t="s">
        <v>588</v>
      </c>
      <c r="N1271" t="s">
        <v>601</v>
      </c>
    </row>
    <row r="1272" spans="1:14" x14ac:dyDescent="0.25">
      <c r="A1272" t="s">
        <v>45</v>
      </c>
      <c r="B1272" t="s">
        <v>168</v>
      </c>
      <c r="C1272" t="s">
        <v>317</v>
      </c>
      <c r="D1272" t="s">
        <v>425</v>
      </c>
      <c r="F1272" t="s">
        <v>443</v>
      </c>
      <c r="G1272" t="str">
        <f>HYPERLINK("https://ca.linkedin.com/jobs/view/senior-data-analyst-apac-marketplace-at-hopper-3363404929?refId=enxA1XGsyCx1kgHA5IYjwQ%3D%3D&amp;trackingId=mlgEuIhNqEbHzGHI%2Bh3UUg%3D%3D&amp;position=10&amp;pageNum=0&amp;trk=public_jobs_jserp-result_search-card", "Job Link")</f>
        <v>Job Link</v>
      </c>
      <c r="H1272" t="s">
        <v>478</v>
      </c>
      <c r="I1272" t="s">
        <v>485</v>
      </c>
      <c r="J1272" t="s">
        <v>486</v>
      </c>
      <c r="K1272" t="s">
        <v>538</v>
      </c>
      <c r="L1272" t="s">
        <v>601</v>
      </c>
    </row>
    <row r="1273" spans="1:14" x14ac:dyDescent="0.25">
      <c r="A1273" t="s">
        <v>46</v>
      </c>
      <c r="B1273" t="s">
        <v>169</v>
      </c>
      <c r="C1273" t="s">
        <v>318</v>
      </c>
      <c r="D1273" t="s">
        <v>425</v>
      </c>
      <c r="F1273" t="s">
        <v>461</v>
      </c>
      <c r="G1273" t="str">
        <f>HYPERLINK("https://ca.linkedin.com/jobs/view/senior-data-analyst-remote-at-insurance-supermarket-international-usa-3347334252?refId=enxA1XGsyCx1kgHA5IYjwQ%3D%3D&amp;trackingId=1tQJbTDae4nPZQxHEQk%2FVA%3D%3D&amp;position=11&amp;pageNum=0&amp;trk=public_jobs_jserp-result_search-card", "Job Link")</f>
        <v>Job Link</v>
      </c>
      <c r="H1273" t="s">
        <v>478</v>
      </c>
      <c r="I1273" t="s">
        <v>481</v>
      </c>
      <c r="J1273" t="s">
        <v>494</v>
      </c>
      <c r="K1273" t="s">
        <v>546</v>
      </c>
      <c r="L1273" t="s">
        <v>601</v>
      </c>
    </row>
    <row r="1274" spans="1:14" x14ac:dyDescent="0.25">
      <c r="A1274" t="s">
        <v>20</v>
      </c>
      <c r="B1274" t="s">
        <v>170</v>
      </c>
      <c r="C1274" t="s">
        <v>319</v>
      </c>
      <c r="D1274" t="s">
        <v>425</v>
      </c>
      <c r="F1274" t="s">
        <v>450</v>
      </c>
      <c r="G1274" t="str">
        <f>HYPERLINK("https://ca.linkedin.com/jobs/view/senior-data-analyst-at-thinkific-3333572538?refId=enxA1XGsyCx1kgHA5IYjwQ%3D%3D&amp;trackingId=RnGgaA7GgSLXbP%2B5eTTVTQ%3D%3D&amp;position=12&amp;pageNum=0&amp;trk=public_jobs_jserp-result_search-card", "Job Link")</f>
        <v>Job Link</v>
      </c>
      <c r="H1274" t="s">
        <v>478</v>
      </c>
      <c r="I1274" t="s">
        <v>481</v>
      </c>
      <c r="J1274" t="s">
        <v>495</v>
      </c>
      <c r="K1274" t="s">
        <v>547</v>
      </c>
      <c r="L1274" t="s">
        <v>601</v>
      </c>
    </row>
    <row r="1275" spans="1:14" x14ac:dyDescent="0.25">
      <c r="A1275" t="s">
        <v>47</v>
      </c>
      <c r="B1275" t="s">
        <v>171</v>
      </c>
      <c r="C1275" t="s">
        <v>320</v>
      </c>
      <c r="D1275" t="s">
        <v>425</v>
      </c>
      <c r="F1275" t="s">
        <v>447</v>
      </c>
      <c r="G1275" t="str">
        <f>HYPERLINK("https://ca.linkedin.com/jobs/view/insights-analyst-at-flashfood-3312876343?refId=enxA1XGsyCx1kgHA5IYjwQ%3D%3D&amp;trackingId=3v7cFClxKBduMrqNBuxUZQ%3D%3D&amp;position=13&amp;pageNum=0&amp;trk=public_jobs_jserp-result_search-card", "Job Link")</f>
        <v>Job Link</v>
      </c>
      <c r="I1275" t="s">
        <v>481</v>
      </c>
      <c r="L1275" t="s">
        <v>601</v>
      </c>
    </row>
    <row r="1276" spans="1:14" x14ac:dyDescent="0.25">
      <c r="A1276" t="s">
        <v>20</v>
      </c>
      <c r="B1276" t="s">
        <v>172</v>
      </c>
      <c r="C1276" t="s">
        <v>321</v>
      </c>
      <c r="D1276" t="s">
        <v>425</v>
      </c>
      <c r="F1276" t="s">
        <v>438</v>
      </c>
      <c r="G1276" t="str">
        <f>HYPERLINK("https://ca.linkedin.com/jobs/view/senior-data-analyst-at-system1-3324728130?refId=enxA1XGsyCx1kgHA5IYjwQ%3D%3D&amp;trackingId=elGcM7agMNZXzgZDwKyJvQ%3D%3D&amp;position=14&amp;pageNum=0&amp;trk=public_jobs_jserp-result_search-card", "Job Link")</f>
        <v>Job Link</v>
      </c>
      <c r="H1276" t="s">
        <v>478</v>
      </c>
      <c r="I1276" t="s">
        <v>481</v>
      </c>
      <c r="J1276" t="s">
        <v>486</v>
      </c>
      <c r="K1276" t="s">
        <v>548</v>
      </c>
      <c r="L1276" t="s">
        <v>587</v>
      </c>
      <c r="M1276" t="s">
        <v>588</v>
      </c>
      <c r="N1276" t="s">
        <v>601</v>
      </c>
    </row>
    <row r="1277" spans="1:14" x14ac:dyDescent="0.25">
      <c r="A1277" t="s">
        <v>48</v>
      </c>
      <c r="B1277" t="s">
        <v>173</v>
      </c>
      <c r="C1277" t="s">
        <v>322</v>
      </c>
      <c r="D1277" t="s">
        <v>425</v>
      </c>
      <c r="F1277" t="s">
        <v>462</v>
      </c>
      <c r="G1277" t="str">
        <f>HYPERLINK("https://ca.linkedin.com/jobs/view/data-analyst-trilogy-remote-%2460-000-year-usd-at-crossover-3367086698?refId=enxA1XGsyCx1kgHA5IYjwQ%3D%3D&amp;trackingId=6L6x%2FUPRJwmlMY95v7qwBQ%3D%3D&amp;position=15&amp;pageNum=0&amp;trk=public_jobs_jserp-result_search-card", "Job Link")</f>
        <v>Job Link</v>
      </c>
      <c r="H1277" t="s">
        <v>477</v>
      </c>
      <c r="I1277" t="s">
        <v>481</v>
      </c>
      <c r="J1277" t="s">
        <v>496</v>
      </c>
      <c r="K1277" t="s">
        <v>549</v>
      </c>
      <c r="L1277" t="s">
        <v>582</v>
      </c>
      <c r="M1277" t="s">
        <v>588</v>
      </c>
      <c r="N1277" t="s">
        <v>601</v>
      </c>
    </row>
    <row r="1278" spans="1:14" x14ac:dyDescent="0.25">
      <c r="A1278" t="s">
        <v>49</v>
      </c>
      <c r="B1278" t="s">
        <v>174</v>
      </c>
      <c r="C1278" t="s">
        <v>323</v>
      </c>
      <c r="D1278" t="s">
        <v>425</v>
      </c>
      <c r="F1278" t="s">
        <v>433</v>
      </c>
      <c r="G1278" t="str">
        <f>HYPERLINK("https://ca.linkedin.com/jobs/view/product-data-analyst-wtfast-at-blankslate-partners-3350561493?refId=enxA1XGsyCx1kgHA5IYjwQ%3D%3D&amp;trackingId=fYGWq9QCz9Bl6u1zgWNe3Q%3D%3D&amp;position=16&amp;pageNum=0&amp;trk=public_jobs_jserp-result_search-card", "Job Link")</f>
        <v>Job Link</v>
      </c>
      <c r="H1278" t="s">
        <v>479</v>
      </c>
      <c r="I1278" t="s">
        <v>481</v>
      </c>
      <c r="J1278" t="s">
        <v>497</v>
      </c>
      <c r="K1278" t="s">
        <v>538</v>
      </c>
      <c r="L1278" t="s">
        <v>603</v>
      </c>
      <c r="M1278" t="s">
        <v>618</v>
      </c>
      <c r="N1278" t="s">
        <v>601</v>
      </c>
    </row>
    <row r="1279" spans="1:14" x14ac:dyDescent="0.25">
      <c r="A1279" t="s">
        <v>50</v>
      </c>
      <c r="B1279" t="s">
        <v>175</v>
      </c>
      <c r="C1279" t="s">
        <v>324</v>
      </c>
      <c r="D1279" t="s">
        <v>425</v>
      </c>
      <c r="F1279" t="s">
        <v>443</v>
      </c>
      <c r="G1279" t="str">
        <f>HYPERLINK("https://ca.linkedin.com/jobs/view/senior-data-analyst-toronto-on-at-ssense-3369567279?refId=enxA1XGsyCx1kgHA5IYjwQ%3D%3D&amp;trackingId=Sj01Gg7koxIav9WSqSK9wA%3D%3D&amp;position=17&amp;pageNum=0&amp;trk=public_jobs_jserp-result_search-card", "Job Link")</f>
        <v>Job Link</v>
      </c>
      <c r="H1279" t="s">
        <v>478</v>
      </c>
      <c r="I1279" t="s">
        <v>481</v>
      </c>
      <c r="J1279" t="s">
        <v>486</v>
      </c>
      <c r="K1279" t="s">
        <v>550</v>
      </c>
      <c r="L1279" t="s">
        <v>582</v>
      </c>
      <c r="M1279" t="s">
        <v>588</v>
      </c>
      <c r="N1279" t="s">
        <v>601</v>
      </c>
    </row>
    <row r="1280" spans="1:14" x14ac:dyDescent="0.25">
      <c r="A1280" t="s">
        <v>51</v>
      </c>
      <c r="B1280" t="s">
        <v>175</v>
      </c>
      <c r="C1280" t="s">
        <v>325</v>
      </c>
      <c r="D1280" t="s">
        <v>425</v>
      </c>
      <c r="F1280" t="s">
        <v>443</v>
      </c>
      <c r="G1280" t="str">
        <f>HYPERLINK("https://ca.linkedin.com/jobs/view/senior-data-analyst-analytics-insights-toronto-on-at-ssense-3369558722?refId=enxA1XGsyCx1kgHA5IYjwQ%3D%3D&amp;trackingId=YwmHac0i9nySskcKSlJKyQ%3D%3D&amp;position=18&amp;pageNum=0&amp;trk=public_jobs_jserp-result_search-card", "Job Link")</f>
        <v>Job Link</v>
      </c>
      <c r="H1280" t="s">
        <v>478</v>
      </c>
      <c r="I1280" t="s">
        <v>481</v>
      </c>
      <c r="J1280" t="s">
        <v>491</v>
      </c>
      <c r="K1280" t="s">
        <v>550</v>
      </c>
      <c r="L1280" t="s">
        <v>582</v>
      </c>
      <c r="M1280" t="s">
        <v>588</v>
      </c>
      <c r="N1280" t="s">
        <v>601</v>
      </c>
    </row>
    <row r="1281" spans="1:14" x14ac:dyDescent="0.25">
      <c r="A1281" t="s">
        <v>51</v>
      </c>
      <c r="B1281" t="s">
        <v>175</v>
      </c>
      <c r="C1281" t="s">
        <v>325</v>
      </c>
      <c r="D1281" t="s">
        <v>425</v>
      </c>
      <c r="F1281" t="s">
        <v>443</v>
      </c>
      <c r="G1281" t="str">
        <f>HYPERLINK("https://ca.linkedin.com/jobs/view/senior-data-analyst-analytics-insights-toronto-on-at-ssense-3369560180?refId=enxA1XGsyCx1kgHA5IYjwQ%3D%3D&amp;trackingId=10RRC5m8Xml3I%2FHvXU1FFg%3D%3D&amp;position=19&amp;pageNum=0&amp;trk=public_jobs_jserp-result_search-card", "Job Link")</f>
        <v>Job Link</v>
      </c>
      <c r="H1281" t="s">
        <v>478</v>
      </c>
      <c r="I1281" t="s">
        <v>481</v>
      </c>
      <c r="J1281" t="s">
        <v>491</v>
      </c>
      <c r="K1281" t="s">
        <v>550</v>
      </c>
      <c r="L1281" t="s">
        <v>582</v>
      </c>
      <c r="M1281" t="s">
        <v>588</v>
      </c>
      <c r="N1281" t="s">
        <v>601</v>
      </c>
    </row>
    <row r="1282" spans="1:14" x14ac:dyDescent="0.25">
      <c r="A1282" t="s">
        <v>27</v>
      </c>
      <c r="B1282" t="s">
        <v>176</v>
      </c>
      <c r="C1282" t="s">
        <v>326</v>
      </c>
      <c r="D1282" t="s">
        <v>425</v>
      </c>
      <c r="F1282" t="s">
        <v>441</v>
      </c>
      <c r="G1282" t="str">
        <f>HYPERLINK("https://ca.linkedin.com/jobs/view/sr-data-analyst-at-telus-international-digital-solutions-3331944226?refId=enxA1XGsyCx1kgHA5IYjwQ%3D%3D&amp;trackingId=2FUE3Lrzh%2F%2BSEzhd7OQkdA%3D%3D&amp;position=20&amp;pageNum=0&amp;trk=public_jobs_jserp-result_search-card", "Job Link")</f>
        <v>Job Link</v>
      </c>
      <c r="H1282" t="s">
        <v>478</v>
      </c>
      <c r="I1282" t="s">
        <v>481</v>
      </c>
      <c r="J1282" t="s">
        <v>498</v>
      </c>
      <c r="K1282" t="s">
        <v>521</v>
      </c>
      <c r="L1282" t="s">
        <v>604</v>
      </c>
      <c r="M1282" t="s">
        <v>618</v>
      </c>
      <c r="N1282" t="s">
        <v>601</v>
      </c>
    </row>
    <row r="1283" spans="1:14" x14ac:dyDescent="0.25">
      <c r="A1283" t="s">
        <v>20</v>
      </c>
      <c r="B1283" t="s">
        <v>175</v>
      </c>
      <c r="C1283" t="s">
        <v>324</v>
      </c>
      <c r="D1283" t="s">
        <v>425</v>
      </c>
      <c r="F1283" t="s">
        <v>446</v>
      </c>
      <c r="G1283" t="str">
        <f>HYPERLINK("https://ca.linkedin.com/jobs/view/senior-data-analyst-at-ssense-3342165774?refId=enxA1XGsyCx1kgHA5IYjwQ%3D%3D&amp;trackingId=0MShhK7NAIrv9avxsHecyw%3D%3D&amp;position=21&amp;pageNum=0&amp;trk=public_jobs_jserp-result_search-card", "Job Link")</f>
        <v>Job Link</v>
      </c>
      <c r="H1283" t="s">
        <v>478</v>
      </c>
      <c r="I1283" t="s">
        <v>481</v>
      </c>
      <c r="J1283" t="s">
        <v>486</v>
      </c>
      <c r="K1283" t="s">
        <v>550</v>
      </c>
      <c r="L1283" t="s">
        <v>605</v>
      </c>
      <c r="M1283" t="s">
        <v>617</v>
      </c>
      <c r="N1283" t="s">
        <v>601</v>
      </c>
    </row>
    <row r="1284" spans="1:14" x14ac:dyDescent="0.25">
      <c r="A1284" t="s">
        <v>53</v>
      </c>
      <c r="B1284" t="s">
        <v>177</v>
      </c>
      <c r="C1284" t="s">
        <v>328</v>
      </c>
      <c r="D1284" t="s">
        <v>425</v>
      </c>
      <c r="F1284" t="s">
        <v>454</v>
      </c>
      <c r="G1284" t="str">
        <f>HYPERLINK("https://ca.linkedin.com/jobs/view/gaming-data-analyst-at-insight-global-3338526926?refId=enxA1XGsyCx1kgHA5IYjwQ%3D%3D&amp;trackingId=Eex6Z1uwbpzJwMBOrYX0Bg%3D%3D&amp;position=22&amp;pageNum=0&amp;trk=public_jobs_jserp-result_search-card", "Job Link")</f>
        <v>Job Link</v>
      </c>
      <c r="H1284" t="s">
        <v>478</v>
      </c>
      <c r="I1284" t="s">
        <v>483</v>
      </c>
      <c r="J1284" t="s">
        <v>486</v>
      </c>
      <c r="K1284" t="s">
        <v>518</v>
      </c>
      <c r="L1284" t="s">
        <v>601</v>
      </c>
    </row>
    <row r="1285" spans="1:14" x14ac:dyDescent="0.25">
      <c r="A1285" t="s">
        <v>14</v>
      </c>
      <c r="B1285" t="s">
        <v>158</v>
      </c>
      <c r="C1285" t="s">
        <v>307</v>
      </c>
      <c r="D1285" t="s">
        <v>425</v>
      </c>
      <c r="F1285" t="s">
        <v>430</v>
      </c>
      <c r="G1285" t="str">
        <f>HYPERLINK("https://ca.linkedin.com/jobs/view/data-analyst-at-empire-life-3324608289?refId=a65iDsMvPeJ%2FYk%2FwIuVA4g%3D%3D&amp;trackingId=FidFL4I%2FRr%2BFPOusK8f0%2BQ%3D%3D&amp;position=1&amp;pageNum=0&amp;trk=public_jobs_jserp-result_search-card", "Job Link")</f>
        <v>Job Link</v>
      </c>
      <c r="H1285" t="s">
        <v>476</v>
      </c>
      <c r="I1285" t="s">
        <v>481</v>
      </c>
      <c r="J1285" t="s">
        <v>485</v>
      </c>
      <c r="K1285" t="s">
        <v>523</v>
      </c>
      <c r="L1285" t="s">
        <v>601</v>
      </c>
    </row>
    <row r="1286" spans="1:14" x14ac:dyDescent="0.25">
      <c r="A1286" t="s">
        <v>40</v>
      </c>
      <c r="B1286" t="s">
        <v>159</v>
      </c>
      <c r="C1286" t="s">
        <v>284</v>
      </c>
      <c r="D1286" t="s">
        <v>425</v>
      </c>
      <c r="F1286" t="s">
        <v>435</v>
      </c>
      <c r="G1286" t="str">
        <f>HYPERLINK("https://ca.linkedin.com/jobs/view/data-visualization-developer-analyst-at-blue-boat-data-3335318133?refId=a65iDsMvPeJ%2FYk%2FwIuVA4g%3D%3D&amp;trackingId=DYiHAG1zFEXE7j%2Fo%2BMuN8w%3D%3D&amp;position=2&amp;pageNum=0&amp;trk=public_jobs_jserp-result_search-card", "Job Link")</f>
        <v>Job Link</v>
      </c>
      <c r="L1286" t="s">
        <v>601</v>
      </c>
    </row>
    <row r="1287" spans="1:14" x14ac:dyDescent="0.25">
      <c r="A1287" t="s">
        <v>14</v>
      </c>
      <c r="B1287" t="s">
        <v>160</v>
      </c>
      <c r="C1287" t="s">
        <v>309</v>
      </c>
      <c r="D1287" t="s">
        <v>425</v>
      </c>
      <c r="E1287" t="s">
        <v>427</v>
      </c>
      <c r="F1287" t="s">
        <v>458</v>
      </c>
      <c r="G1287" t="str">
        <f>HYPERLINK("https://ca.linkedin.com/jobs/view/data-analyst-at-libitzky-property-companies-3314494593?refId=a65iDsMvPeJ%2FYk%2FwIuVA4g%3D%3D&amp;trackingId=3cbNnnl7HqRAjEOELIOkRA%3D%3D&amp;position=3&amp;pageNum=0&amp;trk=public_jobs_jserp-result_search-card", "Job Link")</f>
        <v>Job Link</v>
      </c>
      <c r="H1287" t="s">
        <v>476</v>
      </c>
      <c r="I1287" t="s">
        <v>481</v>
      </c>
      <c r="J1287" t="s">
        <v>486</v>
      </c>
      <c r="K1287" t="s">
        <v>516</v>
      </c>
      <c r="L1287" t="s">
        <v>601</v>
      </c>
    </row>
    <row r="1288" spans="1:14" x14ac:dyDescent="0.25">
      <c r="A1288" t="s">
        <v>14</v>
      </c>
      <c r="B1288" t="s">
        <v>161</v>
      </c>
      <c r="C1288" t="s">
        <v>310</v>
      </c>
      <c r="D1288" t="s">
        <v>425</v>
      </c>
      <c r="F1288" t="s">
        <v>435</v>
      </c>
      <c r="G1288" t="str">
        <f>HYPERLINK("https://ca.linkedin.com/jobs/view/data-analyst-at-spire-3340696458?refId=a65iDsMvPeJ%2FYk%2FwIuVA4g%3D%3D&amp;trackingId=RFgMH%2FVjr1bNZXRU6s24oQ%3D%3D&amp;position=4&amp;pageNum=0&amp;trk=public_jobs_jserp-result_search-card", "Job Link")</f>
        <v>Job Link</v>
      </c>
      <c r="H1288" t="s">
        <v>476</v>
      </c>
      <c r="I1288" t="s">
        <v>481</v>
      </c>
      <c r="J1288" t="s">
        <v>486</v>
      </c>
      <c r="K1288" t="s">
        <v>517</v>
      </c>
      <c r="L1288" t="s">
        <v>602</v>
      </c>
      <c r="M1288" t="s">
        <v>588</v>
      </c>
      <c r="N1288" t="s">
        <v>601</v>
      </c>
    </row>
    <row r="1289" spans="1:14" x14ac:dyDescent="0.25">
      <c r="A1289" t="s">
        <v>14</v>
      </c>
      <c r="B1289" t="s">
        <v>162</v>
      </c>
      <c r="C1289" t="s">
        <v>311</v>
      </c>
      <c r="D1289" t="s">
        <v>425</v>
      </c>
      <c r="F1289" t="s">
        <v>434</v>
      </c>
      <c r="G1289" t="str">
        <f>HYPERLINK("https://ca.linkedin.com/jobs/view/data-analyst-at-money-mart-financial-services-3361528052?refId=a65iDsMvPeJ%2FYk%2FwIuVA4g%3D%3D&amp;trackingId=i5Rxjoy9uci45EJ8LYc%2FeA%3D%3D&amp;position=5&amp;pageNum=0&amp;trk=public_jobs_jserp-result_search-card", "Job Link")</f>
        <v>Job Link</v>
      </c>
      <c r="H1289" t="s">
        <v>477</v>
      </c>
      <c r="I1289" t="s">
        <v>481</v>
      </c>
      <c r="J1289" t="s">
        <v>488</v>
      </c>
      <c r="K1289" t="s">
        <v>527</v>
      </c>
      <c r="L1289" t="s">
        <v>582</v>
      </c>
      <c r="M1289" t="s">
        <v>588</v>
      </c>
      <c r="N1289" t="s">
        <v>601</v>
      </c>
    </row>
    <row r="1290" spans="1:14" x14ac:dyDescent="0.25">
      <c r="A1290" t="s">
        <v>14</v>
      </c>
      <c r="B1290" t="s">
        <v>163</v>
      </c>
      <c r="C1290" t="s">
        <v>312</v>
      </c>
      <c r="D1290" t="s">
        <v>425</v>
      </c>
      <c r="F1290" t="s">
        <v>443</v>
      </c>
      <c r="G1290" t="str">
        <f>HYPERLINK("https://ca.linkedin.com/jobs/view/data-analyst-at-mojio-3363472062?refId=a65iDsMvPeJ%2FYk%2FwIuVA4g%3D%3D&amp;trackingId=4ROjUfcid3KK6jymwJA3OQ%3D%3D&amp;position=6&amp;pageNum=0&amp;trk=public_jobs_jserp-result_search-card", "Job Link")</f>
        <v>Job Link</v>
      </c>
      <c r="H1290" t="s">
        <v>478</v>
      </c>
      <c r="I1290" t="s">
        <v>481</v>
      </c>
      <c r="J1290" t="s">
        <v>493</v>
      </c>
      <c r="K1290" t="s">
        <v>544</v>
      </c>
      <c r="L1290" t="s">
        <v>601</v>
      </c>
    </row>
    <row r="1291" spans="1:14" x14ac:dyDescent="0.25">
      <c r="A1291" t="s">
        <v>41</v>
      </c>
      <c r="B1291" t="s">
        <v>164</v>
      </c>
      <c r="C1291" t="s">
        <v>313</v>
      </c>
      <c r="D1291" t="s">
        <v>425</v>
      </c>
      <c r="F1291" t="s">
        <v>444</v>
      </c>
      <c r="G1291" t="str">
        <f>HYPERLINK("https://ca.linkedin.com/jobs/view/product-data-analyst-at-pdftron-systems-inc-3322845144?refId=a65iDsMvPeJ%2FYk%2FwIuVA4g%3D%3D&amp;trackingId=0a7yB9L2nSAACU6yal1z4w%3D%3D&amp;position=7&amp;pageNum=0&amp;trk=public_jobs_jserp-result_search-card", "Job Link")</f>
        <v>Job Link</v>
      </c>
      <c r="H1291" t="s">
        <v>479</v>
      </c>
      <c r="I1291" t="s">
        <v>481</v>
      </c>
      <c r="J1291" t="s">
        <v>487</v>
      </c>
      <c r="K1291" t="s">
        <v>538</v>
      </c>
      <c r="L1291" t="s">
        <v>590</v>
      </c>
      <c r="M1291" t="s">
        <v>618</v>
      </c>
      <c r="N1291" t="s">
        <v>601</v>
      </c>
    </row>
    <row r="1292" spans="1:14" x14ac:dyDescent="0.25">
      <c r="A1292" t="s">
        <v>42</v>
      </c>
      <c r="B1292" t="s">
        <v>165</v>
      </c>
      <c r="C1292" t="s">
        <v>314</v>
      </c>
      <c r="D1292" t="s">
        <v>425</v>
      </c>
      <c r="F1292" t="s">
        <v>459</v>
      </c>
      <c r="G1292" t="str">
        <f>HYPERLINK("https://ca.linkedin.com/jobs/view/cognitive-data-analyst-at-wysdom-ai-3333087497?refId=a65iDsMvPeJ%2FYk%2FwIuVA4g%3D%3D&amp;trackingId=W72ARsgqNQrg4JyA3NYlMA%3D%3D&amp;position=8&amp;pageNum=0&amp;trk=public_jobs_jserp-result_search-card", "Job Link")</f>
        <v>Job Link</v>
      </c>
      <c r="H1292" t="s">
        <v>478</v>
      </c>
      <c r="I1292" t="s">
        <v>481</v>
      </c>
      <c r="J1292" t="s">
        <v>486</v>
      </c>
      <c r="K1292" t="s">
        <v>516</v>
      </c>
      <c r="L1292" t="s">
        <v>601</v>
      </c>
    </row>
    <row r="1293" spans="1:14" x14ac:dyDescent="0.25">
      <c r="A1293" t="s">
        <v>43</v>
      </c>
      <c r="B1293" t="s">
        <v>166</v>
      </c>
      <c r="C1293" t="s">
        <v>315</v>
      </c>
      <c r="D1293" t="s">
        <v>425</v>
      </c>
      <c r="F1293" t="s">
        <v>432</v>
      </c>
      <c r="G1293" t="str">
        <f>HYPERLINK("https://ca.linkedin.com/jobs/view/data-analyst-operations-at-felix-3360946633?refId=a65iDsMvPeJ%2FYk%2FwIuVA4g%3D%3D&amp;trackingId=egqUZZ8eWmJYF5K6OeTXYg%3D%3D&amp;position=9&amp;pageNum=0&amp;trk=public_jobs_jserp-result_search-card", "Job Link")</f>
        <v>Job Link</v>
      </c>
      <c r="I1293" t="s">
        <v>481</v>
      </c>
      <c r="L1293" t="s">
        <v>601</v>
      </c>
    </row>
    <row r="1294" spans="1:14" x14ac:dyDescent="0.25">
      <c r="A1294" t="s">
        <v>44</v>
      </c>
      <c r="B1294" t="s">
        <v>167</v>
      </c>
      <c r="C1294" t="s">
        <v>316</v>
      </c>
      <c r="D1294" t="s">
        <v>425</v>
      </c>
      <c r="F1294" t="s">
        <v>460</v>
      </c>
      <c r="G1294" t="str">
        <f>HYPERLINK("https://ca.linkedin.com/jobs/view/data-analyst-marketing-at-thescore-3272474942?refId=a65iDsMvPeJ%2FYk%2FwIuVA4g%3D%3D&amp;trackingId=piMuODxgx9ngn1G%2FzDm0lQ%3D%3D&amp;position=10&amp;pageNum=0&amp;trk=public_jobs_jserp-result_search-card", "Job Link")</f>
        <v>Job Link</v>
      </c>
      <c r="H1294" t="s">
        <v>476</v>
      </c>
      <c r="I1294" t="s">
        <v>481</v>
      </c>
      <c r="J1294" t="s">
        <v>486</v>
      </c>
      <c r="K1294" t="s">
        <v>545</v>
      </c>
      <c r="L1294" t="s">
        <v>582</v>
      </c>
      <c r="M1294" t="s">
        <v>588</v>
      </c>
      <c r="N1294" t="s">
        <v>601</v>
      </c>
    </row>
    <row r="1295" spans="1:14" x14ac:dyDescent="0.25">
      <c r="A1295" t="s">
        <v>45</v>
      </c>
      <c r="B1295" t="s">
        <v>168</v>
      </c>
      <c r="C1295" t="s">
        <v>317</v>
      </c>
      <c r="D1295" t="s">
        <v>425</v>
      </c>
      <c r="F1295" t="s">
        <v>443</v>
      </c>
      <c r="G1295" t="str">
        <f>HYPERLINK("https://ca.linkedin.com/jobs/view/senior-data-analyst-apac-marketplace-at-hopper-3363404929?refId=a65iDsMvPeJ%2FYk%2FwIuVA4g%3D%3D&amp;trackingId=9fAkIgU8iMHppQKVZ%2FQkSQ%3D%3D&amp;position=11&amp;pageNum=0&amp;trk=public_jobs_jserp-result_search-card", "Job Link")</f>
        <v>Job Link</v>
      </c>
      <c r="H1295" t="s">
        <v>478</v>
      </c>
      <c r="I1295" t="s">
        <v>485</v>
      </c>
      <c r="J1295" t="s">
        <v>486</v>
      </c>
      <c r="K1295" t="s">
        <v>538</v>
      </c>
      <c r="L1295" t="s">
        <v>601</v>
      </c>
    </row>
    <row r="1296" spans="1:14" x14ac:dyDescent="0.25">
      <c r="A1296" t="s">
        <v>46</v>
      </c>
      <c r="B1296" t="s">
        <v>169</v>
      </c>
      <c r="C1296" t="s">
        <v>318</v>
      </c>
      <c r="D1296" t="s">
        <v>425</v>
      </c>
      <c r="F1296" t="s">
        <v>461</v>
      </c>
      <c r="G1296">
        <v>0</v>
      </c>
      <c r="H1296" t="s">
        <v>478</v>
      </c>
      <c r="I1296" t="s">
        <v>481</v>
      </c>
      <c r="J1296" t="s">
        <v>494</v>
      </c>
      <c r="K1296" t="s">
        <v>546</v>
      </c>
      <c r="L1296" t="s">
        <v>601</v>
      </c>
    </row>
    <row r="1297" spans="1:14" x14ac:dyDescent="0.25">
      <c r="A1297" t="s">
        <v>20</v>
      </c>
      <c r="B1297" t="s">
        <v>170</v>
      </c>
      <c r="C1297" t="s">
        <v>319</v>
      </c>
      <c r="D1297" t="s">
        <v>425</v>
      </c>
      <c r="F1297" t="s">
        <v>450</v>
      </c>
      <c r="G1297" t="str">
        <f>HYPERLINK("https://ca.linkedin.com/jobs/view/senior-data-analyst-at-thinkific-3333572538?refId=a65iDsMvPeJ%2FYk%2FwIuVA4g%3D%3D&amp;trackingId=55VYE0Cvv1TYXQQXMscZbQ%3D%3D&amp;position=13&amp;pageNum=0&amp;trk=public_jobs_jserp-result_search-card", "Job Link")</f>
        <v>Job Link</v>
      </c>
      <c r="H1297" t="s">
        <v>478</v>
      </c>
      <c r="I1297" t="s">
        <v>481</v>
      </c>
      <c r="J1297" t="s">
        <v>495</v>
      </c>
      <c r="K1297" t="s">
        <v>547</v>
      </c>
      <c r="L1297" t="s">
        <v>601</v>
      </c>
    </row>
    <row r="1298" spans="1:14" x14ac:dyDescent="0.25">
      <c r="A1298" t="s">
        <v>47</v>
      </c>
      <c r="B1298" t="s">
        <v>171</v>
      </c>
      <c r="C1298" t="s">
        <v>320</v>
      </c>
      <c r="D1298" t="s">
        <v>425</v>
      </c>
      <c r="F1298" t="s">
        <v>447</v>
      </c>
      <c r="G1298" t="str">
        <f>HYPERLINK("https://ca.linkedin.com/jobs/view/insights-analyst-at-flashfood-3312876343?refId=a65iDsMvPeJ%2FYk%2FwIuVA4g%3D%3D&amp;trackingId=LaExgMNnBIyl5IZT66rBug%3D%3D&amp;position=14&amp;pageNum=0&amp;trk=public_jobs_jserp-result_search-card", "Job Link")</f>
        <v>Job Link</v>
      </c>
      <c r="I1298" t="s">
        <v>481</v>
      </c>
      <c r="L1298" t="s">
        <v>601</v>
      </c>
    </row>
    <row r="1299" spans="1:14" x14ac:dyDescent="0.25">
      <c r="A1299" t="s">
        <v>20</v>
      </c>
      <c r="B1299" t="s">
        <v>172</v>
      </c>
      <c r="C1299" t="s">
        <v>321</v>
      </c>
      <c r="D1299" t="s">
        <v>425</v>
      </c>
      <c r="F1299" t="s">
        <v>438</v>
      </c>
      <c r="G1299" t="str">
        <f>HYPERLINK("https://ca.linkedin.com/jobs/view/senior-data-analyst-at-system1-3324728130?refId=a65iDsMvPeJ%2FYk%2FwIuVA4g%3D%3D&amp;trackingId=V9rY3qnNmZg7qXh7JTEK%2FA%3D%3D&amp;position=15&amp;pageNum=0&amp;trk=public_jobs_jserp-result_search-card", "Job Link")</f>
        <v>Job Link</v>
      </c>
      <c r="H1299" t="s">
        <v>478</v>
      </c>
      <c r="I1299" t="s">
        <v>481</v>
      </c>
      <c r="J1299" t="s">
        <v>486</v>
      </c>
      <c r="K1299" t="s">
        <v>548</v>
      </c>
      <c r="L1299" t="s">
        <v>587</v>
      </c>
      <c r="M1299" t="s">
        <v>588</v>
      </c>
      <c r="N1299" t="s">
        <v>601</v>
      </c>
    </row>
    <row r="1300" spans="1:14" x14ac:dyDescent="0.25">
      <c r="A1300" t="s">
        <v>48</v>
      </c>
      <c r="B1300" t="s">
        <v>173</v>
      </c>
      <c r="C1300" t="s">
        <v>322</v>
      </c>
      <c r="D1300" t="s">
        <v>425</v>
      </c>
      <c r="F1300" t="s">
        <v>462</v>
      </c>
      <c r="G1300" t="str">
        <f>HYPERLINK("https://ca.linkedin.com/jobs/view/data-analyst-trilogy-remote-%2460-000-year-usd-at-crossover-3367086698?refId=a65iDsMvPeJ%2FYk%2FwIuVA4g%3D%3D&amp;trackingId=42efkDUAaNbGF%2ByuoL1%2FwA%3D%3D&amp;position=16&amp;pageNum=0&amp;trk=public_jobs_jserp-result_search-card", "Job Link")</f>
        <v>Job Link</v>
      </c>
      <c r="H1300" t="s">
        <v>477</v>
      </c>
      <c r="I1300" t="s">
        <v>481</v>
      </c>
      <c r="J1300" t="s">
        <v>496</v>
      </c>
      <c r="K1300" t="s">
        <v>549</v>
      </c>
      <c r="L1300" t="s">
        <v>582</v>
      </c>
      <c r="M1300" t="s">
        <v>588</v>
      </c>
      <c r="N1300" t="s">
        <v>601</v>
      </c>
    </row>
    <row r="1301" spans="1:14" x14ac:dyDescent="0.25">
      <c r="A1301" t="s">
        <v>49</v>
      </c>
      <c r="B1301" t="s">
        <v>174</v>
      </c>
      <c r="C1301" t="s">
        <v>323</v>
      </c>
      <c r="D1301" t="s">
        <v>425</v>
      </c>
      <c r="F1301" t="s">
        <v>433</v>
      </c>
      <c r="G1301" t="str">
        <f>HYPERLINK("https://ca.linkedin.com/jobs/view/product-data-analyst-wtfast-at-blankslate-partners-3350561493?refId=a65iDsMvPeJ%2FYk%2FwIuVA4g%3D%3D&amp;trackingId=FWmnnTz5U%2FsaiwjvzH3XlQ%3D%3D&amp;position=17&amp;pageNum=0&amp;trk=public_jobs_jserp-result_search-card", "Job Link")</f>
        <v>Job Link</v>
      </c>
      <c r="H1301" t="s">
        <v>479</v>
      </c>
      <c r="I1301" t="s">
        <v>481</v>
      </c>
      <c r="J1301" t="s">
        <v>497</v>
      </c>
      <c r="K1301" t="s">
        <v>538</v>
      </c>
      <c r="L1301" t="s">
        <v>603</v>
      </c>
      <c r="M1301" t="s">
        <v>618</v>
      </c>
      <c r="N1301" t="s">
        <v>601</v>
      </c>
    </row>
    <row r="1302" spans="1:14" x14ac:dyDescent="0.25">
      <c r="A1302" t="s">
        <v>50</v>
      </c>
      <c r="B1302" t="s">
        <v>175</v>
      </c>
      <c r="C1302" t="s">
        <v>324</v>
      </c>
      <c r="D1302" t="s">
        <v>425</v>
      </c>
      <c r="F1302" t="s">
        <v>443</v>
      </c>
      <c r="G1302" t="str">
        <f>HYPERLINK("https://ca.linkedin.com/jobs/view/senior-data-analyst-toronto-on-at-ssense-3369567279?refId=a65iDsMvPeJ%2FYk%2FwIuVA4g%3D%3D&amp;trackingId=1ua28MN62i2kJvWVeejANg%3D%3D&amp;position=18&amp;pageNum=0&amp;trk=public_jobs_jserp-result_search-card", "Job Link")</f>
        <v>Job Link</v>
      </c>
      <c r="H1302" t="s">
        <v>478</v>
      </c>
      <c r="I1302" t="s">
        <v>481</v>
      </c>
      <c r="J1302" t="s">
        <v>486</v>
      </c>
      <c r="K1302" t="s">
        <v>550</v>
      </c>
      <c r="L1302" t="s">
        <v>582</v>
      </c>
      <c r="M1302" t="s">
        <v>588</v>
      </c>
      <c r="N1302" t="s">
        <v>601</v>
      </c>
    </row>
    <row r="1303" spans="1:14" x14ac:dyDescent="0.25">
      <c r="A1303" t="s">
        <v>51</v>
      </c>
      <c r="B1303" t="s">
        <v>175</v>
      </c>
      <c r="C1303" t="s">
        <v>325</v>
      </c>
      <c r="D1303" t="s">
        <v>425</v>
      </c>
      <c r="F1303" t="s">
        <v>443</v>
      </c>
      <c r="G1303" t="str">
        <f>HYPERLINK("https://ca.linkedin.com/jobs/view/senior-data-analyst-analytics-insights-toronto-on-at-ssense-3369558722?refId=a65iDsMvPeJ%2FYk%2FwIuVA4g%3D%3D&amp;trackingId=H2BGMIG6YrECwhwyJzEg7A%3D%3D&amp;position=19&amp;pageNum=0&amp;trk=public_jobs_jserp-result_search-card", "Job Link")</f>
        <v>Job Link</v>
      </c>
      <c r="H1303" t="s">
        <v>478</v>
      </c>
      <c r="I1303" t="s">
        <v>481</v>
      </c>
      <c r="J1303" t="s">
        <v>491</v>
      </c>
      <c r="K1303" t="s">
        <v>550</v>
      </c>
      <c r="L1303" t="s">
        <v>582</v>
      </c>
      <c r="M1303" t="s">
        <v>588</v>
      </c>
      <c r="N1303" t="s">
        <v>601</v>
      </c>
    </row>
    <row r="1304" spans="1:14" x14ac:dyDescent="0.25">
      <c r="A1304" t="s">
        <v>51</v>
      </c>
      <c r="B1304" t="s">
        <v>175</v>
      </c>
      <c r="C1304" t="s">
        <v>325</v>
      </c>
      <c r="D1304" t="s">
        <v>425</v>
      </c>
      <c r="F1304" t="s">
        <v>443</v>
      </c>
      <c r="G1304" t="str">
        <f>HYPERLINK("https://ca.linkedin.com/jobs/view/senior-data-analyst-analytics-insights-toronto-on-at-ssense-3369560180?refId=a65iDsMvPeJ%2FYk%2FwIuVA4g%3D%3D&amp;trackingId=K91a%2BKW%2FMNRgvM%2BryINRsw%3D%3D&amp;position=20&amp;pageNum=0&amp;trk=public_jobs_jserp-result_search-card", "Job Link")</f>
        <v>Job Link</v>
      </c>
      <c r="H1304" t="s">
        <v>478</v>
      </c>
      <c r="I1304" t="s">
        <v>481</v>
      </c>
      <c r="J1304" t="s">
        <v>491</v>
      </c>
      <c r="K1304" t="s">
        <v>550</v>
      </c>
      <c r="L1304" t="s">
        <v>582</v>
      </c>
      <c r="M1304" t="s">
        <v>588</v>
      </c>
      <c r="N1304" t="s">
        <v>601</v>
      </c>
    </row>
    <row r="1305" spans="1:14" x14ac:dyDescent="0.25">
      <c r="A1305" t="s">
        <v>27</v>
      </c>
      <c r="B1305" t="s">
        <v>176</v>
      </c>
      <c r="C1305" t="s">
        <v>326</v>
      </c>
      <c r="D1305" t="s">
        <v>425</v>
      </c>
      <c r="F1305" t="s">
        <v>441</v>
      </c>
      <c r="G1305" t="str">
        <f>HYPERLINK("https://ca.linkedin.com/jobs/view/sr-data-analyst-at-telus-international-digital-solutions-3331944226?refId=a65iDsMvPeJ%2FYk%2FwIuVA4g%3D%3D&amp;trackingId=sTFAz%2FPoYdXWzkGbjTpejw%3D%3D&amp;position=21&amp;pageNum=0&amp;trk=public_jobs_jserp-result_search-card", "Job Link")</f>
        <v>Job Link</v>
      </c>
      <c r="H1305" t="s">
        <v>478</v>
      </c>
      <c r="I1305" t="s">
        <v>481</v>
      </c>
      <c r="J1305" t="s">
        <v>498</v>
      </c>
      <c r="K1305" t="s">
        <v>521</v>
      </c>
      <c r="L1305" t="s">
        <v>604</v>
      </c>
      <c r="M1305" t="s">
        <v>618</v>
      </c>
      <c r="N1305" t="s">
        <v>601</v>
      </c>
    </row>
    <row r="1306" spans="1:14" x14ac:dyDescent="0.25">
      <c r="A1306" t="s">
        <v>20</v>
      </c>
      <c r="B1306" t="s">
        <v>175</v>
      </c>
      <c r="C1306" t="s">
        <v>324</v>
      </c>
      <c r="D1306" t="s">
        <v>425</v>
      </c>
      <c r="F1306" t="s">
        <v>446</v>
      </c>
      <c r="G1306" t="str">
        <f>HYPERLINK("https://ca.linkedin.com/jobs/view/senior-data-analyst-at-ssense-3342165774?refId=a65iDsMvPeJ%2FYk%2FwIuVA4g%3D%3D&amp;trackingId=LnEQEW5sJZr9olXewJ3%2FAg%3D%3D&amp;position=22&amp;pageNum=0&amp;trk=public_jobs_jserp-result_search-card", "Job Link")</f>
        <v>Job Link</v>
      </c>
      <c r="H1306" t="s">
        <v>478</v>
      </c>
      <c r="I1306" t="s">
        <v>481</v>
      </c>
      <c r="J1306" t="s">
        <v>486</v>
      </c>
      <c r="K1306" t="s">
        <v>550</v>
      </c>
      <c r="L1306" t="s">
        <v>605</v>
      </c>
      <c r="M1306" t="s">
        <v>617</v>
      </c>
      <c r="N1306" t="s">
        <v>601</v>
      </c>
    </row>
    <row r="1307" spans="1:14" x14ac:dyDescent="0.25">
      <c r="A1307" t="s">
        <v>14</v>
      </c>
      <c r="B1307" t="s">
        <v>158</v>
      </c>
      <c r="C1307" t="s">
        <v>307</v>
      </c>
      <c r="D1307" t="s">
        <v>425</v>
      </c>
      <c r="F1307" t="s">
        <v>430</v>
      </c>
      <c r="G1307" t="str">
        <f>HYPERLINK("https://ca.linkedin.com/jobs/view/data-analyst-at-empire-life-3324608289?refId=%2Fci6AdXIAIIhSV3eFmpyTw%3D%3D&amp;trackingId=Ju4I9IHKsMqsGGYFGtrfxQ%3D%3D&amp;position=1&amp;pageNum=0&amp;trk=public_jobs_jserp-result_search-card", "Job Link")</f>
        <v>Job Link</v>
      </c>
      <c r="H1307" t="s">
        <v>476</v>
      </c>
      <c r="I1307" t="s">
        <v>481</v>
      </c>
      <c r="J1307" t="s">
        <v>485</v>
      </c>
      <c r="K1307" t="s">
        <v>523</v>
      </c>
      <c r="L1307" t="s">
        <v>601</v>
      </c>
    </row>
    <row r="1308" spans="1:14" x14ac:dyDescent="0.25">
      <c r="A1308" t="s">
        <v>40</v>
      </c>
      <c r="B1308" t="s">
        <v>159</v>
      </c>
      <c r="C1308" t="s">
        <v>308</v>
      </c>
      <c r="D1308" t="s">
        <v>425</v>
      </c>
      <c r="F1308" t="s">
        <v>435</v>
      </c>
      <c r="G1308" t="str">
        <f>HYPERLINK("https://ca.linkedin.com/jobs/view/data-visualization-developer-analyst-at-blue-boat-data-3335318133?refId=%2Fci6AdXIAIIhSV3eFmpyTw%3D%3D&amp;trackingId=JNuvts%2F9ijbpowfMyvmACA%3D%3D&amp;position=2&amp;pageNum=0&amp;trk=public_jobs_jserp-result_search-card", "Job Link")</f>
        <v>Job Link</v>
      </c>
      <c r="I1308" t="s">
        <v>483</v>
      </c>
      <c r="L1308" t="s">
        <v>601</v>
      </c>
    </row>
    <row r="1309" spans="1:14" x14ac:dyDescent="0.25">
      <c r="A1309" t="s">
        <v>14</v>
      </c>
      <c r="B1309" t="s">
        <v>160</v>
      </c>
      <c r="C1309" t="s">
        <v>309</v>
      </c>
      <c r="D1309" t="s">
        <v>425</v>
      </c>
      <c r="E1309" t="s">
        <v>427</v>
      </c>
      <c r="F1309" t="s">
        <v>458</v>
      </c>
      <c r="G1309" t="str">
        <f>HYPERLINK("https://ca.linkedin.com/jobs/view/data-analyst-at-libitzky-property-companies-3314494593?refId=%2Fci6AdXIAIIhSV3eFmpyTw%3D%3D&amp;trackingId=OdUflOmVuXxm8zZQkB6f%2Fg%3D%3D&amp;position=3&amp;pageNum=0&amp;trk=public_jobs_jserp-result_search-card", "Job Link")</f>
        <v>Job Link</v>
      </c>
      <c r="H1309" t="s">
        <v>476</v>
      </c>
      <c r="I1309" t="s">
        <v>481</v>
      </c>
      <c r="J1309" t="s">
        <v>486</v>
      </c>
      <c r="K1309" t="s">
        <v>516</v>
      </c>
      <c r="L1309" t="s">
        <v>601</v>
      </c>
    </row>
    <row r="1310" spans="1:14" x14ac:dyDescent="0.25">
      <c r="A1310" t="s">
        <v>14</v>
      </c>
      <c r="B1310" t="s">
        <v>161</v>
      </c>
      <c r="C1310" t="s">
        <v>310</v>
      </c>
      <c r="D1310" t="s">
        <v>425</v>
      </c>
      <c r="F1310" t="s">
        <v>435</v>
      </c>
      <c r="G1310" t="str">
        <f>HYPERLINK("https://ca.linkedin.com/jobs/view/data-analyst-at-spire-3340696458?refId=%2Fci6AdXIAIIhSV3eFmpyTw%3D%3D&amp;trackingId=XXPZ%2BTCaBaCOCWUMFduLTw%3D%3D&amp;position=4&amp;pageNum=0&amp;trk=public_jobs_jserp-result_search-card", "Job Link")</f>
        <v>Job Link</v>
      </c>
      <c r="H1310" t="s">
        <v>476</v>
      </c>
      <c r="I1310" t="s">
        <v>481</v>
      </c>
      <c r="J1310" t="s">
        <v>486</v>
      </c>
      <c r="K1310" t="s">
        <v>517</v>
      </c>
      <c r="L1310" t="s">
        <v>602</v>
      </c>
      <c r="M1310" t="s">
        <v>588</v>
      </c>
      <c r="N1310" t="s">
        <v>601</v>
      </c>
    </row>
    <row r="1311" spans="1:14" x14ac:dyDescent="0.25">
      <c r="A1311" t="s">
        <v>14</v>
      </c>
      <c r="B1311" t="s">
        <v>163</v>
      </c>
      <c r="C1311" t="s">
        <v>312</v>
      </c>
      <c r="D1311" t="s">
        <v>425</v>
      </c>
      <c r="F1311" t="s">
        <v>443</v>
      </c>
      <c r="G1311" t="str">
        <f>HYPERLINK("https://ca.linkedin.com/jobs/view/data-analyst-at-mojio-3363472062?refId=%2Fci6AdXIAIIhSV3eFmpyTw%3D%3D&amp;trackingId=HnWUHun%2FQpd%2BGzrsklsDBw%3D%3D&amp;position=5&amp;pageNum=0&amp;trk=public_jobs_jserp-result_search-card", "Job Link")</f>
        <v>Job Link</v>
      </c>
      <c r="H1311" t="s">
        <v>478</v>
      </c>
      <c r="I1311" t="s">
        <v>481</v>
      </c>
      <c r="J1311" t="s">
        <v>493</v>
      </c>
      <c r="K1311" t="s">
        <v>544</v>
      </c>
      <c r="L1311" t="s">
        <v>601</v>
      </c>
    </row>
    <row r="1312" spans="1:14" x14ac:dyDescent="0.25">
      <c r="A1312" t="s">
        <v>41</v>
      </c>
      <c r="B1312" t="s">
        <v>164</v>
      </c>
      <c r="C1312" t="s">
        <v>313</v>
      </c>
      <c r="D1312" t="s">
        <v>425</v>
      </c>
      <c r="F1312" t="s">
        <v>444</v>
      </c>
      <c r="G1312" t="str">
        <f>HYPERLINK("https://ca.linkedin.com/jobs/view/product-data-analyst-at-pdftron-systems-inc-3322845144?refId=%2Fci6AdXIAIIhSV3eFmpyTw%3D%3D&amp;trackingId=L9lDrRdWybmDKSRCbXbKMw%3D%3D&amp;position=6&amp;pageNum=0&amp;trk=public_jobs_jserp-result_search-card", "Job Link")</f>
        <v>Job Link</v>
      </c>
      <c r="H1312" t="s">
        <v>479</v>
      </c>
      <c r="I1312" t="s">
        <v>481</v>
      </c>
      <c r="J1312" t="s">
        <v>487</v>
      </c>
      <c r="K1312" t="s">
        <v>538</v>
      </c>
      <c r="L1312" t="s">
        <v>590</v>
      </c>
      <c r="M1312" t="s">
        <v>618</v>
      </c>
      <c r="N1312" t="s">
        <v>601</v>
      </c>
    </row>
    <row r="1313" spans="1:14" x14ac:dyDescent="0.25">
      <c r="A1313" t="s">
        <v>42</v>
      </c>
      <c r="B1313" t="s">
        <v>165</v>
      </c>
      <c r="C1313" t="s">
        <v>314</v>
      </c>
      <c r="D1313" t="s">
        <v>425</v>
      </c>
      <c r="F1313" t="s">
        <v>459</v>
      </c>
      <c r="G1313" t="str">
        <f>HYPERLINK("https://ca.linkedin.com/jobs/view/cognitive-data-analyst-at-wysdom-ai-3333087497?refId=%2Fci6AdXIAIIhSV3eFmpyTw%3D%3D&amp;trackingId=jnIFTxnuUlF1vuP11mNX5Q%3D%3D&amp;position=7&amp;pageNum=0&amp;trk=public_jobs_jserp-result_search-card", "Job Link")</f>
        <v>Job Link</v>
      </c>
      <c r="H1313" t="s">
        <v>478</v>
      </c>
      <c r="I1313" t="s">
        <v>481</v>
      </c>
      <c r="J1313" t="s">
        <v>486</v>
      </c>
      <c r="K1313" t="s">
        <v>516</v>
      </c>
      <c r="L1313" t="s">
        <v>601</v>
      </c>
    </row>
    <row r="1314" spans="1:14" x14ac:dyDescent="0.25">
      <c r="A1314" t="s">
        <v>14</v>
      </c>
      <c r="B1314" t="s">
        <v>162</v>
      </c>
      <c r="C1314" t="s">
        <v>311</v>
      </c>
      <c r="D1314" t="s">
        <v>425</v>
      </c>
      <c r="F1314" t="s">
        <v>434</v>
      </c>
      <c r="G1314" t="str">
        <f>HYPERLINK("https://ca.linkedin.com/jobs/view/data-analyst-at-money-mart-financial-services-3361528052?refId=%2Fci6AdXIAIIhSV3eFmpyTw%3D%3D&amp;trackingId=y6bKOxjPdlOxAJ9gLBO0zg%3D%3D&amp;position=8&amp;pageNum=0&amp;trk=public_jobs_jserp-result_search-card", "Job Link")</f>
        <v>Job Link</v>
      </c>
      <c r="H1314" t="s">
        <v>477</v>
      </c>
      <c r="I1314" t="s">
        <v>481</v>
      </c>
      <c r="J1314" t="s">
        <v>488</v>
      </c>
      <c r="K1314" t="s">
        <v>527</v>
      </c>
      <c r="L1314" t="s">
        <v>582</v>
      </c>
      <c r="M1314" t="s">
        <v>588</v>
      </c>
      <c r="N1314" t="s">
        <v>601</v>
      </c>
    </row>
    <row r="1315" spans="1:14" x14ac:dyDescent="0.25">
      <c r="A1315" t="s">
        <v>44</v>
      </c>
      <c r="B1315" t="s">
        <v>167</v>
      </c>
      <c r="C1315" t="s">
        <v>316</v>
      </c>
      <c r="D1315" t="s">
        <v>425</v>
      </c>
      <c r="F1315" t="s">
        <v>460</v>
      </c>
      <c r="G1315" t="str">
        <f>HYPERLINK("https://ca.linkedin.com/jobs/view/data-analyst-marketing-at-thescore-3272474942?refId=%2Fci6AdXIAIIhSV3eFmpyTw%3D%3D&amp;trackingId=j8fiexzEJvgP4HPzxqe9dw%3D%3D&amp;position=9&amp;pageNum=0&amp;trk=public_jobs_jserp-result_search-card", "Job Link")</f>
        <v>Job Link</v>
      </c>
      <c r="H1315" t="s">
        <v>476</v>
      </c>
      <c r="I1315" t="s">
        <v>481</v>
      </c>
      <c r="J1315" t="s">
        <v>486</v>
      </c>
      <c r="K1315" t="s">
        <v>545</v>
      </c>
      <c r="L1315" t="s">
        <v>582</v>
      </c>
      <c r="M1315" t="s">
        <v>588</v>
      </c>
      <c r="N1315" t="s">
        <v>601</v>
      </c>
    </row>
    <row r="1316" spans="1:14" x14ac:dyDescent="0.25">
      <c r="A1316" t="s">
        <v>45</v>
      </c>
      <c r="B1316" t="s">
        <v>168</v>
      </c>
      <c r="C1316" t="s">
        <v>317</v>
      </c>
      <c r="D1316" t="s">
        <v>425</v>
      </c>
      <c r="F1316" t="s">
        <v>443</v>
      </c>
      <c r="G1316" t="str">
        <f>HYPERLINK("https://ca.linkedin.com/jobs/view/senior-data-analyst-apac-marketplace-at-hopper-3363404929?refId=%2Fci6AdXIAIIhSV3eFmpyTw%3D%3D&amp;trackingId=Y1eDJ4o4rjEpr4erXnjAJg%3D%3D&amp;position=10&amp;pageNum=0&amp;trk=public_jobs_jserp-result_search-card", "Job Link")</f>
        <v>Job Link</v>
      </c>
      <c r="H1316" t="s">
        <v>478</v>
      </c>
      <c r="I1316" t="s">
        <v>485</v>
      </c>
      <c r="J1316" t="s">
        <v>486</v>
      </c>
      <c r="K1316" t="s">
        <v>538</v>
      </c>
      <c r="L1316" t="s">
        <v>601</v>
      </c>
    </row>
    <row r="1317" spans="1:14" x14ac:dyDescent="0.25">
      <c r="A1317" t="s">
        <v>46</v>
      </c>
      <c r="B1317" t="s">
        <v>169</v>
      </c>
      <c r="C1317" t="s">
        <v>318</v>
      </c>
      <c r="D1317" t="s">
        <v>425</v>
      </c>
      <c r="F1317" t="s">
        <v>461</v>
      </c>
      <c r="G1317" t="str">
        <f>HYPERLINK("https://ca.linkedin.com/jobs/view/senior-data-analyst-remote-at-insurance-supermarket-international-usa-3347334252?refId=%2Fci6AdXIAIIhSV3eFmpyTw%3D%3D&amp;trackingId=AcUet7J1nMnCNIS1DYVxXA%3D%3D&amp;position=11&amp;pageNum=0&amp;trk=public_jobs_jserp-result_search-card", "Job Link")</f>
        <v>Job Link</v>
      </c>
      <c r="H1317" t="s">
        <v>478</v>
      </c>
      <c r="I1317" t="s">
        <v>481</v>
      </c>
      <c r="J1317" t="s">
        <v>494</v>
      </c>
      <c r="K1317" t="s">
        <v>546</v>
      </c>
      <c r="L1317" t="s">
        <v>601</v>
      </c>
    </row>
    <row r="1318" spans="1:14" x14ac:dyDescent="0.25">
      <c r="A1318" t="s">
        <v>20</v>
      </c>
      <c r="B1318" t="s">
        <v>170</v>
      </c>
      <c r="C1318" t="s">
        <v>319</v>
      </c>
      <c r="D1318" t="s">
        <v>425</v>
      </c>
      <c r="F1318" t="s">
        <v>450</v>
      </c>
      <c r="G1318" t="str">
        <f>HYPERLINK("https://ca.linkedin.com/jobs/view/senior-data-analyst-at-thinkific-3333572538?refId=%2Fci6AdXIAIIhSV3eFmpyTw%3D%3D&amp;trackingId=%2BdGSvVru1Q6SJPsIpUmq0A%3D%3D&amp;position=12&amp;pageNum=0&amp;trk=public_jobs_jserp-result_search-card", "Job Link")</f>
        <v>Job Link</v>
      </c>
      <c r="H1318" t="s">
        <v>478</v>
      </c>
      <c r="I1318" t="s">
        <v>481</v>
      </c>
      <c r="J1318" t="s">
        <v>495</v>
      </c>
      <c r="K1318" t="s">
        <v>547</v>
      </c>
      <c r="L1318" t="s">
        <v>601</v>
      </c>
    </row>
    <row r="1319" spans="1:14" x14ac:dyDescent="0.25">
      <c r="A1319" t="s">
        <v>47</v>
      </c>
      <c r="B1319" t="s">
        <v>171</v>
      </c>
      <c r="C1319" t="s">
        <v>320</v>
      </c>
      <c r="D1319" t="s">
        <v>425</v>
      </c>
      <c r="F1319" t="s">
        <v>447</v>
      </c>
      <c r="G1319" t="str">
        <f>HYPERLINK("https://ca.linkedin.com/jobs/view/insights-analyst-at-flashfood-3312876343?refId=%2Fci6AdXIAIIhSV3eFmpyTw%3D%3D&amp;trackingId=j5MzfO1uTCgfYJRi9g1KTw%3D%3D&amp;position=13&amp;pageNum=0&amp;trk=public_jobs_jserp-result_search-card", "Job Link")</f>
        <v>Job Link</v>
      </c>
      <c r="I1319" t="s">
        <v>481</v>
      </c>
      <c r="L1319" t="s">
        <v>601</v>
      </c>
    </row>
    <row r="1320" spans="1:14" x14ac:dyDescent="0.25">
      <c r="A1320" t="s">
        <v>20</v>
      </c>
      <c r="B1320" t="s">
        <v>172</v>
      </c>
      <c r="C1320" t="s">
        <v>321</v>
      </c>
      <c r="D1320" t="s">
        <v>425</v>
      </c>
      <c r="F1320" t="s">
        <v>438</v>
      </c>
      <c r="G1320" t="str">
        <f>HYPERLINK("https://ca.linkedin.com/jobs/view/senior-data-analyst-at-system1-3324728130?refId=%2Fci6AdXIAIIhSV3eFmpyTw%3D%3D&amp;trackingId=GYdJz0n75I8bP9Lato8tgg%3D%3D&amp;position=14&amp;pageNum=0&amp;trk=public_jobs_jserp-result_search-card", "Job Link")</f>
        <v>Job Link</v>
      </c>
      <c r="H1320" t="s">
        <v>478</v>
      </c>
      <c r="I1320" t="s">
        <v>481</v>
      </c>
      <c r="J1320" t="s">
        <v>486</v>
      </c>
      <c r="K1320" t="s">
        <v>548</v>
      </c>
      <c r="L1320" t="s">
        <v>587</v>
      </c>
      <c r="M1320" t="s">
        <v>588</v>
      </c>
      <c r="N1320" t="s">
        <v>601</v>
      </c>
    </row>
    <row r="1321" spans="1:14" x14ac:dyDescent="0.25">
      <c r="A1321" t="s">
        <v>48</v>
      </c>
      <c r="B1321" t="s">
        <v>173</v>
      </c>
      <c r="C1321" t="s">
        <v>322</v>
      </c>
      <c r="D1321" t="s">
        <v>425</v>
      </c>
      <c r="F1321" t="s">
        <v>462</v>
      </c>
      <c r="G1321" t="str">
        <f>HYPERLINK("https://ca.linkedin.com/jobs/view/data-analyst-trilogy-remote-%2460-000-year-usd-at-crossover-3367086698?refId=%2Fci6AdXIAIIhSV3eFmpyTw%3D%3D&amp;trackingId=n%2FgGUY0DdsoBqdre6%2B78Tg%3D%3D&amp;position=15&amp;pageNum=0&amp;trk=public_jobs_jserp-result_search-card", "Job Link")</f>
        <v>Job Link</v>
      </c>
      <c r="H1321" t="s">
        <v>477</v>
      </c>
      <c r="I1321" t="s">
        <v>481</v>
      </c>
      <c r="J1321" t="s">
        <v>496</v>
      </c>
      <c r="K1321" t="s">
        <v>549</v>
      </c>
      <c r="L1321" t="s">
        <v>582</v>
      </c>
      <c r="M1321" t="s">
        <v>588</v>
      </c>
      <c r="N1321" t="s">
        <v>601</v>
      </c>
    </row>
    <row r="1322" spans="1:14" x14ac:dyDescent="0.25">
      <c r="A1322" t="s">
        <v>49</v>
      </c>
      <c r="B1322" t="s">
        <v>174</v>
      </c>
      <c r="C1322" t="s">
        <v>323</v>
      </c>
      <c r="D1322" t="s">
        <v>425</v>
      </c>
      <c r="F1322" t="s">
        <v>433</v>
      </c>
      <c r="G1322" t="str">
        <f>HYPERLINK("https://ca.linkedin.com/jobs/view/product-data-analyst-wtfast-at-blankslate-partners-3350561493?refId=%2Fci6AdXIAIIhSV3eFmpyTw%3D%3D&amp;trackingId=ewmEKqMP%2BglidiNxCnq5Ww%3D%3D&amp;position=16&amp;pageNum=0&amp;trk=public_jobs_jserp-result_search-card", "Job Link")</f>
        <v>Job Link</v>
      </c>
      <c r="H1322" t="s">
        <v>479</v>
      </c>
      <c r="I1322" t="s">
        <v>481</v>
      </c>
      <c r="J1322" t="s">
        <v>497</v>
      </c>
      <c r="K1322" t="s">
        <v>538</v>
      </c>
      <c r="L1322" t="s">
        <v>603</v>
      </c>
      <c r="M1322" t="s">
        <v>618</v>
      </c>
      <c r="N1322" t="s">
        <v>601</v>
      </c>
    </row>
    <row r="1323" spans="1:14" x14ac:dyDescent="0.25">
      <c r="A1323" t="s">
        <v>50</v>
      </c>
      <c r="B1323" t="s">
        <v>175</v>
      </c>
      <c r="C1323" t="s">
        <v>324</v>
      </c>
      <c r="D1323" t="s">
        <v>425</v>
      </c>
      <c r="F1323" t="s">
        <v>443</v>
      </c>
      <c r="G1323" t="str">
        <f>HYPERLINK("https://ca.linkedin.com/jobs/view/senior-data-analyst-toronto-on-at-ssense-3369567279?refId=%2Fci6AdXIAIIhSV3eFmpyTw%3D%3D&amp;trackingId=tczMwcT4fIYFpm%2BqFGh78w%3D%3D&amp;position=17&amp;pageNum=0&amp;trk=public_jobs_jserp-result_search-card", "Job Link")</f>
        <v>Job Link</v>
      </c>
      <c r="H1323" t="s">
        <v>478</v>
      </c>
      <c r="I1323" t="s">
        <v>481</v>
      </c>
      <c r="J1323" t="s">
        <v>486</v>
      </c>
      <c r="K1323" t="s">
        <v>550</v>
      </c>
      <c r="L1323" t="s">
        <v>582</v>
      </c>
      <c r="M1323" t="s">
        <v>588</v>
      </c>
      <c r="N1323" t="s">
        <v>601</v>
      </c>
    </row>
    <row r="1324" spans="1:14" x14ac:dyDescent="0.25">
      <c r="A1324" t="s">
        <v>51</v>
      </c>
      <c r="B1324" t="s">
        <v>175</v>
      </c>
      <c r="C1324" t="s">
        <v>325</v>
      </c>
      <c r="D1324" t="s">
        <v>425</v>
      </c>
      <c r="F1324" t="s">
        <v>443</v>
      </c>
      <c r="G1324" t="str">
        <f>HYPERLINK("https://ca.linkedin.com/jobs/view/senior-data-analyst-analytics-insights-toronto-on-at-ssense-3369558722?refId=%2Fci6AdXIAIIhSV3eFmpyTw%3D%3D&amp;trackingId=stNc5vI83VC9xkisCXAuag%3D%3D&amp;position=18&amp;pageNum=0&amp;trk=public_jobs_jserp-result_search-card", "Job Link")</f>
        <v>Job Link</v>
      </c>
      <c r="H1324" t="s">
        <v>478</v>
      </c>
      <c r="I1324" t="s">
        <v>481</v>
      </c>
      <c r="J1324" t="s">
        <v>491</v>
      </c>
      <c r="K1324" t="s">
        <v>550</v>
      </c>
      <c r="L1324" t="s">
        <v>582</v>
      </c>
      <c r="M1324" t="s">
        <v>588</v>
      </c>
      <c r="N1324" t="s">
        <v>601</v>
      </c>
    </row>
    <row r="1325" spans="1:14" x14ac:dyDescent="0.25">
      <c r="A1325" t="s">
        <v>51</v>
      </c>
      <c r="B1325" t="s">
        <v>175</v>
      </c>
      <c r="C1325" t="s">
        <v>325</v>
      </c>
      <c r="D1325" t="s">
        <v>425</v>
      </c>
      <c r="F1325" t="s">
        <v>443</v>
      </c>
      <c r="G1325" t="str">
        <f>HYPERLINK("https://ca.linkedin.com/jobs/view/senior-data-analyst-analytics-insights-toronto-on-at-ssense-3369560180?refId=%2Fci6AdXIAIIhSV3eFmpyTw%3D%3D&amp;trackingId=LpmNbcwnG6t9Ts79txmwgA%3D%3D&amp;position=19&amp;pageNum=0&amp;trk=public_jobs_jserp-result_search-card", "Job Link")</f>
        <v>Job Link</v>
      </c>
      <c r="H1325" t="s">
        <v>478</v>
      </c>
      <c r="I1325" t="s">
        <v>481</v>
      </c>
      <c r="J1325" t="s">
        <v>491</v>
      </c>
      <c r="K1325" t="s">
        <v>550</v>
      </c>
      <c r="L1325" t="s">
        <v>582</v>
      </c>
      <c r="M1325" t="s">
        <v>588</v>
      </c>
      <c r="N1325" t="s">
        <v>601</v>
      </c>
    </row>
    <row r="1326" spans="1:14" x14ac:dyDescent="0.25">
      <c r="A1326" t="s">
        <v>27</v>
      </c>
      <c r="B1326" t="s">
        <v>176</v>
      </c>
      <c r="C1326" t="s">
        <v>326</v>
      </c>
      <c r="D1326" t="s">
        <v>425</v>
      </c>
      <c r="F1326" t="s">
        <v>441</v>
      </c>
      <c r="G1326" t="str">
        <f>HYPERLINK("https://ca.linkedin.com/jobs/view/sr-data-analyst-at-telus-international-digital-solutions-3331944226?refId=%2Fci6AdXIAIIhSV3eFmpyTw%3D%3D&amp;trackingId=XXV2IuyEOL7%2BbLLWDqiOag%3D%3D&amp;position=20&amp;pageNum=0&amp;trk=public_jobs_jserp-result_search-card", "Job Link")</f>
        <v>Job Link</v>
      </c>
      <c r="H1326" t="s">
        <v>478</v>
      </c>
      <c r="I1326" t="s">
        <v>481</v>
      </c>
      <c r="J1326" t="s">
        <v>498</v>
      </c>
      <c r="K1326" t="s">
        <v>521</v>
      </c>
      <c r="L1326" t="s">
        <v>604</v>
      </c>
      <c r="M1326" t="s">
        <v>618</v>
      </c>
      <c r="N1326" t="s">
        <v>601</v>
      </c>
    </row>
    <row r="1327" spans="1:14" x14ac:dyDescent="0.25">
      <c r="A1327" t="s">
        <v>20</v>
      </c>
      <c r="B1327" t="s">
        <v>175</v>
      </c>
      <c r="C1327" t="s">
        <v>324</v>
      </c>
      <c r="D1327" t="s">
        <v>425</v>
      </c>
      <c r="F1327" t="s">
        <v>446</v>
      </c>
      <c r="G1327" t="str">
        <f>HYPERLINK("https://ca.linkedin.com/jobs/view/senior-data-analyst-at-ssense-3342165774?refId=%2Fci6AdXIAIIhSV3eFmpyTw%3D%3D&amp;trackingId=aFOBhKwSLQ3QLPw5HJ2d%2Bg%3D%3D&amp;position=21&amp;pageNum=0&amp;trk=public_jobs_jserp-result_search-card", "Job Link")</f>
        <v>Job Link</v>
      </c>
      <c r="H1327" t="s">
        <v>478</v>
      </c>
      <c r="I1327" t="s">
        <v>481</v>
      </c>
      <c r="J1327" t="s">
        <v>486</v>
      </c>
      <c r="K1327" t="s">
        <v>550</v>
      </c>
      <c r="L1327" t="s">
        <v>605</v>
      </c>
      <c r="M1327" t="s">
        <v>617</v>
      </c>
      <c r="N1327" t="s">
        <v>601</v>
      </c>
    </row>
    <row r="1328" spans="1:14" x14ac:dyDescent="0.25">
      <c r="A1328" t="s">
        <v>53</v>
      </c>
      <c r="B1328" t="s">
        <v>177</v>
      </c>
      <c r="C1328" t="s">
        <v>328</v>
      </c>
      <c r="D1328" t="s">
        <v>425</v>
      </c>
      <c r="F1328" t="s">
        <v>454</v>
      </c>
      <c r="G1328" t="str">
        <f>HYPERLINK("https://ca.linkedin.com/jobs/view/gaming-data-analyst-at-insight-global-3338526926?refId=%2Fci6AdXIAIIhSV3eFmpyTw%3D%3D&amp;trackingId=WefZRKkKCBXAQLz%2B34norQ%3D%3D&amp;position=22&amp;pageNum=0&amp;trk=public_jobs_jserp-result_search-card", "Job Link")</f>
        <v>Job Link</v>
      </c>
      <c r="H1328" t="s">
        <v>478</v>
      </c>
      <c r="I1328" t="s">
        <v>483</v>
      </c>
      <c r="J1328" t="s">
        <v>486</v>
      </c>
      <c r="K1328" t="s">
        <v>518</v>
      </c>
      <c r="L1328" t="s">
        <v>601</v>
      </c>
    </row>
    <row r="1329" spans="1:14" x14ac:dyDescent="0.25">
      <c r="A1329" t="s">
        <v>54</v>
      </c>
      <c r="B1329" t="s">
        <v>178</v>
      </c>
      <c r="C1329" t="s">
        <v>329</v>
      </c>
      <c r="D1329" t="s">
        <v>425</v>
      </c>
      <c r="F1329" t="s">
        <v>430</v>
      </c>
      <c r="G1329">
        <v>0</v>
      </c>
      <c r="H1329" t="s">
        <v>476</v>
      </c>
      <c r="I1329" t="s">
        <v>481</v>
      </c>
      <c r="J1329" t="s">
        <v>486</v>
      </c>
      <c r="K1329" t="s">
        <v>521</v>
      </c>
      <c r="L1329" t="s">
        <v>582</v>
      </c>
      <c r="M1329" t="s">
        <v>588</v>
      </c>
      <c r="N1329" t="s">
        <v>601</v>
      </c>
    </row>
    <row r="1330" spans="1:14" x14ac:dyDescent="0.25">
      <c r="A1330" t="s">
        <v>54</v>
      </c>
      <c r="B1330" t="s">
        <v>178</v>
      </c>
      <c r="C1330" t="s">
        <v>329</v>
      </c>
      <c r="D1330" t="s">
        <v>425</v>
      </c>
      <c r="F1330" t="s">
        <v>430</v>
      </c>
      <c r="G1330">
        <v>0</v>
      </c>
      <c r="H1330" t="s">
        <v>476</v>
      </c>
      <c r="I1330" t="s">
        <v>481</v>
      </c>
      <c r="J1330" t="s">
        <v>486</v>
      </c>
      <c r="K1330" t="s">
        <v>521</v>
      </c>
      <c r="L1330" t="s">
        <v>606</v>
      </c>
      <c r="M1330" t="s">
        <v>618</v>
      </c>
      <c r="N1330" t="s">
        <v>601</v>
      </c>
    </row>
    <row r="1331" spans="1:14" x14ac:dyDescent="0.25">
      <c r="A1331" t="s">
        <v>47</v>
      </c>
      <c r="B1331" t="s">
        <v>171</v>
      </c>
      <c r="C1331" t="s">
        <v>320</v>
      </c>
      <c r="D1331" t="s">
        <v>425</v>
      </c>
      <c r="F1331" t="s">
        <v>447</v>
      </c>
      <c r="G1331" t="str">
        <f>HYPERLINK("https://ca.linkedin.com/jobs/view/insights-analyst-at-flashfood-3312876343?refId=AMVjtS9WP8WfFkYwHCvBMw%3D%3D&amp;trackingId=b%2FYvG2gErBEA1ECOyaNvEA%3D%3D&amp;position=3&amp;pageNum=0&amp;trk=public_jobs_jserp-result_search-card", "Job Link")</f>
        <v>Job Link</v>
      </c>
      <c r="I1331" t="s">
        <v>481</v>
      </c>
      <c r="L1331" t="s">
        <v>601</v>
      </c>
    </row>
    <row r="1332" spans="1:14" x14ac:dyDescent="0.25">
      <c r="A1332" t="s">
        <v>20</v>
      </c>
      <c r="B1332" t="s">
        <v>172</v>
      </c>
      <c r="C1332" t="s">
        <v>321</v>
      </c>
      <c r="D1332" t="s">
        <v>425</v>
      </c>
      <c r="F1332" t="s">
        <v>438</v>
      </c>
      <c r="G1332" t="str">
        <f>HYPERLINK("https://ca.linkedin.com/jobs/view/senior-data-analyst-at-system1-3324728130?refId=AMVjtS9WP8WfFkYwHCvBMw%3D%3D&amp;trackingId=1CqSe5n5%2BlC2g5Z9h%2BIMLA%3D%3D&amp;position=4&amp;pageNum=0&amp;trk=public_jobs_jserp-result_search-card", "Job Link")</f>
        <v>Job Link</v>
      </c>
      <c r="H1332" t="s">
        <v>478</v>
      </c>
      <c r="I1332" t="s">
        <v>481</v>
      </c>
      <c r="J1332" t="s">
        <v>486</v>
      </c>
      <c r="K1332" t="s">
        <v>548</v>
      </c>
      <c r="L1332" t="s">
        <v>587</v>
      </c>
      <c r="M1332" t="s">
        <v>588</v>
      </c>
      <c r="N1332" t="s">
        <v>601</v>
      </c>
    </row>
    <row r="1333" spans="1:14" x14ac:dyDescent="0.25">
      <c r="A1333" t="s">
        <v>55</v>
      </c>
      <c r="B1333" t="s">
        <v>179</v>
      </c>
      <c r="C1333" t="s">
        <v>330</v>
      </c>
      <c r="D1333" t="s">
        <v>425</v>
      </c>
      <c r="F1333" t="s">
        <v>442</v>
      </c>
      <c r="G1333" t="str">
        <f>HYPERLINK("https://ca.linkedin.com/jobs/view/data-engineer-big-data-engineer-at-capgemini-3346598176?refId=AMVjtS9WP8WfFkYwHCvBMw%3D%3D&amp;trackingId=FEAKbegkhusPXWrRBUhwug%3D%3D&amp;position=5&amp;pageNum=0&amp;trk=public_jobs_jserp-result_search-card", "Job Link")</f>
        <v>Job Link</v>
      </c>
      <c r="H1333" t="s">
        <v>478</v>
      </c>
      <c r="I1333" t="s">
        <v>481</v>
      </c>
      <c r="J1333" t="s">
        <v>486</v>
      </c>
      <c r="K1333" t="s">
        <v>521</v>
      </c>
      <c r="L1333" t="s">
        <v>582</v>
      </c>
      <c r="M1333" t="s">
        <v>588</v>
      </c>
      <c r="N1333" t="s">
        <v>601</v>
      </c>
    </row>
    <row r="1334" spans="1:14" x14ac:dyDescent="0.25">
      <c r="A1334" t="s">
        <v>20</v>
      </c>
      <c r="B1334" t="s">
        <v>180</v>
      </c>
      <c r="C1334" t="s">
        <v>331</v>
      </c>
      <c r="D1334" t="s">
        <v>425</v>
      </c>
      <c r="F1334" t="s">
        <v>439</v>
      </c>
      <c r="G1334" t="str">
        <f>HYPERLINK("https://ca.linkedin.com/jobs/view/senior-data-analyst-at-recollective-3325462969?refId=AMVjtS9WP8WfFkYwHCvBMw%3D%3D&amp;trackingId=ejRNdLj05oz86RZRAMtfbg%3D%3D&amp;position=6&amp;pageNum=0&amp;trk=public_jobs_jserp-result_search-card", "Job Link")</f>
        <v>Job Link</v>
      </c>
      <c r="H1334" t="s">
        <v>477</v>
      </c>
      <c r="I1334" t="s">
        <v>481</v>
      </c>
      <c r="J1334" t="s">
        <v>487</v>
      </c>
      <c r="K1334" t="s">
        <v>551</v>
      </c>
      <c r="L1334" t="s">
        <v>601</v>
      </c>
    </row>
    <row r="1335" spans="1:14" x14ac:dyDescent="0.25">
      <c r="A1335" t="s">
        <v>56</v>
      </c>
      <c r="B1335" t="s">
        <v>173</v>
      </c>
      <c r="C1335" t="s">
        <v>332</v>
      </c>
      <c r="D1335" t="s">
        <v>425</v>
      </c>
      <c r="F1335" t="s">
        <v>462</v>
      </c>
      <c r="G1335" t="str">
        <f>HYPERLINK("https://ca.linkedin.com/jobs/view/data-engineer-totogi-remote-%2460-000-year-usd-at-crossover-3367082925?refId=AMVjtS9WP8WfFkYwHCvBMw%3D%3D&amp;trackingId=6jfl8RQ6b%2ByypSb6fP329g%3D%3D&amp;position=7&amp;pageNum=0&amp;trk=public_jobs_jserp-result_search-card", "Job Link")</f>
        <v>Job Link</v>
      </c>
      <c r="H1335" t="s">
        <v>477</v>
      </c>
      <c r="I1335" t="s">
        <v>481</v>
      </c>
      <c r="J1335" t="s">
        <v>496</v>
      </c>
      <c r="K1335" t="s">
        <v>552</v>
      </c>
      <c r="L1335" t="s">
        <v>582</v>
      </c>
      <c r="M1335" t="s">
        <v>588</v>
      </c>
      <c r="N1335" t="s">
        <v>601</v>
      </c>
    </row>
    <row r="1336" spans="1:14" x14ac:dyDescent="0.25">
      <c r="A1336" t="s">
        <v>57</v>
      </c>
      <c r="B1336" t="s">
        <v>181</v>
      </c>
      <c r="C1336" t="s">
        <v>333</v>
      </c>
      <c r="D1336" t="s">
        <v>425</v>
      </c>
      <c r="F1336" t="s">
        <v>463</v>
      </c>
      <c r="G1336" t="str">
        <f>HYPERLINK("https://ca.linkedin.com/jobs/view/technical-support-analyst-at-jitterbit-3367373466?refId=AMVjtS9WP8WfFkYwHCvBMw%3D%3D&amp;trackingId=eZ4JvOzJvY3UmMxJ3T0xVA%3D%3D&amp;position=8&amp;pageNum=0&amp;trk=public_jobs_jserp-result_search-card", "Job Link")</f>
        <v>Job Link</v>
      </c>
      <c r="H1336" t="s">
        <v>477</v>
      </c>
      <c r="I1336" t="s">
        <v>481</v>
      </c>
      <c r="J1336" t="s">
        <v>500</v>
      </c>
      <c r="K1336" t="s">
        <v>516</v>
      </c>
      <c r="L1336" t="s">
        <v>601</v>
      </c>
    </row>
    <row r="1337" spans="1:14" x14ac:dyDescent="0.25">
      <c r="A1337" t="s">
        <v>58</v>
      </c>
      <c r="B1337" t="s">
        <v>182</v>
      </c>
      <c r="C1337" t="s">
        <v>334</v>
      </c>
      <c r="D1337" t="s">
        <v>425</v>
      </c>
      <c r="F1337" t="s">
        <v>464</v>
      </c>
      <c r="G1337" t="str">
        <f>HYPERLINK("https://ca.linkedin.com/jobs/view/data-analyst-with-guidewire-experience-remote-us-canada-at-alybyte-inc-3309546020?refId=AMVjtS9WP8WfFkYwHCvBMw%3D%3D&amp;trackingId=mIOCA8tRWOwceNA5eDyvFw%3D%3D&amp;position=9&amp;pageNum=0&amp;trk=public_jobs_jserp-result_search-card", "Job Link")</f>
        <v>Job Link</v>
      </c>
      <c r="H1337" t="s">
        <v>476</v>
      </c>
      <c r="I1337" t="s">
        <v>483</v>
      </c>
      <c r="J1337" t="s">
        <v>485</v>
      </c>
      <c r="K1337" t="s">
        <v>521</v>
      </c>
      <c r="L1337" t="s">
        <v>582</v>
      </c>
      <c r="M1337" t="s">
        <v>588</v>
      </c>
      <c r="N1337" t="s">
        <v>601</v>
      </c>
    </row>
    <row r="1338" spans="1:14" x14ac:dyDescent="0.25">
      <c r="A1338" t="s">
        <v>45</v>
      </c>
      <c r="B1338" t="s">
        <v>168</v>
      </c>
      <c r="C1338" t="s">
        <v>317</v>
      </c>
      <c r="D1338" t="s">
        <v>425</v>
      </c>
      <c r="F1338" t="s">
        <v>443</v>
      </c>
      <c r="G1338" t="str">
        <f>HYPERLINK("https://ca.linkedin.com/jobs/view/senior-data-analyst-apac-marketplace-at-hopper-3363404929?refId=AMVjtS9WP8WfFkYwHCvBMw%3D%3D&amp;trackingId=CZ02rPJf5kwak5qZN2Wxsw%3D%3D&amp;position=10&amp;pageNum=0&amp;trk=public_jobs_jserp-result_search-card", "Job Link")</f>
        <v>Job Link</v>
      </c>
      <c r="H1338" t="s">
        <v>478</v>
      </c>
      <c r="I1338" t="s">
        <v>485</v>
      </c>
      <c r="J1338" t="s">
        <v>486</v>
      </c>
      <c r="K1338" t="s">
        <v>538</v>
      </c>
      <c r="L1338" t="s">
        <v>601</v>
      </c>
    </row>
    <row r="1339" spans="1:14" x14ac:dyDescent="0.25">
      <c r="A1339" t="s">
        <v>59</v>
      </c>
      <c r="B1339" t="s">
        <v>183</v>
      </c>
      <c r="C1339" t="s">
        <v>335</v>
      </c>
      <c r="D1339" t="s">
        <v>425</v>
      </c>
      <c r="F1339" t="s">
        <v>465</v>
      </c>
      <c r="G1339" t="str">
        <f>HYPERLINK("https://ca.linkedin.com/jobs/view/business-systems-analyst-at-entrust-3299783923?refId=AMVjtS9WP8WfFkYwHCvBMw%3D%3D&amp;trackingId=uMTrBbtbXKVpyDTIgX%2F%2FTw%3D%3D&amp;position=11&amp;pageNum=0&amp;trk=public_jobs_jserp-result_search-card", "Job Link")</f>
        <v>Job Link</v>
      </c>
      <c r="H1339" t="s">
        <v>478</v>
      </c>
      <c r="I1339" t="s">
        <v>481</v>
      </c>
      <c r="J1339" t="s">
        <v>486</v>
      </c>
      <c r="K1339" t="s">
        <v>516</v>
      </c>
      <c r="L1339" t="s">
        <v>607</v>
      </c>
      <c r="M1339" t="s">
        <v>588</v>
      </c>
      <c r="N1339" t="s">
        <v>601</v>
      </c>
    </row>
    <row r="1340" spans="1:14" x14ac:dyDescent="0.25">
      <c r="A1340" t="s">
        <v>60</v>
      </c>
      <c r="B1340" t="s">
        <v>184</v>
      </c>
      <c r="C1340" t="s">
        <v>336</v>
      </c>
      <c r="D1340" t="s">
        <v>425</v>
      </c>
      <c r="F1340" t="s">
        <v>434</v>
      </c>
      <c r="G1340" t="str">
        <f>HYPERLINK("https://ca.linkedin.com/jobs/view/online-data-analyst-at-telus-international-3361280858?refId=AMVjtS9WP8WfFkYwHCvBMw%3D%3D&amp;trackingId=Dj7EATGNaSzJqd7pZY43sw%3D%3D&amp;position=12&amp;pageNum=0&amp;trk=public_jobs_jserp-result_search-card", "Job Link")</f>
        <v>Job Link</v>
      </c>
      <c r="H1340" t="s">
        <v>476</v>
      </c>
      <c r="I1340" t="s">
        <v>483</v>
      </c>
      <c r="J1340" t="s">
        <v>501</v>
      </c>
      <c r="K1340" t="s">
        <v>521</v>
      </c>
      <c r="L1340" t="s">
        <v>590</v>
      </c>
      <c r="M1340" t="s">
        <v>618</v>
      </c>
      <c r="N1340" t="s">
        <v>601</v>
      </c>
    </row>
    <row r="1341" spans="1:14" x14ac:dyDescent="0.25">
      <c r="A1341" t="s">
        <v>61</v>
      </c>
      <c r="B1341" t="s">
        <v>185</v>
      </c>
      <c r="C1341" t="s">
        <v>337</v>
      </c>
      <c r="D1341" t="s">
        <v>425</v>
      </c>
      <c r="F1341" t="s">
        <v>466</v>
      </c>
      <c r="G1341" t="str">
        <f>HYPERLINK("https://ca.linkedin.com/jobs/view/bi-reporting-analyst-at-trade-x-3338163061?refId=AMVjtS9WP8WfFkYwHCvBMw%3D%3D&amp;trackingId=hMJUDjZuTMmOThVyyChHig%3D%3D&amp;position=13&amp;pageNum=0&amp;trk=public_jobs_jserp-result_search-card", "Job Link")</f>
        <v>Job Link</v>
      </c>
      <c r="H1341" t="s">
        <v>477</v>
      </c>
      <c r="I1341" t="s">
        <v>481</v>
      </c>
      <c r="J1341" t="s">
        <v>486</v>
      </c>
      <c r="K1341" t="s">
        <v>553</v>
      </c>
      <c r="L1341" t="s">
        <v>601</v>
      </c>
    </row>
    <row r="1342" spans="1:14" x14ac:dyDescent="0.25">
      <c r="A1342" t="s">
        <v>62</v>
      </c>
      <c r="B1342" t="s">
        <v>186</v>
      </c>
      <c r="C1342" t="s">
        <v>338</v>
      </c>
      <c r="D1342" t="s">
        <v>425</v>
      </c>
      <c r="F1342" t="s">
        <v>463</v>
      </c>
      <c r="G1342" t="str">
        <f>HYPERLINK("https://ca.linkedin.com/jobs/view/senior-bi-analyst-at-telecon-3329599163?refId=AMVjtS9WP8WfFkYwHCvBMw%3D%3D&amp;trackingId=kbW38IwhrOJpxDl1x0EhBA%3D%3D&amp;position=14&amp;pageNum=0&amp;trk=public_jobs_jserp-result_search-card", "Job Link")</f>
        <v>Job Link</v>
      </c>
      <c r="H1342" t="s">
        <v>477</v>
      </c>
      <c r="I1342" t="s">
        <v>481</v>
      </c>
      <c r="J1342" t="s">
        <v>486</v>
      </c>
      <c r="K1342" t="s">
        <v>535</v>
      </c>
      <c r="L1342" t="s">
        <v>586</v>
      </c>
      <c r="M1342" t="s">
        <v>617</v>
      </c>
      <c r="N1342" t="s">
        <v>601</v>
      </c>
    </row>
    <row r="1343" spans="1:14" x14ac:dyDescent="0.25">
      <c r="A1343" t="s">
        <v>63</v>
      </c>
      <c r="B1343" t="s">
        <v>187</v>
      </c>
      <c r="C1343" t="s">
        <v>339</v>
      </c>
      <c r="D1343" t="s">
        <v>425</v>
      </c>
      <c r="F1343" t="s">
        <v>442</v>
      </c>
      <c r="G1343" t="str">
        <f>HYPERLINK("https://ca.linkedin.com/jobs/view/senior-analytics-engineer-remote-at-jungle-scout-3347033672?refId=AMVjtS9WP8WfFkYwHCvBMw%3D%3D&amp;trackingId=lz6X0ePiBK1iCzHhxGOCnA%3D%3D&amp;position=15&amp;pageNum=0&amp;trk=public_jobs_jserp-result_search-card", "Job Link")</f>
        <v>Job Link</v>
      </c>
      <c r="H1343" t="s">
        <v>478</v>
      </c>
      <c r="I1343" t="s">
        <v>481</v>
      </c>
      <c r="J1343" t="s">
        <v>491</v>
      </c>
      <c r="K1343" t="s">
        <v>538</v>
      </c>
      <c r="L1343" t="s">
        <v>590</v>
      </c>
      <c r="M1343" t="s">
        <v>618</v>
      </c>
      <c r="N1343" t="s">
        <v>601</v>
      </c>
    </row>
    <row r="1344" spans="1:14" x14ac:dyDescent="0.25">
      <c r="A1344" t="s">
        <v>64</v>
      </c>
      <c r="B1344" t="s">
        <v>188</v>
      </c>
      <c r="C1344" t="s">
        <v>340</v>
      </c>
      <c r="D1344" t="s">
        <v>425</v>
      </c>
      <c r="F1344" t="s">
        <v>454</v>
      </c>
      <c r="G1344" t="str">
        <f>HYPERLINK("https://ca.linkedin.com/jobs/view/senior-data-and-reporting-analyst-at-american-iron-metal-aim-3342112003?refId=AMVjtS9WP8WfFkYwHCvBMw%3D%3D&amp;trackingId=jdYJWXE5RusoV0STsTZp7g%3D%3D&amp;position=16&amp;pageNum=0&amp;trk=public_jobs_jserp-result_search-card", "Job Link")</f>
        <v>Job Link</v>
      </c>
      <c r="H1344" t="s">
        <v>476</v>
      </c>
      <c r="I1344" t="s">
        <v>481</v>
      </c>
      <c r="J1344" t="s">
        <v>488</v>
      </c>
      <c r="K1344" t="s">
        <v>554</v>
      </c>
      <c r="L1344" t="s">
        <v>608</v>
      </c>
      <c r="M1344" t="s">
        <v>617</v>
      </c>
      <c r="N1344" t="s">
        <v>601</v>
      </c>
    </row>
    <row r="1345" spans="1:14" x14ac:dyDescent="0.25">
      <c r="A1345" t="s">
        <v>37</v>
      </c>
      <c r="B1345" t="s">
        <v>189</v>
      </c>
      <c r="C1345" t="s">
        <v>341</v>
      </c>
      <c r="D1345" t="s">
        <v>425</v>
      </c>
      <c r="F1345" t="s">
        <v>439</v>
      </c>
      <c r="G1345" t="str">
        <f>HYPERLINK("https://ca.linkedin.com/jobs/view/data-engineer-at-medme-health-yc-w21-3358725995?refId=AMVjtS9WP8WfFkYwHCvBMw%3D%3D&amp;trackingId=aLtJAFB1OUyi%2BW3AaIHrOg%3D%3D&amp;position=17&amp;pageNum=0&amp;trk=public_jobs_jserp-result_search-card", "Job Link")</f>
        <v>Job Link</v>
      </c>
      <c r="H1345" t="s">
        <v>476</v>
      </c>
      <c r="I1345" t="s">
        <v>481</v>
      </c>
      <c r="J1345" t="s">
        <v>486</v>
      </c>
      <c r="K1345" t="s">
        <v>516</v>
      </c>
      <c r="L1345" t="s">
        <v>601</v>
      </c>
    </row>
    <row r="1346" spans="1:14" x14ac:dyDescent="0.25">
      <c r="A1346" t="s">
        <v>65</v>
      </c>
      <c r="B1346" t="s">
        <v>190</v>
      </c>
      <c r="C1346" t="s">
        <v>342</v>
      </c>
      <c r="D1346" t="s">
        <v>425</v>
      </c>
      <c r="F1346" t="s">
        <v>467</v>
      </c>
      <c r="G1346" t="str">
        <f>HYPERLINK("https://ca.linkedin.com/jobs/view/data-analyst-consultant-fire-ems-at-darkhorse-analytics-3356852212?refId=AMVjtS9WP8WfFkYwHCvBMw%3D%3D&amp;trackingId=RLHhOxVeukf6Mz4RZoJSCw%3D%3D&amp;position=18&amp;pageNum=0&amp;trk=public_jobs_jserp-result_search-card", "Job Link")</f>
        <v>Job Link</v>
      </c>
      <c r="H1346" t="s">
        <v>476</v>
      </c>
      <c r="I1346" t="s">
        <v>481</v>
      </c>
      <c r="J1346" t="s">
        <v>486</v>
      </c>
      <c r="K1346" t="s">
        <v>538</v>
      </c>
      <c r="L1346" t="s">
        <v>609</v>
      </c>
      <c r="M1346" t="s">
        <v>610</v>
      </c>
      <c r="N1346" t="s">
        <v>601</v>
      </c>
    </row>
    <row r="1347" spans="1:14" x14ac:dyDescent="0.25">
      <c r="A1347" t="s">
        <v>66</v>
      </c>
      <c r="B1347" t="s">
        <v>191</v>
      </c>
      <c r="C1347" t="s">
        <v>343</v>
      </c>
      <c r="D1347" t="s">
        <v>425</v>
      </c>
      <c r="F1347" t="s">
        <v>463</v>
      </c>
      <c r="G1347">
        <v>0</v>
      </c>
      <c r="H1347" t="s">
        <v>477</v>
      </c>
      <c r="I1347" t="s">
        <v>481</v>
      </c>
      <c r="J1347" t="s">
        <v>502</v>
      </c>
      <c r="K1347" t="s">
        <v>520</v>
      </c>
      <c r="L1347" t="s">
        <v>601</v>
      </c>
    </row>
    <row r="1348" spans="1:14" x14ac:dyDescent="0.25">
      <c r="A1348" t="s">
        <v>37</v>
      </c>
      <c r="B1348" t="s">
        <v>177</v>
      </c>
      <c r="C1348" t="s">
        <v>344</v>
      </c>
      <c r="D1348" t="s">
        <v>425</v>
      </c>
      <c r="F1348" t="s">
        <v>431</v>
      </c>
      <c r="G1348" t="str">
        <f>HYPERLINK("https://ca.linkedin.com/jobs/view/data-engineer-at-insight-global-3360785168?refId=AMVjtS9WP8WfFkYwHCvBMw%3D%3D&amp;trackingId=KiP6q7%2Fa%2B98oJZGELGJ9rA%3D%3D&amp;position=20&amp;pageNum=0&amp;trk=public_jobs_jserp-result_search-card", "Job Link")</f>
        <v>Job Link</v>
      </c>
      <c r="H1348" t="s">
        <v>478</v>
      </c>
      <c r="I1348" t="s">
        <v>483</v>
      </c>
      <c r="J1348" t="s">
        <v>503</v>
      </c>
      <c r="K1348" t="s">
        <v>550</v>
      </c>
      <c r="L1348" t="s">
        <v>601</v>
      </c>
    </row>
    <row r="1349" spans="1:14" x14ac:dyDescent="0.25">
      <c r="A1349" t="s">
        <v>67</v>
      </c>
      <c r="B1349" t="s">
        <v>192</v>
      </c>
      <c r="C1349" t="s">
        <v>345</v>
      </c>
      <c r="D1349" t="s">
        <v>425</v>
      </c>
      <c r="F1349" t="s">
        <v>430</v>
      </c>
      <c r="G1349">
        <v>0</v>
      </c>
      <c r="H1349" t="s">
        <v>476</v>
      </c>
      <c r="I1349" t="s">
        <v>481</v>
      </c>
      <c r="J1349" t="s">
        <v>486</v>
      </c>
      <c r="K1349" t="s">
        <v>555</v>
      </c>
      <c r="L1349" t="s">
        <v>582</v>
      </c>
      <c r="M1349" t="s">
        <v>588</v>
      </c>
      <c r="N1349" t="s">
        <v>601</v>
      </c>
    </row>
    <row r="1350" spans="1:14" x14ac:dyDescent="0.25">
      <c r="A1350" t="s">
        <v>68</v>
      </c>
      <c r="B1350" t="s">
        <v>193</v>
      </c>
      <c r="C1350" t="s">
        <v>346</v>
      </c>
      <c r="D1350" t="s">
        <v>425</v>
      </c>
      <c r="F1350" t="s">
        <v>460</v>
      </c>
      <c r="G1350" t="str">
        <f>HYPERLINK("https://ca.linkedin.com/jobs/view/data-science-analyst-remote-at-yelp-2957910288?refId=AMVjtS9WP8WfFkYwHCvBMw%3D%3D&amp;trackingId=QizFgXJ62ECEv1RT9bDydw%3D%3D&amp;position=22&amp;pageNum=0&amp;trk=public_jobs_jserp-result_search-card", "Job Link")</f>
        <v>Job Link</v>
      </c>
      <c r="H1350" t="s">
        <v>476</v>
      </c>
      <c r="I1350" t="s">
        <v>481</v>
      </c>
      <c r="J1350" t="s">
        <v>486</v>
      </c>
      <c r="K1350" t="s">
        <v>556</v>
      </c>
      <c r="L1350" t="s">
        <v>582</v>
      </c>
      <c r="M1350" t="s">
        <v>588</v>
      </c>
      <c r="N1350" t="s">
        <v>601</v>
      </c>
    </row>
    <row r="1351" spans="1:14" x14ac:dyDescent="0.25">
      <c r="A1351" t="s">
        <v>69</v>
      </c>
      <c r="B1351" t="s">
        <v>175</v>
      </c>
      <c r="C1351" t="s">
        <v>324</v>
      </c>
      <c r="D1351" t="s">
        <v>425</v>
      </c>
      <c r="F1351" t="s">
        <v>446</v>
      </c>
      <c r="G1351" t="str">
        <f>HYPERLINK("https://ca.linkedin.com/jobs/view/senior-data-analyst-vancouver-bc-at-ssense-3342171308?refId=AMVjtS9WP8WfFkYwHCvBMw%3D%3D&amp;trackingId=AcBMezpy9DZ%2Fr3rn3EgTlw%3D%3D&amp;position=23&amp;pageNum=0&amp;trk=public_jobs_jserp-result_search-card", "Job Link")</f>
        <v>Job Link</v>
      </c>
      <c r="H1351" t="s">
        <v>478</v>
      </c>
      <c r="I1351" t="s">
        <v>481</v>
      </c>
      <c r="J1351" t="s">
        <v>486</v>
      </c>
      <c r="K1351" t="s">
        <v>550</v>
      </c>
      <c r="L1351" t="s">
        <v>590</v>
      </c>
      <c r="M1351" t="s">
        <v>618</v>
      </c>
      <c r="N1351" t="s">
        <v>601</v>
      </c>
    </row>
    <row r="1352" spans="1:14" x14ac:dyDescent="0.25">
      <c r="A1352" t="s">
        <v>14</v>
      </c>
      <c r="B1352" t="s">
        <v>162</v>
      </c>
      <c r="C1352" t="s">
        <v>311</v>
      </c>
      <c r="D1352" t="s">
        <v>425</v>
      </c>
      <c r="F1352" t="s">
        <v>434</v>
      </c>
      <c r="G1352" t="str">
        <f>HYPERLINK("https://ca.linkedin.com/jobs/view/data-analyst-at-money-mart-financial-services-3361528052?refId=AMVjtS9WP8WfFkYwHCvBMw%3D%3D&amp;trackingId=ottnQog9sRKJSUVxmtnm0Q%3D%3D&amp;position=24&amp;pageNum=0&amp;trk=public_jobs_jserp-result_search-card", "Job Link")</f>
        <v>Job Link</v>
      </c>
      <c r="H1352" t="s">
        <v>477</v>
      </c>
      <c r="I1352" t="s">
        <v>481</v>
      </c>
      <c r="J1352" t="s">
        <v>488</v>
      </c>
      <c r="K1352" t="s">
        <v>527</v>
      </c>
      <c r="L1352" t="s">
        <v>582</v>
      </c>
      <c r="M1352" t="s">
        <v>588</v>
      </c>
      <c r="N1352" t="s">
        <v>601</v>
      </c>
    </row>
    <row r="1353" spans="1:14" x14ac:dyDescent="0.25">
      <c r="A1353" t="s">
        <v>70</v>
      </c>
      <c r="B1353" t="s">
        <v>194</v>
      </c>
      <c r="C1353" t="s">
        <v>347</v>
      </c>
      <c r="D1353" t="s">
        <v>425</v>
      </c>
      <c r="F1353" t="s">
        <v>462</v>
      </c>
      <c r="G1353" t="str">
        <f>HYPERLINK("https://ca.linkedin.com/jobs/view/data-engineer-remote-at-article-3364468812?refId=AMVjtS9WP8WfFkYwHCvBMw%3D%3D&amp;trackingId=jtDVZe1qnQLSIqfRGCgPSQ%3D%3D&amp;position=25&amp;pageNum=0&amp;trk=public_jobs_jserp-result_search-card", "Job Link")</f>
        <v>Job Link</v>
      </c>
      <c r="H1353" t="s">
        <v>476</v>
      </c>
      <c r="I1353" t="s">
        <v>481</v>
      </c>
      <c r="J1353" t="s">
        <v>486</v>
      </c>
      <c r="K1353" t="s">
        <v>557</v>
      </c>
      <c r="L1353" t="s">
        <v>590</v>
      </c>
      <c r="M1353" t="s">
        <v>618</v>
      </c>
      <c r="N1353" t="s">
        <v>601</v>
      </c>
    </row>
    <row r="1354" spans="1:14" x14ac:dyDescent="0.25">
      <c r="A1354" t="s">
        <v>14</v>
      </c>
      <c r="B1354" t="s">
        <v>158</v>
      </c>
      <c r="C1354" t="s">
        <v>307</v>
      </c>
      <c r="D1354" t="s">
        <v>425</v>
      </c>
      <c r="F1354" t="s">
        <v>430</v>
      </c>
      <c r="G1354" t="str">
        <f>HYPERLINK("https://ca.linkedin.com/jobs/view/data-analyst-at-empire-life-3324608289?refId=48uXOhe%2BRKHyeiCZ2gG%2FvA%3D%3D&amp;trackingId=1OMQGvf6i9tkdcVe1kjl2Q%3D%3D&amp;position=1&amp;pageNum=0&amp;trk=public_jobs_jserp-result_search-card", "Job Link")</f>
        <v>Job Link</v>
      </c>
      <c r="H1354" t="s">
        <v>476</v>
      </c>
      <c r="I1354" t="s">
        <v>481</v>
      </c>
      <c r="J1354" t="s">
        <v>485</v>
      </c>
      <c r="K1354" t="s">
        <v>523</v>
      </c>
      <c r="L1354" t="s">
        <v>601</v>
      </c>
    </row>
    <row r="1355" spans="1:14" x14ac:dyDescent="0.25">
      <c r="A1355" t="s">
        <v>40</v>
      </c>
      <c r="B1355" t="s">
        <v>159</v>
      </c>
      <c r="C1355" t="s">
        <v>308</v>
      </c>
      <c r="D1355" t="s">
        <v>425</v>
      </c>
      <c r="F1355" t="s">
        <v>435</v>
      </c>
      <c r="G1355" t="str">
        <f>HYPERLINK("https://ca.linkedin.com/jobs/view/data-visualization-developer-analyst-at-blue-boat-data-3335318133?refId=48uXOhe%2BRKHyeiCZ2gG%2FvA%3D%3D&amp;trackingId=Lhc6unLW%2BfABi1XanZexwQ%3D%3D&amp;position=2&amp;pageNum=0&amp;trk=public_jobs_jserp-result_search-card", "Job Link")</f>
        <v>Job Link</v>
      </c>
      <c r="I1355" t="s">
        <v>483</v>
      </c>
      <c r="L1355" t="s">
        <v>601</v>
      </c>
    </row>
    <row r="1356" spans="1:14" x14ac:dyDescent="0.25">
      <c r="A1356" t="s">
        <v>14</v>
      </c>
      <c r="B1356" t="s">
        <v>160</v>
      </c>
      <c r="C1356" t="s">
        <v>309</v>
      </c>
      <c r="D1356" t="s">
        <v>425</v>
      </c>
      <c r="E1356" t="s">
        <v>427</v>
      </c>
      <c r="F1356" t="s">
        <v>458</v>
      </c>
      <c r="G1356" t="str">
        <f>HYPERLINK("https://ca.linkedin.com/jobs/view/data-analyst-at-libitzky-property-companies-3314494593?refId=48uXOhe%2BRKHyeiCZ2gG%2FvA%3D%3D&amp;trackingId=%2FCU57dh2qDRjkcmpaXv3Nw%3D%3D&amp;position=3&amp;pageNum=0&amp;trk=public_jobs_jserp-result_search-card", "Job Link")</f>
        <v>Job Link</v>
      </c>
      <c r="H1356" t="s">
        <v>476</v>
      </c>
      <c r="I1356" t="s">
        <v>481</v>
      </c>
      <c r="J1356" t="s">
        <v>486</v>
      </c>
      <c r="K1356" t="s">
        <v>516</v>
      </c>
      <c r="L1356" t="s">
        <v>601</v>
      </c>
    </row>
    <row r="1357" spans="1:14" x14ac:dyDescent="0.25">
      <c r="A1357" t="s">
        <v>14</v>
      </c>
      <c r="B1357" t="s">
        <v>161</v>
      </c>
      <c r="C1357" t="s">
        <v>310</v>
      </c>
      <c r="D1357" t="s">
        <v>425</v>
      </c>
      <c r="F1357" t="s">
        <v>435</v>
      </c>
      <c r="G1357" t="str">
        <f>HYPERLINK("https://ca.linkedin.com/jobs/view/data-analyst-at-spire-3340696458?refId=48uXOhe%2BRKHyeiCZ2gG%2FvA%3D%3D&amp;trackingId=d1YhG8%2FKbce%2BnKi8PpdFVA%3D%3D&amp;position=4&amp;pageNum=0&amp;trk=public_jobs_jserp-result_search-card", "Job Link")</f>
        <v>Job Link</v>
      </c>
      <c r="H1357" t="s">
        <v>476</v>
      </c>
      <c r="I1357" t="s">
        <v>481</v>
      </c>
      <c r="J1357" t="s">
        <v>486</v>
      </c>
      <c r="K1357" t="s">
        <v>517</v>
      </c>
      <c r="L1357" t="s">
        <v>602</v>
      </c>
      <c r="M1357" t="s">
        <v>588</v>
      </c>
      <c r="N1357" t="s">
        <v>601</v>
      </c>
    </row>
    <row r="1358" spans="1:14" x14ac:dyDescent="0.25">
      <c r="A1358" t="s">
        <v>14</v>
      </c>
      <c r="B1358" t="s">
        <v>162</v>
      </c>
      <c r="C1358" t="s">
        <v>311</v>
      </c>
      <c r="D1358" t="s">
        <v>425</v>
      </c>
      <c r="F1358" t="s">
        <v>434</v>
      </c>
      <c r="G1358" t="str">
        <f>HYPERLINK("https://ca.linkedin.com/jobs/view/data-analyst-at-money-mart-financial-services-3361528052?refId=48uXOhe%2BRKHyeiCZ2gG%2FvA%3D%3D&amp;trackingId=9Hz8TvVCQA83hRCX4R4gEA%3D%3D&amp;position=5&amp;pageNum=0&amp;trk=public_jobs_jserp-result_search-card", "Job Link")</f>
        <v>Job Link</v>
      </c>
      <c r="H1358" t="s">
        <v>477</v>
      </c>
      <c r="I1358" t="s">
        <v>481</v>
      </c>
      <c r="J1358" t="s">
        <v>488</v>
      </c>
      <c r="K1358" t="s">
        <v>527</v>
      </c>
      <c r="L1358" t="s">
        <v>582</v>
      </c>
      <c r="M1358" t="s">
        <v>588</v>
      </c>
      <c r="N1358" t="s">
        <v>601</v>
      </c>
    </row>
    <row r="1359" spans="1:14" x14ac:dyDescent="0.25">
      <c r="A1359" t="s">
        <v>14</v>
      </c>
      <c r="B1359" t="s">
        <v>163</v>
      </c>
      <c r="C1359" t="s">
        <v>312</v>
      </c>
      <c r="D1359" t="s">
        <v>425</v>
      </c>
      <c r="F1359" t="s">
        <v>443</v>
      </c>
      <c r="G1359" t="str">
        <f>HYPERLINK("https://ca.linkedin.com/jobs/view/data-analyst-at-mojio-3363472062?refId=48uXOhe%2BRKHyeiCZ2gG%2FvA%3D%3D&amp;trackingId=NMM%2BuNMFvRhZkVdeieJeWw%3D%3D&amp;position=6&amp;pageNum=0&amp;trk=public_jobs_jserp-result_search-card", "Job Link")</f>
        <v>Job Link</v>
      </c>
      <c r="H1359" t="s">
        <v>478</v>
      </c>
      <c r="I1359" t="s">
        <v>481</v>
      </c>
      <c r="J1359" t="s">
        <v>493</v>
      </c>
      <c r="K1359" t="s">
        <v>544</v>
      </c>
      <c r="L1359" t="s">
        <v>601</v>
      </c>
    </row>
    <row r="1360" spans="1:14" x14ac:dyDescent="0.25">
      <c r="A1360" t="s">
        <v>41</v>
      </c>
      <c r="B1360" t="s">
        <v>164</v>
      </c>
      <c r="C1360" t="s">
        <v>313</v>
      </c>
      <c r="D1360" t="s">
        <v>425</v>
      </c>
      <c r="F1360" t="s">
        <v>444</v>
      </c>
      <c r="G1360" t="str">
        <f>HYPERLINK("https://ca.linkedin.com/jobs/view/product-data-analyst-at-pdftron-systems-inc-3322845144?refId=48uXOhe%2BRKHyeiCZ2gG%2FvA%3D%3D&amp;trackingId=FYG4JEzUw7zRfLKp%2FyHTCA%3D%3D&amp;position=7&amp;pageNum=0&amp;trk=public_jobs_jserp-result_search-card", "Job Link")</f>
        <v>Job Link</v>
      </c>
      <c r="H1360" t="s">
        <v>479</v>
      </c>
      <c r="I1360" t="s">
        <v>481</v>
      </c>
      <c r="J1360" t="s">
        <v>487</v>
      </c>
      <c r="K1360" t="s">
        <v>538</v>
      </c>
      <c r="L1360" t="s">
        <v>590</v>
      </c>
      <c r="M1360" t="s">
        <v>618</v>
      </c>
      <c r="N1360" t="s">
        <v>601</v>
      </c>
    </row>
    <row r="1361" spans="1:14" x14ac:dyDescent="0.25">
      <c r="A1361" t="s">
        <v>42</v>
      </c>
      <c r="B1361" t="s">
        <v>165</v>
      </c>
      <c r="C1361" t="s">
        <v>314</v>
      </c>
      <c r="D1361" t="s">
        <v>425</v>
      </c>
      <c r="F1361" t="s">
        <v>459</v>
      </c>
      <c r="G1361" t="str">
        <f>HYPERLINK("https://ca.linkedin.com/jobs/view/cognitive-data-analyst-at-wysdom-ai-3333087497?refId=48uXOhe%2BRKHyeiCZ2gG%2FvA%3D%3D&amp;trackingId=5HEdwuSiBa1PoWLzc3Syfg%3D%3D&amp;position=8&amp;pageNum=0&amp;trk=public_jobs_jserp-result_search-card", "Job Link")</f>
        <v>Job Link</v>
      </c>
      <c r="H1361" t="s">
        <v>478</v>
      </c>
      <c r="I1361" t="s">
        <v>481</v>
      </c>
      <c r="J1361" t="s">
        <v>486</v>
      </c>
      <c r="K1361" t="s">
        <v>516</v>
      </c>
      <c r="L1361" t="s">
        <v>601</v>
      </c>
    </row>
    <row r="1362" spans="1:14" x14ac:dyDescent="0.25">
      <c r="A1362" t="s">
        <v>43</v>
      </c>
      <c r="B1362" t="s">
        <v>166</v>
      </c>
      <c r="C1362" t="s">
        <v>315</v>
      </c>
      <c r="D1362" t="s">
        <v>425</v>
      </c>
      <c r="F1362" t="s">
        <v>432</v>
      </c>
      <c r="G1362" t="str">
        <f>HYPERLINK("https://ca.linkedin.com/jobs/view/data-analyst-operations-at-felix-3360946633?refId=48uXOhe%2BRKHyeiCZ2gG%2FvA%3D%3D&amp;trackingId=08vnlKQaQ52AssUY5WeLbA%3D%3D&amp;position=9&amp;pageNum=0&amp;trk=public_jobs_jserp-result_search-card", "Job Link")</f>
        <v>Job Link</v>
      </c>
      <c r="I1362" t="s">
        <v>481</v>
      </c>
      <c r="L1362" t="s">
        <v>601</v>
      </c>
    </row>
    <row r="1363" spans="1:14" x14ac:dyDescent="0.25">
      <c r="A1363" t="s">
        <v>44</v>
      </c>
      <c r="B1363" t="s">
        <v>167</v>
      </c>
      <c r="C1363" t="s">
        <v>316</v>
      </c>
      <c r="D1363" t="s">
        <v>425</v>
      </c>
      <c r="F1363" t="s">
        <v>460</v>
      </c>
      <c r="G1363" t="str">
        <f>HYPERLINK("https://ca.linkedin.com/jobs/view/data-analyst-marketing-at-thescore-3272474942?refId=48uXOhe%2BRKHyeiCZ2gG%2FvA%3D%3D&amp;trackingId=E8pkvEVGiwE9Qujz0ZXIQw%3D%3D&amp;position=10&amp;pageNum=0&amp;trk=public_jobs_jserp-result_search-card", "Job Link")</f>
        <v>Job Link</v>
      </c>
      <c r="H1363" t="s">
        <v>476</v>
      </c>
      <c r="I1363" t="s">
        <v>481</v>
      </c>
      <c r="J1363" t="s">
        <v>486</v>
      </c>
      <c r="K1363" t="s">
        <v>545</v>
      </c>
      <c r="L1363" t="s">
        <v>582</v>
      </c>
      <c r="M1363" t="s">
        <v>588</v>
      </c>
      <c r="N1363" t="s">
        <v>601</v>
      </c>
    </row>
    <row r="1364" spans="1:14" x14ac:dyDescent="0.25">
      <c r="A1364" t="s">
        <v>45</v>
      </c>
      <c r="B1364" t="s">
        <v>168</v>
      </c>
      <c r="C1364" t="s">
        <v>317</v>
      </c>
      <c r="D1364" t="s">
        <v>425</v>
      </c>
      <c r="F1364" t="s">
        <v>443</v>
      </c>
      <c r="G1364" t="str">
        <f>HYPERLINK("https://ca.linkedin.com/jobs/view/senior-data-analyst-apac-marketplace-at-hopper-3363404929?refId=48uXOhe%2BRKHyeiCZ2gG%2FvA%3D%3D&amp;trackingId=mYNa%2B0JNdMKgg4yQKaM%2FhQ%3D%3D&amp;position=11&amp;pageNum=0&amp;trk=public_jobs_jserp-result_search-card", "Job Link")</f>
        <v>Job Link</v>
      </c>
      <c r="H1364" t="s">
        <v>478</v>
      </c>
      <c r="I1364" t="s">
        <v>485</v>
      </c>
      <c r="J1364" t="s">
        <v>486</v>
      </c>
      <c r="K1364" t="s">
        <v>538</v>
      </c>
      <c r="L1364" t="s">
        <v>601</v>
      </c>
    </row>
    <row r="1365" spans="1:14" x14ac:dyDescent="0.25">
      <c r="A1365" t="s">
        <v>46</v>
      </c>
      <c r="B1365" t="s">
        <v>169</v>
      </c>
      <c r="C1365" t="s">
        <v>318</v>
      </c>
      <c r="D1365" t="s">
        <v>425</v>
      </c>
      <c r="F1365" t="s">
        <v>461</v>
      </c>
      <c r="G1365">
        <v>0</v>
      </c>
      <c r="H1365" t="s">
        <v>478</v>
      </c>
      <c r="I1365" t="s">
        <v>481</v>
      </c>
      <c r="J1365" t="s">
        <v>494</v>
      </c>
      <c r="K1365" t="s">
        <v>546</v>
      </c>
      <c r="L1365" t="s">
        <v>601</v>
      </c>
    </row>
    <row r="1366" spans="1:14" x14ac:dyDescent="0.25">
      <c r="A1366" t="s">
        <v>20</v>
      </c>
      <c r="B1366" t="s">
        <v>170</v>
      </c>
      <c r="C1366" t="s">
        <v>319</v>
      </c>
      <c r="D1366" t="s">
        <v>425</v>
      </c>
      <c r="F1366" t="s">
        <v>450</v>
      </c>
      <c r="G1366" t="str">
        <f>HYPERLINK("https://ca.linkedin.com/jobs/view/senior-data-analyst-at-thinkific-3333572538?refId=48uXOhe%2BRKHyeiCZ2gG%2FvA%3D%3D&amp;trackingId=br65P%2Bow6VWSW6VCiohaAQ%3D%3D&amp;position=13&amp;pageNum=0&amp;trk=public_jobs_jserp-result_search-card", "Job Link")</f>
        <v>Job Link</v>
      </c>
      <c r="H1366" t="s">
        <v>478</v>
      </c>
      <c r="I1366" t="s">
        <v>481</v>
      </c>
      <c r="J1366" t="s">
        <v>495</v>
      </c>
      <c r="K1366" t="s">
        <v>547</v>
      </c>
      <c r="L1366" t="s">
        <v>601</v>
      </c>
    </row>
    <row r="1367" spans="1:14" x14ac:dyDescent="0.25">
      <c r="A1367" t="s">
        <v>47</v>
      </c>
      <c r="B1367" t="s">
        <v>171</v>
      </c>
      <c r="C1367" t="s">
        <v>320</v>
      </c>
      <c r="D1367" t="s">
        <v>425</v>
      </c>
      <c r="F1367" t="s">
        <v>447</v>
      </c>
      <c r="G1367" t="str">
        <f>HYPERLINK("https://ca.linkedin.com/jobs/view/insights-analyst-at-flashfood-3312876343?refId=48uXOhe%2BRKHyeiCZ2gG%2FvA%3D%3D&amp;trackingId=CKEY43vJHIEyXgCbnC1jEg%3D%3D&amp;position=14&amp;pageNum=0&amp;trk=public_jobs_jserp-result_search-card", "Job Link")</f>
        <v>Job Link</v>
      </c>
      <c r="I1367" t="s">
        <v>481</v>
      </c>
      <c r="L1367" t="s">
        <v>601</v>
      </c>
    </row>
    <row r="1368" spans="1:14" x14ac:dyDescent="0.25">
      <c r="A1368" t="s">
        <v>20</v>
      </c>
      <c r="B1368" t="s">
        <v>172</v>
      </c>
      <c r="C1368" t="s">
        <v>321</v>
      </c>
      <c r="D1368" t="s">
        <v>425</v>
      </c>
      <c r="F1368" t="s">
        <v>438</v>
      </c>
      <c r="G1368" t="str">
        <f>HYPERLINK("https://ca.linkedin.com/jobs/view/senior-data-analyst-at-system1-3324728130?refId=48uXOhe%2BRKHyeiCZ2gG%2FvA%3D%3D&amp;trackingId=5F5dfAt3dub%2BbLzzQudkNw%3D%3D&amp;position=15&amp;pageNum=0&amp;trk=public_jobs_jserp-result_search-card", "Job Link")</f>
        <v>Job Link</v>
      </c>
      <c r="H1368" t="s">
        <v>478</v>
      </c>
      <c r="I1368" t="s">
        <v>481</v>
      </c>
      <c r="J1368" t="s">
        <v>486</v>
      </c>
      <c r="K1368" t="s">
        <v>548</v>
      </c>
      <c r="L1368" t="s">
        <v>587</v>
      </c>
      <c r="M1368" t="s">
        <v>588</v>
      </c>
      <c r="N1368" t="s">
        <v>601</v>
      </c>
    </row>
    <row r="1369" spans="1:14" x14ac:dyDescent="0.25">
      <c r="A1369" t="s">
        <v>48</v>
      </c>
      <c r="B1369" t="s">
        <v>173</v>
      </c>
      <c r="C1369" t="s">
        <v>322</v>
      </c>
      <c r="D1369" t="s">
        <v>425</v>
      </c>
      <c r="F1369" t="s">
        <v>462</v>
      </c>
      <c r="G1369" t="str">
        <f>HYPERLINK("https://ca.linkedin.com/jobs/view/data-analyst-trilogy-remote-%2460-000-year-usd-at-crossover-3367086698?refId=48uXOhe%2BRKHyeiCZ2gG%2FvA%3D%3D&amp;trackingId=%2B65ZaNn1AX%2BvFIzVx7D2%2Bg%3D%3D&amp;position=16&amp;pageNum=0&amp;trk=public_jobs_jserp-result_search-card", "Job Link")</f>
        <v>Job Link</v>
      </c>
      <c r="H1369" t="s">
        <v>477</v>
      </c>
      <c r="I1369" t="s">
        <v>481</v>
      </c>
      <c r="J1369" t="s">
        <v>496</v>
      </c>
      <c r="K1369" t="s">
        <v>549</v>
      </c>
      <c r="L1369" t="s">
        <v>582</v>
      </c>
      <c r="M1369" t="s">
        <v>588</v>
      </c>
      <c r="N1369" t="s">
        <v>601</v>
      </c>
    </row>
    <row r="1370" spans="1:14" x14ac:dyDescent="0.25">
      <c r="A1370" t="s">
        <v>49</v>
      </c>
      <c r="B1370" t="s">
        <v>174</v>
      </c>
      <c r="C1370" t="s">
        <v>323</v>
      </c>
      <c r="D1370" t="s">
        <v>425</v>
      </c>
      <c r="F1370" t="s">
        <v>433</v>
      </c>
      <c r="G1370" t="str">
        <f>HYPERLINK("https://ca.linkedin.com/jobs/view/product-data-analyst-wtfast-at-blankslate-partners-3350561493?refId=48uXOhe%2BRKHyeiCZ2gG%2FvA%3D%3D&amp;trackingId=Sm8xGIL3Hf3DRtQ8vcPvxw%3D%3D&amp;position=17&amp;pageNum=0&amp;trk=public_jobs_jserp-result_search-card", "Job Link")</f>
        <v>Job Link</v>
      </c>
      <c r="H1370" t="s">
        <v>479</v>
      </c>
      <c r="I1370" t="s">
        <v>481</v>
      </c>
      <c r="J1370" t="s">
        <v>497</v>
      </c>
      <c r="K1370" t="s">
        <v>538</v>
      </c>
      <c r="L1370" t="s">
        <v>603</v>
      </c>
      <c r="M1370" t="s">
        <v>618</v>
      </c>
      <c r="N1370" t="s">
        <v>601</v>
      </c>
    </row>
    <row r="1371" spans="1:14" x14ac:dyDescent="0.25">
      <c r="A1371" t="s">
        <v>50</v>
      </c>
      <c r="B1371" t="s">
        <v>175</v>
      </c>
      <c r="C1371" t="s">
        <v>324</v>
      </c>
      <c r="D1371" t="s">
        <v>425</v>
      </c>
      <c r="F1371" t="s">
        <v>443</v>
      </c>
      <c r="G1371" t="str">
        <f>HYPERLINK("https://ca.linkedin.com/jobs/view/senior-data-analyst-toronto-on-at-ssense-3369567279?refId=48uXOhe%2BRKHyeiCZ2gG%2FvA%3D%3D&amp;trackingId=SA%2BtrehOVO9qEIwdmTfUXg%3D%3D&amp;position=18&amp;pageNum=0&amp;trk=public_jobs_jserp-result_search-card", "Job Link")</f>
        <v>Job Link</v>
      </c>
      <c r="H1371" t="s">
        <v>478</v>
      </c>
      <c r="I1371" t="s">
        <v>481</v>
      </c>
      <c r="J1371" t="s">
        <v>486</v>
      </c>
      <c r="K1371" t="s">
        <v>550</v>
      </c>
      <c r="L1371" t="s">
        <v>582</v>
      </c>
      <c r="M1371" t="s">
        <v>588</v>
      </c>
      <c r="N1371" t="s">
        <v>601</v>
      </c>
    </row>
    <row r="1372" spans="1:14" x14ac:dyDescent="0.25">
      <c r="A1372" t="s">
        <v>51</v>
      </c>
      <c r="B1372" t="s">
        <v>175</v>
      </c>
      <c r="C1372" t="s">
        <v>325</v>
      </c>
      <c r="D1372" t="s">
        <v>425</v>
      </c>
      <c r="F1372" t="s">
        <v>443</v>
      </c>
      <c r="G1372" t="str">
        <f>HYPERLINK("https://ca.linkedin.com/jobs/view/senior-data-analyst-analytics-insights-toronto-on-at-ssense-3369558722?refId=48uXOhe%2BRKHyeiCZ2gG%2FvA%3D%3D&amp;trackingId=RM2Mm4f%2FfHMQH2xUNsLZCw%3D%3D&amp;position=19&amp;pageNum=0&amp;trk=public_jobs_jserp-result_search-card", "Job Link")</f>
        <v>Job Link</v>
      </c>
      <c r="H1372" t="s">
        <v>478</v>
      </c>
      <c r="I1372" t="s">
        <v>481</v>
      </c>
      <c r="J1372" t="s">
        <v>491</v>
      </c>
      <c r="K1372" t="s">
        <v>550</v>
      </c>
      <c r="L1372" t="s">
        <v>582</v>
      </c>
      <c r="M1372" t="s">
        <v>588</v>
      </c>
      <c r="N1372" t="s">
        <v>601</v>
      </c>
    </row>
    <row r="1373" spans="1:14" x14ac:dyDescent="0.25">
      <c r="A1373" t="s">
        <v>51</v>
      </c>
      <c r="B1373" t="s">
        <v>175</v>
      </c>
      <c r="C1373" t="s">
        <v>325</v>
      </c>
      <c r="D1373" t="s">
        <v>425</v>
      </c>
      <c r="F1373" t="s">
        <v>443</v>
      </c>
      <c r="G1373" t="str">
        <f>HYPERLINK("https://ca.linkedin.com/jobs/view/senior-data-analyst-analytics-insights-toronto-on-at-ssense-3369560180?refId=48uXOhe%2BRKHyeiCZ2gG%2FvA%3D%3D&amp;trackingId=o5ISSCPhJhf8pGy1nddjDg%3D%3D&amp;position=20&amp;pageNum=0&amp;trk=public_jobs_jserp-result_search-card", "Job Link")</f>
        <v>Job Link</v>
      </c>
      <c r="H1373" t="s">
        <v>478</v>
      </c>
      <c r="I1373" t="s">
        <v>481</v>
      </c>
      <c r="J1373" t="s">
        <v>491</v>
      </c>
      <c r="K1373" t="s">
        <v>550</v>
      </c>
      <c r="L1373" t="s">
        <v>582</v>
      </c>
      <c r="M1373" t="s">
        <v>588</v>
      </c>
      <c r="N1373" t="s">
        <v>601</v>
      </c>
    </row>
    <row r="1374" spans="1:14" x14ac:dyDescent="0.25">
      <c r="A1374" t="s">
        <v>27</v>
      </c>
      <c r="B1374" t="s">
        <v>176</v>
      </c>
      <c r="C1374" t="s">
        <v>326</v>
      </c>
      <c r="D1374" t="s">
        <v>425</v>
      </c>
      <c r="F1374" t="s">
        <v>441</v>
      </c>
      <c r="G1374" t="str">
        <f>HYPERLINK("https://ca.linkedin.com/jobs/view/sr-data-analyst-at-telus-international-digital-solutions-3331944226?refId=48uXOhe%2BRKHyeiCZ2gG%2FvA%3D%3D&amp;trackingId=v07Gz4Wfvj48oMes8S8SLw%3D%3D&amp;position=21&amp;pageNum=0&amp;trk=public_jobs_jserp-result_search-card", "Job Link")</f>
        <v>Job Link</v>
      </c>
      <c r="H1374" t="s">
        <v>478</v>
      </c>
      <c r="I1374" t="s">
        <v>481</v>
      </c>
      <c r="J1374" t="s">
        <v>498</v>
      </c>
      <c r="K1374" t="s">
        <v>521</v>
      </c>
      <c r="L1374" t="s">
        <v>604</v>
      </c>
      <c r="M1374" t="s">
        <v>618</v>
      </c>
      <c r="N1374" t="s">
        <v>601</v>
      </c>
    </row>
    <row r="1375" spans="1:14" x14ac:dyDescent="0.25">
      <c r="A1375" t="s">
        <v>20</v>
      </c>
      <c r="B1375" t="s">
        <v>175</v>
      </c>
      <c r="C1375" t="s">
        <v>324</v>
      </c>
      <c r="D1375" t="s">
        <v>425</v>
      </c>
      <c r="F1375" t="s">
        <v>446</v>
      </c>
      <c r="G1375" t="str">
        <f>HYPERLINK("https://ca.linkedin.com/jobs/view/senior-data-analyst-at-ssense-3342165774?refId=48uXOhe%2BRKHyeiCZ2gG%2FvA%3D%3D&amp;trackingId=LQlEbeNv7UrNXCp1CCbZGg%3D%3D&amp;position=22&amp;pageNum=0&amp;trk=public_jobs_jserp-result_search-card", "Job Link")</f>
        <v>Job Link</v>
      </c>
      <c r="H1375" t="s">
        <v>478</v>
      </c>
      <c r="I1375" t="s">
        <v>481</v>
      </c>
      <c r="J1375" t="s">
        <v>486</v>
      </c>
      <c r="K1375" t="s">
        <v>550</v>
      </c>
      <c r="L1375" t="s">
        <v>605</v>
      </c>
      <c r="M1375" t="s">
        <v>617</v>
      </c>
      <c r="N1375" t="s">
        <v>601</v>
      </c>
    </row>
    <row r="1376" spans="1:14" x14ac:dyDescent="0.25">
      <c r="A1376" t="s">
        <v>54</v>
      </c>
      <c r="B1376" t="s">
        <v>178</v>
      </c>
      <c r="C1376" t="s">
        <v>329</v>
      </c>
      <c r="D1376" t="s">
        <v>425</v>
      </c>
      <c r="F1376" t="s">
        <v>430</v>
      </c>
      <c r="G1376">
        <v>0</v>
      </c>
      <c r="H1376" t="s">
        <v>476</v>
      </c>
      <c r="I1376" t="s">
        <v>481</v>
      </c>
      <c r="J1376" t="s">
        <v>486</v>
      </c>
      <c r="K1376" t="s">
        <v>521</v>
      </c>
      <c r="L1376" t="s">
        <v>583</v>
      </c>
      <c r="M1376" t="s">
        <v>610</v>
      </c>
      <c r="N1376" t="s">
        <v>601</v>
      </c>
    </row>
    <row r="1377" spans="1:14" x14ac:dyDescent="0.25">
      <c r="A1377" t="s">
        <v>54</v>
      </c>
      <c r="B1377" t="s">
        <v>178</v>
      </c>
      <c r="C1377" t="s">
        <v>329</v>
      </c>
      <c r="D1377" t="s">
        <v>425</v>
      </c>
      <c r="F1377" t="s">
        <v>430</v>
      </c>
      <c r="G1377">
        <v>0</v>
      </c>
      <c r="H1377" t="s">
        <v>476</v>
      </c>
      <c r="I1377" t="s">
        <v>481</v>
      </c>
      <c r="J1377" t="s">
        <v>486</v>
      </c>
      <c r="K1377" t="s">
        <v>521</v>
      </c>
      <c r="L1377" t="s">
        <v>606</v>
      </c>
      <c r="M1377" t="s">
        <v>618</v>
      </c>
      <c r="N1377" t="s">
        <v>601</v>
      </c>
    </row>
    <row r="1378" spans="1:14" x14ac:dyDescent="0.25">
      <c r="A1378" t="s">
        <v>47</v>
      </c>
      <c r="B1378" t="s">
        <v>171</v>
      </c>
      <c r="C1378" t="s">
        <v>284</v>
      </c>
      <c r="D1378" t="s">
        <v>425</v>
      </c>
      <c r="F1378" t="s">
        <v>447</v>
      </c>
      <c r="G1378" t="str">
        <f>HYPERLINK("https://ca.linkedin.com/jobs/view/insights-analyst-at-flashfood-3312876343?refId=2NpVxSnv463OMPrSpsZVxg%3D%3D&amp;trackingId=4PFmIqEtfP1Aya%2BD96VW5A%3D%3D&amp;position=3&amp;pageNum=0&amp;trk=public_jobs_jserp-result_search-card", "Job Link")</f>
        <v>Job Link</v>
      </c>
      <c r="L1378" t="s">
        <v>601</v>
      </c>
    </row>
    <row r="1379" spans="1:14" x14ac:dyDescent="0.25">
      <c r="A1379" t="s">
        <v>20</v>
      </c>
      <c r="B1379" t="s">
        <v>172</v>
      </c>
      <c r="C1379" t="s">
        <v>321</v>
      </c>
      <c r="D1379" t="s">
        <v>425</v>
      </c>
      <c r="F1379" t="s">
        <v>438</v>
      </c>
      <c r="G1379" t="str">
        <f>HYPERLINK("https://ca.linkedin.com/jobs/view/senior-data-analyst-at-system1-3324728130?refId=2NpVxSnv463OMPrSpsZVxg%3D%3D&amp;trackingId=PAgV4gIpLH7%2FoCmysZf%2Fng%3D%3D&amp;position=4&amp;pageNum=0&amp;trk=public_jobs_jserp-result_search-card", "Job Link")</f>
        <v>Job Link</v>
      </c>
      <c r="H1379" t="s">
        <v>478</v>
      </c>
      <c r="I1379" t="s">
        <v>481</v>
      </c>
      <c r="J1379" t="s">
        <v>486</v>
      </c>
      <c r="K1379" t="s">
        <v>548</v>
      </c>
      <c r="L1379" t="s">
        <v>587</v>
      </c>
      <c r="M1379" t="s">
        <v>588</v>
      </c>
      <c r="N1379" t="s">
        <v>601</v>
      </c>
    </row>
    <row r="1380" spans="1:14" x14ac:dyDescent="0.25">
      <c r="A1380" t="s">
        <v>55</v>
      </c>
      <c r="B1380" t="s">
        <v>179</v>
      </c>
      <c r="C1380" t="s">
        <v>330</v>
      </c>
      <c r="D1380" t="s">
        <v>425</v>
      </c>
      <c r="F1380" t="s">
        <v>442</v>
      </c>
      <c r="G1380" t="str">
        <f>HYPERLINK("https://ca.linkedin.com/jobs/view/data-engineer-big-data-engineer-at-capgemini-3346598176?refId=2NpVxSnv463OMPrSpsZVxg%3D%3D&amp;trackingId=HiK2%2FShOU8mgARiKZf7HeA%3D%3D&amp;position=5&amp;pageNum=0&amp;trk=public_jobs_jserp-result_search-card", "Job Link")</f>
        <v>Job Link</v>
      </c>
      <c r="H1380" t="s">
        <v>478</v>
      </c>
      <c r="I1380" t="s">
        <v>481</v>
      </c>
      <c r="J1380" t="s">
        <v>486</v>
      </c>
      <c r="K1380" t="s">
        <v>521</v>
      </c>
      <c r="L1380" t="s">
        <v>582</v>
      </c>
      <c r="M1380" t="s">
        <v>588</v>
      </c>
      <c r="N1380" t="s">
        <v>601</v>
      </c>
    </row>
    <row r="1381" spans="1:14" x14ac:dyDescent="0.25">
      <c r="A1381" t="s">
        <v>20</v>
      </c>
      <c r="B1381" t="s">
        <v>180</v>
      </c>
      <c r="C1381" t="s">
        <v>331</v>
      </c>
      <c r="D1381" t="s">
        <v>425</v>
      </c>
      <c r="F1381" t="s">
        <v>439</v>
      </c>
      <c r="G1381" t="str">
        <f>HYPERLINK("https://ca.linkedin.com/jobs/view/senior-data-analyst-at-recollective-3325462969?refId=2NpVxSnv463OMPrSpsZVxg%3D%3D&amp;trackingId=6S44e4I4721RSWD6RHNf7g%3D%3D&amp;position=6&amp;pageNum=0&amp;trk=public_jobs_jserp-result_search-card", "Job Link")</f>
        <v>Job Link</v>
      </c>
      <c r="H1381" t="s">
        <v>477</v>
      </c>
      <c r="I1381" t="s">
        <v>481</v>
      </c>
      <c r="J1381" t="s">
        <v>487</v>
      </c>
      <c r="K1381" t="s">
        <v>551</v>
      </c>
      <c r="L1381" t="s">
        <v>601</v>
      </c>
    </row>
    <row r="1382" spans="1:14" x14ac:dyDescent="0.25">
      <c r="A1382" t="s">
        <v>56</v>
      </c>
      <c r="B1382" t="s">
        <v>173</v>
      </c>
      <c r="C1382" t="s">
        <v>332</v>
      </c>
      <c r="D1382" t="s">
        <v>425</v>
      </c>
      <c r="F1382" t="s">
        <v>462</v>
      </c>
      <c r="G1382" t="str">
        <f>HYPERLINK("https://ca.linkedin.com/jobs/view/data-engineer-totogi-remote-%2460-000-year-usd-at-crossover-3367082925?refId=2NpVxSnv463OMPrSpsZVxg%3D%3D&amp;trackingId=FWU%2B4Nbb%2BNthQ4FF342YmQ%3D%3D&amp;position=7&amp;pageNum=0&amp;trk=public_jobs_jserp-result_search-card", "Job Link")</f>
        <v>Job Link</v>
      </c>
      <c r="H1382" t="s">
        <v>477</v>
      </c>
      <c r="I1382" t="s">
        <v>481</v>
      </c>
      <c r="J1382" t="s">
        <v>496</v>
      </c>
      <c r="K1382" t="s">
        <v>552</v>
      </c>
      <c r="L1382" t="s">
        <v>582</v>
      </c>
      <c r="M1382" t="s">
        <v>588</v>
      </c>
      <c r="N1382" t="s">
        <v>601</v>
      </c>
    </row>
    <row r="1383" spans="1:14" x14ac:dyDescent="0.25">
      <c r="A1383" t="s">
        <v>57</v>
      </c>
      <c r="B1383" t="s">
        <v>181</v>
      </c>
      <c r="C1383" t="s">
        <v>333</v>
      </c>
      <c r="D1383" t="s">
        <v>425</v>
      </c>
      <c r="F1383" t="s">
        <v>463</v>
      </c>
      <c r="G1383" t="str">
        <f>HYPERLINK("https://ca.linkedin.com/jobs/view/technical-support-analyst-at-jitterbit-3367373466?refId=2NpVxSnv463OMPrSpsZVxg%3D%3D&amp;trackingId=6OAkMnEPraZBoM7U0LZtJQ%3D%3D&amp;position=8&amp;pageNum=0&amp;trk=public_jobs_jserp-result_search-card", "Job Link")</f>
        <v>Job Link</v>
      </c>
      <c r="H1383" t="s">
        <v>477</v>
      </c>
      <c r="I1383" t="s">
        <v>481</v>
      </c>
      <c r="J1383" t="s">
        <v>500</v>
      </c>
      <c r="K1383" t="s">
        <v>516</v>
      </c>
      <c r="L1383" t="s">
        <v>601</v>
      </c>
    </row>
    <row r="1384" spans="1:14" x14ac:dyDescent="0.25">
      <c r="A1384" t="s">
        <v>58</v>
      </c>
      <c r="B1384" t="s">
        <v>182</v>
      </c>
      <c r="C1384" t="s">
        <v>334</v>
      </c>
      <c r="D1384" t="s">
        <v>425</v>
      </c>
      <c r="F1384" t="s">
        <v>464</v>
      </c>
      <c r="G1384" t="str">
        <f>HYPERLINK("https://ca.linkedin.com/jobs/view/data-analyst-with-guidewire-experience-remote-us-canada-at-alybyte-inc-3309546020?refId=2NpVxSnv463OMPrSpsZVxg%3D%3D&amp;trackingId=Ru488w6UWHcwlYvBQ9WOzw%3D%3D&amp;position=9&amp;pageNum=0&amp;trk=public_jobs_jserp-result_search-card", "Job Link")</f>
        <v>Job Link</v>
      </c>
      <c r="H1384" t="s">
        <v>476</v>
      </c>
      <c r="I1384" t="s">
        <v>483</v>
      </c>
      <c r="J1384" t="s">
        <v>485</v>
      </c>
      <c r="K1384" t="s">
        <v>521</v>
      </c>
      <c r="L1384" t="s">
        <v>582</v>
      </c>
      <c r="M1384" t="s">
        <v>588</v>
      </c>
      <c r="N1384" t="s">
        <v>601</v>
      </c>
    </row>
    <row r="1385" spans="1:14" x14ac:dyDescent="0.25">
      <c r="A1385" t="s">
        <v>45</v>
      </c>
      <c r="B1385" t="s">
        <v>168</v>
      </c>
      <c r="C1385" t="s">
        <v>317</v>
      </c>
      <c r="D1385" t="s">
        <v>425</v>
      </c>
      <c r="F1385" t="s">
        <v>443</v>
      </c>
      <c r="G1385" t="str">
        <f>HYPERLINK("https://ca.linkedin.com/jobs/view/senior-data-analyst-apac-marketplace-at-hopper-3363404929?refId=2NpVxSnv463OMPrSpsZVxg%3D%3D&amp;trackingId=eCyDTYOrCIDWnfS7OwfKBQ%3D%3D&amp;position=10&amp;pageNum=0&amp;trk=public_jobs_jserp-result_search-card", "Job Link")</f>
        <v>Job Link</v>
      </c>
      <c r="H1385" t="s">
        <v>478</v>
      </c>
      <c r="I1385" t="s">
        <v>485</v>
      </c>
      <c r="J1385" t="s">
        <v>486</v>
      </c>
      <c r="K1385" t="s">
        <v>538</v>
      </c>
      <c r="L1385" t="s">
        <v>601</v>
      </c>
    </row>
    <row r="1386" spans="1:14" x14ac:dyDescent="0.25">
      <c r="A1386" t="s">
        <v>59</v>
      </c>
      <c r="B1386" t="s">
        <v>183</v>
      </c>
      <c r="C1386" t="s">
        <v>335</v>
      </c>
      <c r="D1386" t="s">
        <v>425</v>
      </c>
      <c r="F1386" t="s">
        <v>465</v>
      </c>
      <c r="G1386" t="str">
        <f>HYPERLINK("https://ca.linkedin.com/jobs/view/business-systems-analyst-at-entrust-3299783923?refId=2NpVxSnv463OMPrSpsZVxg%3D%3D&amp;trackingId=lKuNmgRu3x%2BcqSasLKmNlQ%3D%3D&amp;position=11&amp;pageNum=0&amp;trk=public_jobs_jserp-result_search-card", "Job Link")</f>
        <v>Job Link</v>
      </c>
      <c r="H1386" t="s">
        <v>478</v>
      </c>
      <c r="I1386" t="s">
        <v>481</v>
      </c>
      <c r="J1386" t="s">
        <v>486</v>
      </c>
      <c r="K1386" t="s">
        <v>516</v>
      </c>
      <c r="L1386" t="s">
        <v>607</v>
      </c>
      <c r="M1386" t="s">
        <v>588</v>
      </c>
      <c r="N1386" t="s">
        <v>601</v>
      </c>
    </row>
    <row r="1387" spans="1:14" x14ac:dyDescent="0.25">
      <c r="A1387" t="s">
        <v>60</v>
      </c>
      <c r="B1387" t="s">
        <v>184</v>
      </c>
      <c r="C1387" t="s">
        <v>336</v>
      </c>
      <c r="D1387" t="s">
        <v>425</v>
      </c>
      <c r="F1387" t="s">
        <v>434</v>
      </c>
      <c r="G1387" t="str">
        <f>HYPERLINK("https://ca.linkedin.com/jobs/view/online-data-analyst-at-telus-international-3361280858?refId=2NpVxSnv463OMPrSpsZVxg%3D%3D&amp;trackingId=KveQ1veVRAEwiVjhLQ1WVg%3D%3D&amp;position=12&amp;pageNum=0&amp;trk=public_jobs_jserp-result_search-card", "Job Link")</f>
        <v>Job Link</v>
      </c>
      <c r="H1387" t="s">
        <v>476</v>
      </c>
      <c r="I1387" t="s">
        <v>483</v>
      </c>
      <c r="J1387" t="s">
        <v>501</v>
      </c>
      <c r="K1387" t="s">
        <v>521</v>
      </c>
      <c r="L1387" t="s">
        <v>590</v>
      </c>
      <c r="M1387" t="s">
        <v>618</v>
      </c>
      <c r="N1387" t="s">
        <v>601</v>
      </c>
    </row>
    <row r="1388" spans="1:14" x14ac:dyDescent="0.25">
      <c r="A1388" t="s">
        <v>61</v>
      </c>
      <c r="B1388" t="s">
        <v>185</v>
      </c>
      <c r="C1388" t="s">
        <v>337</v>
      </c>
      <c r="D1388" t="s">
        <v>425</v>
      </c>
      <c r="F1388" t="s">
        <v>466</v>
      </c>
      <c r="G1388" t="str">
        <f>HYPERLINK("https://ca.linkedin.com/jobs/view/bi-reporting-analyst-at-trade-x-3338163061?refId=2NpVxSnv463OMPrSpsZVxg%3D%3D&amp;trackingId=fSsSkWMX8aM3AxdDuMkT1g%3D%3D&amp;position=13&amp;pageNum=0&amp;trk=public_jobs_jserp-result_search-card", "Job Link")</f>
        <v>Job Link</v>
      </c>
      <c r="H1388" t="s">
        <v>477</v>
      </c>
      <c r="I1388" t="s">
        <v>481</v>
      </c>
      <c r="J1388" t="s">
        <v>486</v>
      </c>
      <c r="K1388" t="s">
        <v>553</v>
      </c>
      <c r="L1388" t="s">
        <v>601</v>
      </c>
    </row>
    <row r="1389" spans="1:14" x14ac:dyDescent="0.25">
      <c r="A1389" t="s">
        <v>62</v>
      </c>
      <c r="B1389" t="s">
        <v>186</v>
      </c>
      <c r="C1389" t="s">
        <v>338</v>
      </c>
      <c r="D1389" t="s">
        <v>425</v>
      </c>
      <c r="F1389" t="s">
        <v>463</v>
      </c>
      <c r="G1389" t="str">
        <f>HYPERLINK("https://ca.linkedin.com/jobs/view/senior-bi-analyst-at-telecon-3329599163?refId=2NpVxSnv463OMPrSpsZVxg%3D%3D&amp;trackingId=Cc60rdnKA69tZv26IFouSQ%3D%3D&amp;position=14&amp;pageNum=0&amp;trk=public_jobs_jserp-result_search-card", "Job Link")</f>
        <v>Job Link</v>
      </c>
      <c r="H1389" t="s">
        <v>477</v>
      </c>
      <c r="I1389" t="s">
        <v>481</v>
      </c>
      <c r="J1389" t="s">
        <v>486</v>
      </c>
      <c r="K1389" t="s">
        <v>535</v>
      </c>
      <c r="L1389" t="s">
        <v>586</v>
      </c>
      <c r="M1389" t="s">
        <v>617</v>
      </c>
      <c r="N1389" t="s">
        <v>601</v>
      </c>
    </row>
    <row r="1390" spans="1:14" x14ac:dyDescent="0.25">
      <c r="A1390" t="s">
        <v>63</v>
      </c>
      <c r="B1390" t="s">
        <v>187</v>
      </c>
      <c r="C1390" t="s">
        <v>339</v>
      </c>
      <c r="D1390" t="s">
        <v>425</v>
      </c>
      <c r="F1390" t="s">
        <v>442</v>
      </c>
      <c r="G1390" t="str">
        <f>HYPERLINK("https://ca.linkedin.com/jobs/view/senior-analytics-engineer-remote-at-jungle-scout-3347033672?refId=2NpVxSnv463OMPrSpsZVxg%3D%3D&amp;trackingId=jAserwr%2FYfkqKEm4tOvDYA%3D%3D&amp;position=15&amp;pageNum=0&amp;trk=public_jobs_jserp-result_search-card", "Job Link")</f>
        <v>Job Link</v>
      </c>
      <c r="H1390" t="s">
        <v>478</v>
      </c>
      <c r="I1390" t="s">
        <v>481</v>
      </c>
      <c r="J1390" t="s">
        <v>491</v>
      </c>
      <c r="K1390" t="s">
        <v>538</v>
      </c>
      <c r="L1390" t="s">
        <v>590</v>
      </c>
      <c r="M1390" t="s">
        <v>618</v>
      </c>
      <c r="N1390" t="s">
        <v>601</v>
      </c>
    </row>
    <row r="1391" spans="1:14" x14ac:dyDescent="0.25">
      <c r="A1391" t="s">
        <v>64</v>
      </c>
      <c r="B1391" t="s">
        <v>188</v>
      </c>
      <c r="C1391" t="s">
        <v>340</v>
      </c>
      <c r="D1391" t="s">
        <v>425</v>
      </c>
      <c r="F1391" t="s">
        <v>454</v>
      </c>
      <c r="G1391" t="str">
        <f>HYPERLINK("https://ca.linkedin.com/jobs/view/senior-data-and-reporting-analyst-at-american-iron-metal-aim-3342112003?refId=2NpVxSnv463OMPrSpsZVxg%3D%3D&amp;trackingId=Uk10Pt%2Bku9uwrFejZ1XZGg%3D%3D&amp;position=16&amp;pageNum=0&amp;trk=public_jobs_jserp-result_search-card", "Job Link")</f>
        <v>Job Link</v>
      </c>
      <c r="H1391" t="s">
        <v>476</v>
      </c>
      <c r="I1391" t="s">
        <v>481</v>
      </c>
      <c r="J1391" t="s">
        <v>488</v>
      </c>
      <c r="K1391" t="s">
        <v>554</v>
      </c>
      <c r="L1391" t="s">
        <v>608</v>
      </c>
      <c r="M1391" t="s">
        <v>617</v>
      </c>
      <c r="N1391" t="s">
        <v>601</v>
      </c>
    </row>
    <row r="1392" spans="1:14" x14ac:dyDescent="0.25">
      <c r="A1392" t="s">
        <v>37</v>
      </c>
      <c r="B1392" t="s">
        <v>189</v>
      </c>
      <c r="C1392" t="s">
        <v>341</v>
      </c>
      <c r="D1392" t="s">
        <v>425</v>
      </c>
      <c r="F1392" t="s">
        <v>439</v>
      </c>
      <c r="G1392" t="str">
        <f>HYPERLINK("https://ca.linkedin.com/jobs/view/data-engineer-at-medme-health-yc-w21-3358725995?refId=2NpVxSnv463OMPrSpsZVxg%3D%3D&amp;trackingId=fV9ndJUXt6v%2FHqzEtP4HIw%3D%3D&amp;position=17&amp;pageNum=0&amp;trk=public_jobs_jserp-result_search-card", "Job Link")</f>
        <v>Job Link</v>
      </c>
      <c r="H1392" t="s">
        <v>476</v>
      </c>
      <c r="I1392" t="s">
        <v>481</v>
      </c>
      <c r="J1392" t="s">
        <v>486</v>
      </c>
      <c r="K1392" t="s">
        <v>516</v>
      </c>
      <c r="L1392" t="s">
        <v>601</v>
      </c>
    </row>
    <row r="1393" spans="1:14" x14ac:dyDescent="0.25">
      <c r="A1393" t="s">
        <v>65</v>
      </c>
      <c r="B1393" t="s">
        <v>190</v>
      </c>
      <c r="C1393" t="s">
        <v>342</v>
      </c>
      <c r="D1393" t="s">
        <v>425</v>
      </c>
      <c r="F1393" t="s">
        <v>467</v>
      </c>
      <c r="G1393" t="str">
        <f>HYPERLINK("https://ca.linkedin.com/jobs/view/data-analyst-consultant-fire-ems-at-darkhorse-analytics-3356852212?refId=2NpVxSnv463OMPrSpsZVxg%3D%3D&amp;trackingId=YsGbLPwyJA2ylDYov9y6Zg%3D%3D&amp;position=18&amp;pageNum=0&amp;trk=public_jobs_jserp-result_search-card", "Job Link")</f>
        <v>Job Link</v>
      </c>
      <c r="H1393" t="s">
        <v>476</v>
      </c>
      <c r="I1393" t="s">
        <v>481</v>
      </c>
      <c r="J1393" t="s">
        <v>486</v>
      </c>
      <c r="K1393" t="s">
        <v>538</v>
      </c>
      <c r="L1393" t="s">
        <v>609</v>
      </c>
      <c r="M1393" t="s">
        <v>610</v>
      </c>
      <c r="N1393" t="s">
        <v>601</v>
      </c>
    </row>
    <row r="1394" spans="1:14" x14ac:dyDescent="0.25">
      <c r="A1394" t="s">
        <v>66</v>
      </c>
      <c r="B1394" t="s">
        <v>191</v>
      </c>
      <c r="C1394" t="s">
        <v>343</v>
      </c>
      <c r="D1394" t="s">
        <v>425</v>
      </c>
      <c r="F1394" t="s">
        <v>463</v>
      </c>
      <c r="G1394">
        <v>0</v>
      </c>
      <c r="H1394" t="s">
        <v>477</v>
      </c>
      <c r="I1394" t="s">
        <v>481</v>
      </c>
      <c r="J1394" t="s">
        <v>502</v>
      </c>
      <c r="K1394" t="s">
        <v>520</v>
      </c>
      <c r="L1394" t="s">
        <v>601</v>
      </c>
    </row>
    <row r="1395" spans="1:14" x14ac:dyDescent="0.25">
      <c r="A1395" t="s">
        <v>37</v>
      </c>
      <c r="B1395" t="s">
        <v>177</v>
      </c>
      <c r="C1395" t="s">
        <v>344</v>
      </c>
      <c r="D1395" t="s">
        <v>425</v>
      </c>
      <c r="F1395" t="s">
        <v>431</v>
      </c>
      <c r="G1395" t="str">
        <f>HYPERLINK("https://ca.linkedin.com/jobs/view/data-engineer-at-insight-global-3360785168?refId=2NpVxSnv463OMPrSpsZVxg%3D%3D&amp;trackingId=jbYD8GfhD%2BlVRx9Ygq8MYA%3D%3D&amp;position=20&amp;pageNum=0&amp;trk=public_jobs_jserp-result_search-card", "Job Link")</f>
        <v>Job Link</v>
      </c>
      <c r="H1395" t="s">
        <v>478</v>
      </c>
      <c r="I1395" t="s">
        <v>483</v>
      </c>
      <c r="J1395" t="s">
        <v>503</v>
      </c>
      <c r="K1395" t="s">
        <v>550</v>
      </c>
      <c r="L1395" t="s">
        <v>601</v>
      </c>
    </row>
    <row r="1396" spans="1:14" x14ac:dyDescent="0.25">
      <c r="A1396" t="s">
        <v>67</v>
      </c>
      <c r="B1396" t="s">
        <v>192</v>
      </c>
      <c r="C1396" t="s">
        <v>345</v>
      </c>
      <c r="D1396" t="s">
        <v>425</v>
      </c>
      <c r="F1396" t="s">
        <v>430</v>
      </c>
      <c r="G1396">
        <v>0</v>
      </c>
      <c r="H1396" t="s">
        <v>476</v>
      </c>
      <c r="I1396" t="s">
        <v>481</v>
      </c>
      <c r="J1396" t="s">
        <v>486</v>
      </c>
      <c r="K1396" t="s">
        <v>555</v>
      </c>
      <c r="L1396" t="s">
        <v>582</v>
      </c>
      <c r="M1396" t="s">
        <v>588</v>
      </c>
      <c r="N1396" t="s">
        <v>601</v>
      </c>
    </row>
    <row r="1397" spans="1:14" x14ac:dyDescent="0.25">
      <c r="A1397" t="s">
        <v>68</v>
      </c>
      <c r="B1397" t="s">
        <v>193</v>
      </c>
      <c r="C1397" t="s">
        <v>346</v>
      </c>
      <c r="D1397" t="s">
        <v>425</v>
      </c>
      <c r="F1397" t="s">
        <v>460</v>
      </c>
      <c r="G1397" t="str">
        <f>HYPERLINK("https://ca.linkedin.com/jobs/view/data-science-analyst-remote-at-yelp-2957910288?refId=2NpVxSnv463OMPrSpsZVxg%3D%3D&amp;trackingId=8f0wckn5%2BmdQK47bqRa43g%3D%3D&amp;position=22&amp;pageNum=0&amp;trk=public_jobs_jserp-result_search-card", "Job Link")</f>
        <v>Job Link</v>
      </c>
      <c r="H1397" t="s">
        <v>476</v>
      </c>
      <c r="I1397" t="s">
        <v>481</v>
      </c>
      <c r="J1397" t="s">
        <v>486</v>
      </c>
      <c r="K1397" t="s">
        <v>556</v>
      </c>
      <c r="L1397" t="s">
        <v>582</v>
      </c>
      <c r="M1397" t="s">
        <v>588</v>
      </c>
      <c r="N1397" t="s">
        <v>601</v>
      </c>
    </row>
    <row r="1398" spans="1:14" x14ac:dyDescent="0.25">
      <c r="A1398" t="s">
        <v>69</v>
      </c>
      <c r="B1398" t="s">
        <v>175</v>
      </c>
      <c r="C1398" t="s">
        <v>324</v>
      </c>
      <c r="D1398" t="s">
        <v>425</v>
      </c>
      <c r="F1398" t="s">
        <v>446</v>
      </c>
      <c r="G1398" t="str">
        <f>HYPERLINK("https://ca.linkedin.com/jobs/view/senior-data-analyst-vancouver-bc-at-ssense-3342171308?refId=2NpVxSnv463OMPrSpsZVxg%3D%3D&amp;trackingId=Idc3V9EhIGkX39%2BbXELGcw%3D%3D&amp;position=23&amp;pageNum=0&amp;trk=public_jobs_jserp-result_search-card", "Job Link")</f>
        <v>Job Link</v>
      </c>
      <c r="H1398" t="s">
        <v>478</v>
      </c>
      <c r="I1398" t="s">
        <v>481</v>
      </c>
      <c r="J1398" t="s">
        <v>486</v>
      </c>
      <c r="K1398" t="s">
        <v>550</v>
      </c>
      <c r="L1398" t="s">
        <v>590</v>
      </c>
      <c r="M1398" t="s">
        <v>618</v>
      </c>
      <c r="N1398" t="s">
        <v>601</v>
      </c>
    </row>
    <row r="1399" spans="1:14" x14ac:dyDescent="0.25">
      <c r="A1399" t="s">
        <v>14</v>
      </c>
      <c r="B1399" t="s">
        <v>162</v>
      </c>
      <c r="C1399" t="s">
        <v>311</v>
      </c>
      <c r="D1399" t="s">
        <v>425</v>
      </c>
      <c r="F1399" t="s">
        <v>434</v>
      </c>
      <c r="G1399" t="str">
        <f>HYPERLINK("https://ca.linkedin.com/jobs/view/data-analyst-at-money-mart-financial-services-3361528052?refId=2NpVxSnv463OMPrSpsZVxg%3D%3D&amp;trackingId=zuarbKUkhsjufwH4ax73FA%3D%3D&amp;position=24&amp;pageNum=0&amp;trk=public_jobs_jserp-result_search-card", "Job Link")</f>
        <v>Job Link</v>
      </c>
      <c r="H1399" t="s">
        <v>477</v>
      </c>
      <c r="I1399" t="s">
        <v>481</v>
      </c>
      <c r="J1399" t="s">
        <v>488</v>
      </c>
      <c r="K1399" t="s">
        <v>527</v>
      </c>
      <c r="L1399" t="s">
        <v>582</v>
      </c>
      <c r="M1399" t="s">
        <v>588</v>
      </c>
      <c r="N1399" t="s">
        <v>601</v>
      </c>
    </row>
    <row r="1400" spans="1:14" x14ac:dyDescent="0.25">
      <c r="A1400" t="s">
        <v>70</v>
      </c>
      <c r="B1400" t="s">
        <v>194</v>
      </c>
      <c r="C1400" t="s">
        <v>347</v>
      </c>
      <c r="D1400" t="s">
        <v>425</v>
      </c>
      <c r="F1400" t="s">
        <v>462</v>
      </c>
      <c r="G1400" t="str">
        <f>HYPERLINK("https://ca.linkedin.com/jobs/view/data-engineer-remote-at-article-3364468812?refId=2NpVxSnv463OMPrSpsZVxg%3D%3D&amp;trackingId=lJKtkQyqxb717jCskHID7g%3D%3D&amp;position=25&amp;pageNum=0&amp;trk=public_jobs_jserp-result_search-card", "Job Link")</f>
        <v>Job Link</v>
      </c>
      <c r="H1400" t="s">
        <v>476</v>
      </c>
      <c r="I1400" t="s">
        <v>481</v>
      </c>
      <c r="J1400" t="s">
        <v>486</v>
      </c>
      <c r="K1400" t="s">
        <v>557</v>
      </c>
      <c r="L1400" t="s">
        <v>590</v>
      </c>
      <c r="M1400" t="s">
        <v>618</v>
      </c>
      <c r="N1400" t="s">
        <v>601</v>
      </c>
    </row>
    <row r="1401" spans="1:14" x14ac:dyDescent="0.25">
      <c r="A1401" t="s">
        <v>14</v>
      </c>
      <c r="B1401" t="s">
        <v>158</v>
      </c>
      <c r="C1401" t="s">
        <v>307</v>
      </c>
      <c r="D1401" t="s">
        <v>425</v>
      </c>
      <c r="F1401" t="s">
        <v>430</v>
      </c>
      <c r="G1401" t="str">
        <f>HYPERLINK("https://ca.linkedin.com/jobs/view/data-analyst-at-empire-life-3324608289?refId=EPU2gC2v0NvoH1EUA2bU5w%3D%3D&amp;trackingId=JQL8ejX8RSDSFz6xFUU6Iw%3D%3D&amp;position=1&amp;pageNum=0&amp;trk=public_jobs_jserp-result_search-card", "Job Link")</f>
        <v>Job Link</v>
      </c>
      <c r="H1401" t="s">
        <v>476</v>
      </c>
      <c r="I1401" t="s">
        <v>481</v>
      </c>
      <c r="J1401" t="s">
        <v>485</v>
      </c>
      <c r="K1401" t="s">
        <v>523</v>
      </c>
      <c r="L1401" t="s">
        <v>601</v>
      </c>
    </row>
    <row r="1402" spans="1:14" x14ac:dyDescent="0.25">
      <c r="A1402" t="s">
        <v>40</v>
      </c>
      <c r="B1402" t="s">
        <v>159</v>
      </c>
      <c r="C1402" t="s">
        <v>308</v>
      </c>
      <c r="D1402" t="s">
        <v>425</v>
      </c>
      <c r="F1402" t="s">
        <v>435</v>
      </c>
      <c r="G1402" t="str">
        <f>HYPERLINK("https://ca.linkedin.com/jobs/view/data-visualization-developer-analyst-at-blue-boat-data-3335318133?refId=EPU2gC2v0NvoH1EUA2bU5w%3D%3D&amp;trackingId=KjTWn%2FR8bdaYT2i%2BY28d1g%3D%3D&amp;position=2&amp;pageNum=0&amp;trk=public_jobs_jserp-result_search-card", "Job Link")</f>
        <v>Job Link</v>
      </c>
      <c r="I1402" t="s">
        <v>483</v>
      </c>
      <c r="L1402" t="s">
        <v>601</v>
      </c>
    </row>
    <row r="1403" spans="1:14" x14ac:dyDescent="0.25">
      <c r="A1403" t="s">
        <v>14</v>
      </c>
      <c r="B1403" t="s">
        <v>160</v>
      </c>
      <c r="C1403" t="s">
        <v>309</v>
      </c>
      <c r="D1403" t="s">
        <v>425</v>
      </c>
      <c r="E1403" t="s">
        <v>427</v>
      </c>
      <c r="F1403" t="s">
        <v>458</v>
      </c>
      <c r="G1403" t="str">
        <f>HYPERLINK("https://ca.linkedin.com/jobs/view/data-analyst-at-libitzky-property-companies-3314494593?refId=EPU2gC2v0NvoH1EUA2bU5w%3D%3D&amp;trackingId=RDGwlrbvm%2FwVQ1ABuA6yzg%3D%3D&amp;position=3&amp;pageNum=0&amp;trk=public_jobs_jserp-result_search-card", "Job Link")</f>
        <v>Job Link</v>
      </c>
      <c r="H1403" t="s">
        <v>476</v>
      </c>
      <c r="I1403" t="s">
        <v>481</v>
      </c>
      <c r="J1403" t="s">
        <v>486</v>
      </c>
      <c r="K1403" t="s">
        <v>516</v>
      </c>
      <c r="L1403" t="s">
        <v>601</v>
      </c>
    </row>
    <row r="1404" spans="1:14" x14ac:dyDescent="0.25">
      <c r="A1404" t="s">
        <v>14</v>
      </c>
      <c r="B1404" t="s">
        <v>161</v>
      </c>
      <c r="C1404" t="s">
        <v>310</v>
      </c>
      <c r="D1404" t="s">
        <v>425</v>
      </c>
      <c r="F1404" t="s">
        <v>435</v>
      </c>
      <c r="G1404" t="str">
        <f>HYPERLINK("https://ca.linkedin.com/jobs/view/data-analyst-at-spire-3340696458?refId=EPU2gC2v0NvoH1EUA2bU5w%3D%3D&amp;trackingId=AUw%2FkJwFulUTHTpfWxhf7Q%3D%3D&amp;position=4&amp;pageNum=0&amp;trk=public_jobs_jserp-result_search-card", "Job Link")</f>
        <v>Job Link</v>
      </c>
      <c r="H1404" t="s">
        <v>476</v>
      </c>
      <c r="I1404" t="s">
        <v>481</v>
      </c>
      <c r="J1404" t="s">
        <v>486</v>
      </c>
      <c r="K1404" t="s">
        <v>517</v>
      </c>
      <c r="L1404" t="s">
        <v>602</v>
      </c>
      <c r="M1404" t="s">
        <v>588</v>
      </c>
      <c r="N1404" t="s">
        <v>601</v>
      </c>
    </row>
    <row r="1405" spans="1:14" x14ac:dyDescent="0.25">
      <c r="A1405" t="s">
        <v>14</v>
      </c>
      <c r="B1405" t="s">
        <v>163</v>
      </c>
      <c r="C1405" t="s">
        <v>312</v>
      </c>
      <c r="D1405" t="s">
        <v>425</v>
      </c>
      <c r="F1405" t="s">
        <v>443</v>
      </c>
      <c r="G1405" t="str">
        <f>HYPERLINK("https://ca.linkedin.com/jobs/view/data-analyst-at-mojio-3363472062?refId=EPU2gC2v0NvoH1EUA2bU5w%3D%3D&amp;trackingId=2pGa8%2FjCK5PI%2BhCevLt8CQ%3D%3D&amp;position=5&amp;pageNum=0&amp;trk=public_jobs_jserp-result_search-card", "Job Link")</f>
        <v>Job Link</v>
      </c>
      <c r="H1405" t="s">
        <v>478</v>
      </c>
      <c r="I1405" t="s">
        <v>481</v>
      </c>
      <c r="J1405" t="s">
        <v>493</v>
      </c>
      <c r="K1405" t="s">
        <v>544</v>
      </c>
      <c r="L1405" t="s">
        <v>601</v>
      </c>
    </row>
    <row r="1406" spans="1:14" x14ac:dyDescent="0.25">
      <c r="A1406" t="s">
        <v>41</v>
      </c>
      <c r="B1406" t="s">
        <v>164</v>
      </c>
      <c r="C1406" t="s">
        <v>313</v>
      </c>
      <c r="D1406" t="s">
        <v>425</v>
      </c>
      <c r="F1406" t="s">
        <v>444</v>
      </c>
      <c r="G1406" t="str">
        <f>HYPERLINK("https://ca.linkedin.com/jobs/view/product-data-analyst-at-pdftron-systems-inc-3322845144?refId=EPU2gC2v0NvoH1EUA2bU5w%3D%3D&amp;trackingId=f1Acgqm5nAYYDAOc%2F8j6vQ%3D%3D&amp;position=6&amp;pageNum=0&amp;trk=public_jobs_jserp-result_search-card", "Job Link")</f>
        <v>Job Link</v>
      </c>
      <c r="H1406" t="s">
        <v>479</v>
      </c>
      <c r="I1406" t="s">
        <v>481</v>
      </c>
      <c r="J1406" t="s">
        <v>487</v>
      </c>
      <c r="K1406" t="s">
        <v>538</v>
      </c>
      <c r="L1406" t="s">
        <v>590</v>
      </c>
      <c r="M1406" t="s">
        <v>618</v>
      </c>
      <c r="N1406" t="s">
        <v>601</v>
      </c>
    </row>
    <row r="1407" spans="1:14" x14ac:dyDescent="0.25">
      <c r="A1407" t="s">
        <v>42</v>
      </c>
      <c r="B1407" t="s">
        <v>165</v>
      </c>
      <c r="C1407" t="s">
        <v>314</v>
      </c>
      <c r="D1407" t="s">
        <v>425</v>
      </c>
      <c r="F1407" t="s">
        <v>459</v>
      </c>
      <c r="G1407" t="str">
        <f>HYPERLINK("https://ca.linkedin.com/jobs/view/cognitive-data-analyst-at-wysdom-ai-3333087497?refId=EPU2gC2v0NvoH1EUA2bU5w%3D%3D&amp;trackingId=RLm78nveq8i1YE3kNfKCtA%3D%3D&amp;position=7&amp;pageNum=0&amp;trk=public_jobs_jserp-result_search-card", "Job Link")</f>
        <v>Job Link</v>
      </c>
      <c r="H1407" t="s">
        <v>478</v>
      </c>
      <c r="I1407" t="s">
        <v>481</v>
      </c>
      <c r="J1407" t="s">
        <v>486</v>
      </c>
      <c r="K1407" t="s">
        <v>516</v>
      </c>
      <c r="L1407" t="s">
        <v>601</v>
      </c>
    </row>
    <row r="1408" spans="1:14" x14ac:dyDescent="0.25">
      <c r="A1408" t="s">
        <v>43</v>
      </c>
      <c r="B1408" t="s">
        <v>166</v>
      </c>
      <c r="C1408" t="s">
        <v>315</v>
      </c>
      <c r="D1408" t="s">
        <v>425</v>
      </c>
      <c r="F1408" t="s">
        <v>432</v>
      </c>
      <c r="G1408" t="str">
        <f>HYPERLINK("https://ca.linkedin.com/jobs/view/data-analyst-operations-at-felix-3360946633?refId=EPU2gC2v0NvoH1EUA2bU5w%3D%3D&amp;trackingId=bVzxOwY43Jg57plldG5MQQ%3D%3D&amp;position=8&amp;pageNum=0&amp;trk=public_jobs_jserp-result_search-card", "Job Link")</f>
        <v>Job Link</v>
      </c>
      <c r="I1408" t="s">
        <v>481</v>
      </c>
      <c r="L1408" t="s">
        <v>601</v>
      </c>
    </row>
    <row r="1409" spans="1:14" x14ac:dyDescent="0.25">
      <c r="A1409" t="s">
        <v>14</v>
      </c>
      <c r="B1409" t="s">
        <v>162</v>
      </c>
      <c r="C1409" t="s">
        <v>311</v>
      </c>
      <c r="D1409" t="s">
        <v>425</v>
      </c>
      <c r="F1409" t="s">
        <v>434</v>
      </c>
      <c r="G1409" t="str">
        <f>HYPERLINK("https://ca.linkedin.com/jobs/view/data-analyst-at-money-mart-financial-services-3361528052?refId=EPU2gC2v0NvoH1EUA2bU5w%3D%3D&amp;trackingId=bQTr60s0sre3yL7w5yA19Q%3D%3D&amp;position=9&amp;pageNum=0&amp;trk=public_jobs_jserp-result_search-card", "Job Link")</f>
        <v>Job Link</v>
      </c>
      <c r="H1409" t="s">
        <v>477</v>
      </c>
      <c r="I1409" t="s">
        <v>481</v>
      </c>
      <c r="J1409" t="s">
        <v>488</v>
      </c>
      <c r="K1409" t="s">
        <v>527</v>
      </c>
      <c r="L1409" t="s">
        <v>582</v>
      </c>
      <c r="M1409" t="s">
        <v>588</v>
      </c>
      <c r="N1409" t="s">
        <v>601</v>
      </c>
    </row>
    <row r="1410" spans="1:14" x14ac:dyDescent="0.25">
      <c r="A1410" t="s">
        <v>44</v>
      </c>
      <c r="B1410" t="s">
        <v>167</v>
      </c>
      <c r="C1410" t="s">
        <v>316</v>
      </c>
      <c r="D1410" t="s">
        <v>425</v>
      </c>
      <c r="F1410" t="s">
        <v>460</v>
      </c>
      <c r="G1410" t="str">
        <f>HYPERLINK("https://ca.linkedin.com/jobs/view/data-analyst-marketing-at-thescore-3272474942?refId=EPU2gC2v0NvoH1EUA2bU5w%3D%3D&amp;trackingId=XCYfY9%2Bi%2BJJy%2FCmsApRjWQ%3D%3D&amp;position=10&amp;pageNum=0&amp;trk=public_jobs_jserp-result_search-card", "Job Link")</f>
        <v>Job Link</v>
      </c>
      <c r="H1410" t="s">
        <v>476</v>
      </c>
      <c r="I1410" t="s">
        <v>481</v>
      </c>
      <c r="J1410" t="s">
        <v>486</v>
      </c>
      <c r="K1410" t="s">
        <v>545</v>
      </c>
      <c r="L1410" t="s">
        <v>582</v>
      </c>
      <c r="M1410" t="s">
        <v>588</v>
      </c>
      <c r="N1410" t="s">
        <v>601</v>
      </c>
    </row>
    <row r="1411" spans="1:14" x14ac:dyDescent="0.25">
      <c r="A1411" t="s">
        <v>45</v>
      </c>
      <c r="B1411" t="s">
        <v>168</v>
      </c>
      <c r="C1411" t="s">
        <v>317</v>
      </c>
      <c r="D1411" t="s">
        <v>425</v>
      </c>
      <c r="F1411" t="s">
        <v>443</v>
      </c>
      <c r="G1411" t="str">
        <f>HYPERLINK("https://ca.linkedin.com/jobs/view/senior-data-analyst-apac-marketplace-at-hopper-3363404929?refId=EPU2gC2v0NvoH1EUA2bU5w%3D%3D&amp;trackingId=UsQDrkW%2Fxitv%2FGtsS1RK4A%3D%3D&amp;position=11&amp;pageNum=0&amp;trk=public_jobs_jserp-result_search-card", "Job Link")</f>
        <v>Job Link</v>
      </c>
      <c r="H1411" t="s">
        <v>478</v>
      </c>
      <c r="I1411" t="s">
        <v>485</v>
      </c>
      <c r="J1411" t="s">
        <v>486</v>
      </c>
      <c r="K1411" t="s">
        <v>538</v>
      </c>
      <c r="L1411" t="s">
        <v>601</v>
      </c>
    </row>
    <row r="1412" spans="1:14" x14ac:dyDescent="0.25">
      <c r="A1412" t="s">
        <v>48</v>
      </c>
      <c r="B1412" t="s">
        <v>173</v>
      </c>
      <c r="C1412" t="s">
        <v>322</v>
      </c>
      <c r="D1412" t="s">
        <v>425</v>
      </c>
      <c r="F1412" t="s">
        <v>462</v>
      </c>
      <c r="G1412" t="str">
        <f>HYPERLINK("https://ca.linkedin.com/jobs/view/data-analyst-trilogy-remote-%2460-000-year-usd-at-crossover-3367086698?refId=EPU2gC2v0NvoH1EUA2bU5w%3D%3D&amp;trackingId=LJUKhMusXQSoGHsjJ6qgIA%3D%3D&amp;position=12&amp;pageNum=0&amp;trk=public_jobs_jserp-result_search-card", "Job Link")</f>
        <v>Job Link</v>
      </c>
      <c r="H1412" t="s">
        <v>477</v>
      </c>
      <c r="I1412" t="s">
        <v>481</v>
      </c>
      <c r="J1412" t="s">
        <v>496</v>
      </c>
      <c r="K1412" t="s">
        <v>549</v>
      </c>
      <c r="L1412" t="s">
        <v>582</v>
      </c>
      <c r="M1412" t="s">
        <v>588</v>
      </c>
      <c r="N1412" t="s">
        <v>601</v>
      </c>
    </row>
    <row r="1413" spans="1:14" x14ac:dyDescent="0.25">
      <c r="A1413" t="s">
        <v>46</v>
      </c>
      <c r="B1413" t="s">
        <v>169</v>
      </c>
      <c r="C1413" t="s">
        <v>318</v>
      </c>
      <c r="D1413" t="s">
        <v>425</v>
      </c>
      <c r="F1413" t="s">
        <v>461</v>
      </c>
      <c r="G1413" t="str">
        <f>HYPERLINK("https://ca.linkedin.com/jobs/view/senior-data-analyst-remote-at-insurance-supermarket-international-usa-3347334252?refId=EPU2gC2v0NvoH1EUA2bU5w%3D%3D&amp;trackingId=Qomd6zF8kx6%2BTZknxPAGaA%3D%3D&amp;position=13&amp;pageNum=0&amp;trk=public_jobs_jserp-result_search-card", "Job Link")</f>
        <v>Job Link</v>
      </c>
      <c r="H1413" t="s">
        <v>478</v>
      </c>
      <c r="I1413" t="s">
        <v>481</v>
      </c>
      <c r="J1413" t="s">
        <v>494</v>
      </c>
      <c r="K1413" t="s">
        <v>546</v>
      </c>
      <c r="L1413" t="s">
        <v>601</v>
      </c>
    </row>
    <row r="1414" spans="1:14" x14ac:dyDescent="0.25">
      <c r="A1414" t="s">
        <v>20</v>
      </c>
      <c r="B1414" t="s">
        <v>170</v>
      </c>
      <c r="C1414" t="s">
        <v>319</v>
      </c>
      <c r="D1414" t="s">
        <v>425</v>
      </c>
      <c r="F1414" t="s">
        <v>450</v>
      </c>
      <c r="G1414" t="str">
        <f>HYPERLINK("https://ca.linkedin.com/jobs/view/senior-data-analyst-at-thinkific-3333572538?refId=EPU2gC2v0NvoH1EUA2bU5w%3D%3D&amp;trackingId=1ljxSQmLj3ZgOt0qY96zsw%3D%3D&amp;position=14&amp;pageNum=0&amp;trk=public_jobs_jserp-result_search-card", "Job Link")</f>
        <v>Job Link</v>
      </c>
      <c r="H1414" t="s">
        <v>478</v>
      </c>
      <c r="I1414" t="s">
        <v>481</v>
      </c>
      <c r="J1414" t="s">
        <v>495</v>
      </c>
      <c r="K1414" t="s">
        <v>547</v>
      </c>
      <c r="L1414" t="s">
        <v>601</v>
      </c>
    </row>
    <row r="1415" spans="1:14" x14ac:dyDescent="0.25">
      <c r="A1415" t="s">
        <v>47</v>
      </c>
      <c r="B1415" t="s">
        <v>171</v>
      </c>
      <c r="C1415" t="s">
        <v>320</v>
      </c>
      <c r="D1415" t="s">
        <v>425</v>
      </c>
      <c r="F1415" t="s">
        <v>447</v>
      </c>
      <c r="G1415" t="str">
        <f>HYPERLINK("https://ca.linkedin.com/jobs/view/insights-analyst-at-flashfood-3312876343?refId=EPU2gC2v0NvoH1EUA2bU5w%3D%3D&amp;trackingId=2LITRIOeLAIRqrzcVy5n3Q%3D%3D&amp;position=15&amp;pageNum=0&amp;trk=public_jobs_jserp-result_search-card", "Job Link")</f>
        <v>Job Link</v>
      </c>
      <c r="I1415" t="s">
        <v>481</v>
      </c>
      <c r="L1415" t="s">
        <v>601</v>
      </c>
    </row>
    <row r="1416" spans="1:14" x14ac:dyDescent="0.25">
      <c r="A1416" t="s">
        <v>20</v>
      </c>
      <c r="B1416" t="s">
        <v>172</v>
      </c>
      <c r="C1416" t="s">
        <v>321</v>
      </c>
      <c r="D1416" t="s">
        <v>425</v>
      </c>
      <c r="F1416" t="s">
        <v>438</v>
      </c>
      <c r="G1416" t="str">
        <f>HYPERLINK("https://ca.linkedin.com/jobs/view/senior-data-analyst-at-system1-3324728130?refId=EPU2gC2v0NvoH1EUA2bU5w%3D%3D&amp;trackingId=lMGzEB%2FmKQTuLVHYLQqC9A%3D%3D&amp;position=16&amp;pageNum=0&amp;trk=public_jobs_jserp-result_search-card", "Job Link")</f>
        <v>Job Link</v>
      </c>
      <c r="H1416" t="s">
        <v>478</v>
      </c>
      <c r="I1416" t="s">
        <v>481</v>
      </c>
      <c r="J1416" t="s">
        <v>486</v>
      </c>
      <c r="K1416" t="s">
        <v>548</v>
      </c>
      <c r="L1416" t="s">
        <v>587</v>
      </c>
      <c r="M1416" t="s">
        <v>588</v>
      </c>
      <c r="N1416" t="s">
        <v>601</v>
      </c>
    </row>
    <row r="1417" spans="1:14" x14ac:dyDescent="0.25">
      <c r="A1417" t="s">
        <v>49</v>
      </c>
      <c r="B1417" t="s">
        <v>174</v>
      </c>
      <c r="C1417" t="s">
        <v>323</v>
      </c>
      <c r="D1417" t="s">
        <v>425</v>
      </c>
      <c r="F1417" t="s">
        <v>433</v>
      </c>
      <c r="G1417" t="str">
        <f>HYPERLINK("https://ca.linkedin.com/jobs/view/product-data-analyst-wtfast-at-blankslate-partners-3350561493?refId=EPU2gC2v0NvoH1EUA2bU5w%3D%3D&amp;trackingId=BOcpJ2ZaNLVR26BMgBhuKg%3D%3D&amp;position=17&amp;pageNum=0&amp;trk=public_jobs_jserp-result_search-card", "Job Link")</f>
        <v>Job Link</v>
      </c>
      <c r="H1417" t="s">
        <v>479</v>
      </c>
      <c r="I1417" t="s">
        <v>481</v>
      </c>
      <c r="J1417" t="s">
        <v>497</v>
      </c>
      <c r="K1417" t="s">
        <v>538</v>
      </c>
      <c r="L1417" t="s">
        <v>603</v>
      </c>
      <c r="M1417" t="s">
        <v>618</v>
      </c>
      <c r="N1417" t="s">
        <v>601</v>
      </c>
    </row>
    <row r="1418" spans="1:14" x14ac:dyDescent="0.25">
      <c r="A1418" t="s">
        <v>50</v>
      </c>
      <c r="B1418" t="s">
        <v>175</v>
      </c>
      <c r="C1418" t="s">
        <v>324</v>
      </c>
      <c r="D1418" t="s">
        <v>425</v>
      </c>
      <c r="F1418" t="s">
        <v>443</v>
      </c>
      <c r="G1418" t="str">
        <f>HYPERLINK("https://ca.linkedin.com/jobs/view/senior-data-analyst-toronto-on-at-ssense-3369567279?refId=EPU2gC2v0NvoH1EUA2bU5w%3D%3D&amp;trackingId=6%2FBTRh2R6HaSeUu6V9qGAQ%3D%3D&amp;position=18&amp;pageNum=0&amp;trk=public_jobs_jserp-result_search-card", "Job Link")</f>
        <v>Job Link</v>
      </c>
      <c r="H1418" t="s">
        <v>478</v>
      </c>
      <c r="I1418" t="s">
        <v>481</v>
      </c>
      <c r="J1418" t="s">
        <v>486</v>
      </c>
      <c r="K1418" t="s">
        <v>550</v>
      </c>
      <c r="L1418" t="s">
        <v>582</v>
      </c>
      <c r="M1418" t="s">
        <v>588</v>
      </c>
      <c r="N1418" t="s">
        <v>601</v>
      </c>
    </row>
    <row r="1419" spans="1:14" x14ac:dyDescent="0.25">
      <c r="A1419" t="s">
        <v>51</v>
      </c>
      <c r="B1419" t="s">
        <v>175</v>
      </c>
      <c r="C1419" t="s">
        <v>325</v>
      </c>
      <c r="D1419" t="s">
        <v>425</v>
      </c>
      <c r="F1419" t="s">
        <v>443</v>
      </c>
      <c r="G1419" t="str">
        <f>HYPERLINK("https://ca.linkedin.com/jobs/view/senior-data-analyst-analytics-insights-toronto-on-at-ssense-3369558722?refId=EPU2gC2v0NvoH1EUA2bU5w%3D%3D&amp;trackingId=DSsmy3JjXLh7E4X8Mm9OwQ%3D%3D&amp;position=19&amp;pageNum=0&amp;trk=public_jobs_jserp-result_search-card", "Job Link")</f>
        <v>Job Link</v>
      </c>
      <c r="H1419" t="s">
        <v>478</v>
      </c>
      <c r="I1419" t="s">
        <v>481</v>
      </c>
      <c r="J1419" t="s">
        <v>491</v>
      </c>
      <c r="K1419" t="s">
        <v>550</v>
      </c>
      <c r="L1419" t="s">
        <v>582</v>
      </c>
      <c r="M1419" t="s">
        <v>588</v>
      </c>
      <c r="N1419" t="s">
        <v>601</v>
      </c>
    </row>
    <row r="1420" spans="1:14" x14ac:dyDescent="0.25">
      <c r="A1420" t="s">
        <v>51</v>
      </c>
      <c r="B1420" t="s">
        <v>175</v>
      </c>
      <c r="C1420" t="s">
        <v>325</v>
      </c>
      <c r="D1420" t="s">
        <v>425</v>
      </c>
      <c r="F1420" t="s">
        <v>443</v>
      </c>
      <c r="G1420" t="str">
        <f>HYPERLINK("https://ca.linkedin.com/jobs/view/senior-data-analyst-analytics-insights-toronto-on-at-ssense-3369560180?refId=EPU2gC2v0NvoH1EUA2bU5w%3D%3D&amp;trackingId=o%2FnkDzRq1EBpyUp%2FoIeCkw%3D%3D&amp;position=20&amp;pageNum=0&amp;trk=public_jobs_jserp-result_search-card", "Job Link")</f>
        <v>Job Link</v>
      </c>
      <c r="H1420" t="s">
        <v>478</v>
      </c>
      <c r="I1420" t="s">
        <v>481</v>
      </c>
      <c r="J1420" t="s">
        <v>491</v>
      </c>
      <c r="K1420" t="s">
        <v>550</v>
      </c>
      <c r="L1420" t="s">
        <v>582</v>
      </c>
      <c r="M1420" t="s">
        <v>588</v>
      </c>
      <c r="N1420" t="s">
        <v>601</v>
      </c>
    </row>
    <row r="1421" spans="1:14" x14ac:dyDescent="0.25">
      <c r="A1421" t="s">
        <v>52</v>
      </c>
      <c r="B1421" t="s">
        <v>173</v>
      </c>
      <c r="C1421" t="s">
        <v>327</v>
      </c>
      <c r="D1421" t="s">
        <v>425</v>
      </c>
      <c r="F1421" t="s">
        <v>462</v>
      </c>
      <c r="G1421" t="str">
        <f>HYPERLINK("https://ca.linkedin.com/jobs/view/data-research-analyst-trilogy-remote-%2460-000-year-usd-at-crossover-3367090309?refId=EPU2gC2v0NvoH1EUA2bU5w%3D%3D&amp;trackingId=pGuC6CQzUF5WU2DU747OWA%3D%3D&amp;position=21&amp;pageNum=0&amp;trk=public_jobs_jserp-result_search-card", "Job Link")</f>
        <v>Job Link</v>
      </c>
      <c r="H1421" t="s">
        <v>477</v>
      </c>
      <c r="I1421" t="s">
        <v>481</v>
      </c>
      <c r="J1421" t="s">
        <v>499</v>
      </c>
      <c r="K1421" t="s">
        <v>549</v>
      </c>
      <c r="L1421" t="s">
        <v>588</v>
      </c>
      <c r="M1421" t="s">
        <v>601</v>
      </c>
    </row>
    <row r="1422" spans="1:14" x14ac:dyDescent="0.25">
      <c r="A1422" t="s">
        <v>27</v>
      </c>
      <c r="B1422" t="s">
        <v>176</v>
      </c>
      <c r="C1422" t="s">
        <v>326</v>
      </c>
      <c r="D1422" t="s">
        <v>425</v>
      </c>
      <c r="F1422" t="s">
        <v>441</v>
      </c>
      <c r="G1422" t="str">
        <f>HYPERLINK("https://ca.linkedin.com/jobs/view/sr-data-analyst-at-telus-international-digital-solutions-3331944226?refId=EPU2gC2v0NvoH1EUA2bU5w%3D%3D&amp;trackingId=J3s1QOEp%2B1fxztVbN1%2BpEQ%3D%3D&amp;position=22&amp;pageNum=0&amp;trk=public_jobs_jserp-result_search-card", "Job Link")</f>
        <v>Job Link</v>
      </c>
      <c r="H1422" t="s">
        <v>478</v>
      </c>
      <c r="I1422" t="s">
        <v>481</v>
      </c>
      <c r="J1422" t="s">
        <v>498</v>
      </c>
      <c r="K1422" t="s">
        <v>521</v>
      </c>
      <c r="L1422" t="s">
        <v>604</v>
      </c>
      <c r="M1422" t="s">
        <v>618</v>
      </c>
      <c r="N1422" t="s">
        <v>601</v>
      </c>
    </row>
    <row r="1423" spans="1:14" x14ac:dyDescent="0.25">
      <c r="A1423" t="s">
        <v>14</v>
      </c>
      <c r="B1423" t="s">
        <v>158</v>
      </c>
      <c r="C1423" t="s">
        <v>307</v>
      </c>
      <c r="D1423" t="s">
        <v>425</v>
      </c>
      <c r="F1423" t="s">
        <v>430</v>
      </c>
      <c r="G1423" t="str">
        <f>HYPERLINK("https://ca.linkedin.com/jobs/view/data-analyst-at-empire-life-3324608289?refId=iQpmXO8fBLthPpM7ZKnD8A%3D%3D&amp;trackingId=geutT8pJowSkI8fWKMy5SQ%3D%3D&amp;position=1&amp;pageNum=0&amp;trk=public_jobs_jserp-result_search-card", "Job Link")</f>
        <v>Job Link</v>
      </c>
      <c r="H1423" t="s">
        <v>476</v>
      </c>
      <c r="I1423" t="s">
        <v>481</v>
      </c>
      <c r="J1423" t="s">
        <v>485</v>
      </c>
      <c r="K1423" t="s">
        <v>523</v>
      </c>
      <c r="L1423" t="s">
        <v>601</v>
      </c>
    </row>
    <row r="1424" spans="1:14" x14ac:dyDescent="0.25">
      <c r="A1424" t="s">
        <v>40</v>
      </c>
      <c r="B1424" t="s">
        <v>159</v>
      </c>
      <c r="C1424" t="s">
        <v>308</v>
      </c>
      <c r="D1424" t="s">
        <v>425</v>
      </c>
      <c r="F1424" t="s">
        <v>435</v>
      </c>
      <c r="G1424" t="str">
        <f>HYPERLINK("https://ca.linkedin.com/jobs/view/data-visualization-developer-analyst-at-blue-boat-data-3335318133?refId=iQpmXO8fBLthPpM7ZKnD8A%3D%3D&amp;trackingId=HTpQrje88IK4HY5K%2FWWFhg%3D%3D&amp;position=2&amp;pageNum=0&amp;trk=public_jobs_jserp-result_search-card", "Job Link")</f>
        <v>Job Link</v>
      </c>
      <c r="I1424" t="s">
        <v>483</v>
      </c>
      <c r="L1424" t="s">
        <v>601</v>
      </c>
    </row>
    <row r="1425" spans="1:14" x14ac:dyDescent="0.25">
      <c r="A1425" t="s">
        <v>14</v>
      </c>
      <c r="B1425" t="s">
        <v>160</v>
      </c>
      <c r="C1425" t="s">
        <v>309</v>
      </c>
      <c r="D1425" t="s">
        <v>425</v>
      </c>
      <c r="E1425" t="s">
        <v>427</v>
      </c>
      <c r="F1425" t="s">
        <v>458</v>
      </c>
      <c r="G1425" t="str">
        <f>HYPERLINK("https://ca.linkedin.com/jobs/view/data-analyst-at-libitzky-property-companies-3314494593?refId=iQpmXO8fBLthPpM7ZKnD8A%3D%3D&amp;trackingId=fI5SxruSO91VnfEZDaUVKQ%3D%3D&amp;position=3&amp;pageNum=0&amp;trk=public_jobs_jserp-result_search-card", "Job Link")</f>
        <v>Job Link</v>
      </c>
      <c r="H1425" t="s">
        <v>476</v>
      </c>
      <c r="I1425" t="s">
        <v>481</v>
      </c>
      <c r="J1425" t="s">
        <v>486</v>
      </c>
      <c r="K1425" t="s">
        <v>516</v>
      </c>
      <c r="L1425" t="s">
        <v>601</v>
      </c>
    </row>
    <row r="1426" spans="1:14" x14ac:dyDescent="0.25">
      <c r="A1426" t="s">
        <v>14</v>
      </c>
      <c r="B1426" t="s">
        <v>161</v>
      </c>
      <c r="C1426" t="s">
        <v>310</v>
      </c>
      <c r="D1426" t="s">
        <v>425</v>
      </c>
      <c r="F1426" t="s">
        <v>435</v>
      </c>
      <c r="G1426" t="str">
        <f>HYPERLINK("https://ca.linkedin.com/jobs/view/data-analyst-at-spire-3340696458?refId=iQpmXO8fBLthPpM7ZKnD8A%3D%3D&amp;trackingId=fVJXy3u7OMahU8gsYmllhQ%3D%3D&amp;position=4&amp;pageNum=0&amp;trk=public_jobs_jserp-result_search-card", "Job Link")</f>
        <v>Job Link</v>
      </c>
      <c r="H1426" t="s">
        <v>476</v>
      </c>
      <c r="I1426" t="s">
        <v>481</v>
      </c>
      <c r="J1426" t="s">
        <v>486</v>
      </c>
      <c r="K1426" t="s">
        <v>517</v>
      </c>
      <c r="L1426" t="s">
        <v>602</v>
      </c>
      <c r="M1426" t="s">
        <v>588</v>
      </c>
      <c r="N1426" t="s">
        <v>601</v>
      </c>
    </row>
    <row r="1427" spans="1:14" x14ac:dyDescent="0.25">
      <c r="A1427" t="s">
        <v>14</v>
      </c>
      <c r="B1427" t="s">
        <v>162</v>
      </c>
      <c r="C1427" t="s">
        <v>311</v>
      </c>
      <c r="D1427" t="s">
        <v>425</v>
      </c>
      <c r="F1427" t="s">
        <v>434</v>
      </c>
      <c r="G1427" t="str">
        <f>HYPERLINK("https://ca.linkedin.com/jobs/view/data-analyst-at-money-mart-financial-services-3361528052?refId=iQpmXO8fBLthPpM7ZKnD8A%3D%3D&amp;trackingId=7GP%2FadjdU2aiIX%2BPPKliOA%3D%3D&amp;position=5&amp;pageNum=0&amp;trk=public_jobs_jserp-result_search-card", "Job Link")</f>
        <v>Job Link</v>
      </c>
      <c r="H1427" t="s">
        <v>477</v>
      </c>
      <c r="I1427" t="s">
        <v>481</v>
      </c>
      <c r="J1427" t="s">
        <v>488</v>
      </c>
      <c r="K1427" t="s">
        <v>527</v>
      </c>
      <c r="L1427" t="s">
        <v>582</v>
      </c>
      <c r="M1427" t="s">
        <v>588</v>
      </c>
      <c r="N1427" t="s">
        <v>601</v>
      </c>
    </row>
    <row r="1428" spans="1:14" x14ac:dyDescent="0.25">
      <c r="A1428" t="s">
        <v>14</v>
      </c>
      <c r="B1428" t="s">
        <v>163</v>
      </c>
      <c r="C1428" t="s">
        <v>312</v>
      </c>
      <c r="D1428" t="s">
        <v>425</v>
      </c>
      <c r="F1428" t="s">
        <v>443</v>
      </c>
      <c r="G1428" t="str">
        <f>HYPERLINK("https://ca.linkedin.com/jobs/view/data-analyst-at-mojio-3363472062?refId=iQpmXO8fBLthPpM7ZKnD8A%3D%3D&amp;trackingId=VaL1qtx9aNOL6Qf7BTceEw%3D%3D&amp;position=6&amp;pageNum=0&amp;trk=public_jobs_jserp-result_search-card", "Job Link")</f>
        <v>Job Link</v>
      </c>
      <c r="H1428" t="s">
        <v>478</v>
      </c>
      <c r="I1428" t="s">
        <v>481</v>
      </c>
      <c r="J1428" t="s">
        <v>493</v>
      </c>
      <c r="K1428" t="s">
        <v>544</v>
      </c>
      <c r="L1428" t="s">
        <v>601</v>
      </c>
    </row>
    <row r="1429" spans="1:14" x14ac:dyDescent="0.25">
      <c r="A1429" t="s">
        <v>41</v>
      </c>
      <c r="B1429" t="s">
        <v>164</v>
      </c>
      <c r="C1429" t="s">
        <v>313</v>
      </c>
      <c r="D1429" t="s">
        <v>425</v>
      </c>
      <c r="F1429" t="s">
        <v>444</v>
      </c>
      <c r="G1429" t="str">
        <f>HYPERLINK("https://ca.linkedin.com/jobs/view/product-data-analyst-at-pdftron-systems-inc-3322845144?refId=iQpmXO8fBLthPpM7ZKnD8A%3D%3D&amp;trackingId=5nJXfH6lara3hvkj%2B4c0gw%3D%3D&amp;position=7&amp;pageNum=0&amp;trk=public_jobs_jserp-result_search-card", "Job Link")</f>
        <v>Job Link</v>
      </c>
      <c r="H1429" t="s">
        <v>479</v>
      </c>
      <c r="I1429" t="s">
        <v>481</v>
      </c>
      <c r="J1429" t="s">
        <v>487</v>
      </c>
      <c r="K1429" t="s">
        <v>538</v>
      </c>
      <c r="L1429" t="s">
        <v>590</v>
      </c>
      <c r="M1429" t="s">
        <v>618</v>
      </c>
      <c r="N1429" t="s">
        <v>601</v>
      </c>
    </row>
    <row r="1430" spans="1:14" x14ac:dyDescent="0.25">
      <c r="A1430" t="s">
        <v>42</v>
      </c>
      <c r="B1430" t="s">
        <v>165</v>
      </c>
      <c r="C1430" t="s">
        <v>314</v>
      </c>
      <c r="D1430" t="s">
        <v>425</v>
      </c>
      <c r="F1430" t="s">
        <v>459</v>
      </c>
      <c r="G1430" t="str">
        <f>HYPERLINK("https://ca.linkedin.com/jobs/view/cognitive-data-analyst-at-wysdom-ai-3333087497?refId=iQpmXO8fBLthPpM7ZKnD8A%3D%3D&amp;trackingId=1OUPX6ZgcbCXhj6ytW%2FnWw%3D%3D&amp;position=8&amp;pageNum=0&amp;trk=public_jobs_jserp-result_search-card", "Job Link")</f>
        <v>Job Link</v>
      </c>
      <c r="H1430" t="s">
        <v>478</v>
      </c>
      <c r="I1430" t="s">
        <v>481</v>
      </c>
      <c r="J1430" t="s">
        <v>486</v>
      </c>
      <c r="K1430" t="s">
        <v>516</v>
      </c>
      <c r="L1430" t="s">
        <v>601</v>
      </c>
    </row>
    <row r="1431" spans="1:14" x14ac:dyDescent="0.25">
      <c r="A1431" t="s">
        <v>43</v>
      </c>
      <c r="B1431" t="s">
        <v>166</v>
      </c>
      <c r="C1431" t="s">
        <v>315</v>
      </c>
      <c r="D1431" t="s">
        <v>425</v>
      </c>
      <c r="F1431" t="s">
        <v>432</v>
      </c>
      <c r="G1431" t="str">
        <f>HYPERLINK("https://ca.linkedin.com/jobs/view/data-analyst-operations-at-felix-3360946633?refId=iQpmXO8fBLthPpM7ZKnD8A%3D%3D&amp;trackingId=%2FfpiB4GbEMhy5Xl3jczj5Q%3D%3D&amp;position=9&amp;pageNum=0&amp;trk=public_jobs_jserp-result_search-card", "Job Link")</f>
        <v>Job Link</v>
      </c>
      <c r="I1431" t="s">
        <v>481</v>
      </c>
      <c r="L1431" t="s">
        <v>601</v>
      </c>
    </row>
    <row r="1432" spans="1:14" x14ac:dyDescent="0.25">
      <c r="A1432" t="s">
        <v>44</v>
      </c>
      <c r="B1432" t="s">
        <v>167</v>
      </c>
      <c r="C1432" t="s">
        <v>316</v>
      </c>
      <c r="D1432" t="s">
        <v>425</v>
      </c>
      <c r="F1432" t="s">
        <v>460</v>
      </c>
      <c r="G1432" t="str">
        <f>HYPERLINK("https://ca.linkedin.com/jobs/view/data-analyst-marketing-at-thescore-3272474942?refId=iQpmXO8fBLthPpM7ZKnD8A%3D%3D&amp;trackingId=lRehyd1a%2F0lEh5UsltPW4A%3D%3D&amp;position=10&amp;pageNum=0&amp;trk=public_jobs_jserp-result_search-card", "Job Link")</f>
        <v>Job Link</v>
      </c>
      <c r="H1432" t="s">
        <v>476</v>
      </c>
      <c r="I1432" t="s">
        <v>481</v>
      </c>
      <c r="J1432" t="s">
        <v>486</v>
      </c>
      <c r="K1432" t="s">
        <v>545</v>
      </c>
      <c r="L1432" t="s">
        <v>582</v>
      </c>
      <c r="M1432" t="s">
        <v>588</v>
      </c>
      <c r="N1432" t="s">
        <v>601</v>
      </c>
    </row>
    <row r="1433" spans="1:14" x14ac:dyDescent="0.25">
      <c r="A1433" t="s">
        <v>45</v>
      </c>
      <c r="B1433" t="s">
        <v>168</v>
      </c>
      <c r="C1433" t="s">
        <v>317</v>
      </c>
      <c r="D1433" t="s">
        <v>425</v>
      </c>
      <c r="F1433" t="s">
        <v>443</v>
      </c>
      <c r="G1433" t="str">
        <f>HYPERLINK("https://ca.linkedin.com/jobs/view/senior-data-analyst-apac-marketplace-at-hopper-3363404929?refId=iQpmXO8fBLthPpM7ZKnD8A%3D%3D&amp;trackingId=WUa%2FdwmxZB8PB%2BaapyWytg%3D%3D&amp;position=11&amp;pageNum=0&amp;trk=public_jobs_jserp-result_search-card", "Job Link")</f>
        <v>Job Link</v>
      </c>
      <c r="H1433" t="s">
        <v>478</v>
      </c>
      <c r="I1433" t="s">
        <v>485</v>
      </c>
      <c r="J1433" t="s">
        <v>486</v>
      </c>
      <c r="K1433" t="s">
        <v>538</v>
      </c>
      <c r="L1433" t="s">
        <v>601</v>
      </c>
    </row>
    <row r="1434" spans="1:14" x14ac:dyDescent="0.25">
      <c r="A1434" t="s">
        <v>46</v>
      </c>
      <c r="B1434" t="s">
        <v>169</v>
      </c>
      <c r="C1434" t="s">
        <v>318</v>
      </c>
      <c r="D1434" t="s">
        <v>425</v>
      </c>
      <c r="F1434" t="s">
        <v>461</v>
      </c>
      <c r="G1434" t="str">
        <f>HYPERLINK("https://ca.linkedin.com/jobs/view/senior-data-analyst-remote-at-insurance-supermarket-international-usa-3347334252?refId=iQpmXO8fBLthPpM7ZKnD8A%3D%3D&amp;trackingId=Zx1W6cxWEaQFVr99zVQAJg%3D%3D&amp;position=12&amp;pageNum=0&amp;trk=public_jobs_jserp-result_search-card", "Job Link")</f>
        <v>Job Link</v>
      </c>
      <c r="H1434" t="s">
        <v>478</v>
      </c>
      <c r="I1434" t="s">
        <v>481</v>
      </c>
      <c r="J1434" t="s">
        <v>494</v>
      </c>
      <c r="K1434" t="s">
        <v>546</v>
      </c>
      <c r="L1434" t="s">
        <v>601</v>
      </c>
    </row>
    <row r="1435" spans="1:14" x14ac:dyDescent="0.25">
      <c r="A1435" t="s">
        <v>20</v>
      </c>
      <c r="B1435" t="s">
        <v>170</v>
      </c>
      <c r="C1435" t="s">
        <v>319</v>
      </c>
      <c r="D1435" t="s">
        <v>425</v>
      </c>
      <c r="F1435" t="s">
        <v>450</v>
      </c>
      <c r="G1435" t="str">
        <f>HYPERLINK("https://ca.linkedin.com/jobs/view/senior-data-analyst-at-thinkific-3333572538?refId=iQpmXO8fBLthPpM7ZKnD8A%3D%3D&amp;trackingId=hTsVGDQZEygzJMtLLXnhPA%3D%3D&amp;position=13&amp;pageNum=0&amp;trk=public_jobs_jserp-result_search-card", "Job Link")</f>
        <v>Job Link</v>
      </c>
      <c r="H1435" t="s">
        <v>478</v>
      </c>
      <c r="I1435" t="s">
        <v>481</v>
      </c>
      <c r="J1435" t="s">
        <v>495</v>
      </c>
      <c r="K1435" t="s">
        <v>547</v>
      </c>
      <c r="L1435" t="s">
        <v>601</v>
      </c>
    </row>
    <row r="1436" spans="1:14" x14ac:dyDescent="0.25">
      <c r="A1436" t="s">
        <v>47</v>
      </c>
      <c r="B1436" t="s">
        <v>171</v>
      </c>
      <c r="C1436" t="s">
        <v>320</v>
      </c>
      <c r="D1436" t="s">
        <v>425</v>
      </c>
      <c r="F1436" t="s">
        <v>447</v>
      </c>
      <c r="G1436" t="str">
        <f>HYPERLINK("https://ca.linkedin.com/jobs/view/insights-analyst-at-flashfood-3312876343?refId=iQpmXO8fBLthPpM7ZKnD8A%3D%3D&amp;trackingId=VayrjaJ8VSS2wvCulPctKg%3D%3D&amp;position=14&amp;pageNum=0&amp;trk=public_jobs_jserp-result_search-card", "Job Link")</f>
        <v>Job Link</v>
      </c>
      <c r="I1436" t="s">
        <v>481</v>
      </c>
      <c r="L1436" t="s">
        <v>601</v>
      </c>
    </row>
    <row r="1437" spans="1:14" x14ac:dyDescent="0.25">
      <c r="A1437" t="s">
        <v>20</v>
      </c>
      <c r="B1437" t="s">
        <v>172</v>
      </c>
      <c r="C1437" t="s">
        <v>321</v>
      </c>
      <c r="D1437" t="s">
        <v>425</v>
      </c>
      <c r="F1437" t="s">
        <v>438</v>
      </c>
      <c r="G1437" t="str">
        <f>HYPERLINK("https://ca.linkedin.com/jobs/view/senior-data-analyst-at-system1-3324728130?refId=iQpmXO8fBLthPpM7ZKnD8A%3D%3D&amp;trackingId=mpIHWfwjz%2FAMHJjK1YY7Fg%3D%3D&amp;position=15&amp;pageNum=0&amp;trk=public_jobs_jserp-result_search-card", "Job Link")</f>
        <v>Job Link</v>
      </c>
      <c r="H1437" t="s">
        <v>478</v>
      </c>
      <c r="I1437" t="s">
        <v>481</v>
      </c>
      <c r="J1437" t="s">
        <v>486</v>
      </c>
      <c r="K1437" t="s">
        <v>548</v>
      </c>
      <c r="L1437" t="s">
        <v>587</v>
      </c>
      <c r="M1437" t="s">
        <v>588</v>
      </c>
      <c r="N1437" t="s">
        <v>601</v>
      </c>
    </row>
    <row r="1438" spans="1:14" x14ac:dyDescent="0.25">
      <c r="A1438" t="s">
        <v>48</v>
      </c>
      <c r="B1438" t="s">
        <v>173</v>
      </c>
      <c r="C1438" t="s">
        <v>322</v>
      </c>
      <c r="D1438" t="s">
        <v>425</v>
      </c>
      <c r="F1438" t="s">
        <v>462</v>
      </c>
      <c r="G1438" t="str">
        <f>HYPERLINK("https://ca.linkedin.com/jobs/view/data-analyst-trilogy-remote-%2460-000-year-usd-at-crossover-3367086698?refId=iQpmXO8fBLthPpM7ZKnD8A%3D%3D&amp;trackingId=7n4BcPuvnfaehFsuuZvc6A%3D%3D&amp;position=16&amp;pageNum=0&amp;trk=public_jobs_jserp-result_search-card", "Job Link")</f>
        <v>Job Link</v>
      </c>
      <c r="H1438" t="s">
        <v>477</v>
      </c>
      <c r="I1438" t="s">
        <v>481</v>
      </c>
      <c r="J1438" t="s">
        <v>496</v>
      </c>
      <c r="K1438" t="s">
        <v>549</v>
      </c>
      <c r="L1438" t="s">
        <v>582</v>
      </c>
      <c r="M1438" t="s">
        <v>588</v>
      </c>
      <c r="N1438" t="s">
        <v>601</v>
      </c>
    </row>
    <row r="1439" spans="1:14" x14ac:dyDescent="0.25">
      <c r="A1439" t="s">
        <v>49</v>
      </c>
      <c r="B1439" t="s">
        <v>174</v>
      </c>
      <c r="C1439" t="s">
        <v>323</v>
      </c>
      <c r="D1439" t="s">
        <v>425</v>
      </c>
      <c r="F1439" t="s">
        <v>433</v>
      </c>
      <c r="G1439" t="str">
        <f>HYPERLINK("https://ca.linkedin.com/jobs/view/product-data-analyst-wtfast-at-blankslate-partners-3350561493?refId=iQpmXO8fBLthPpM7ZKnD8A%3D%3D&amp;trackingId=yPSIkDHNdmx4%2BWpWNA2erA%3D%3D&amp;position=17&amp;pageNum=0&amp;trk=public_jobs_jserp-result_search-card", "Job Link")</f>
        <v>Job Link</v>
      </c>
      <c r="H1439" t="s">
        <v>479</v>
      </c>
      <c r="I1439" t="s">
        <v>481</v>
      </c>
      <c r="J1439" t="s">
        <v>497</v>
      </c>
      <c r="K1439" t="s">
        <v>538</v>
      </c>
      <c r="L1439" t="s">
        <v>603</v>
      </c>
      <c r="M1439" t="s">
        <v>618</v>
      </c>
      <c r="N1439" t="s">
        <v>601</v>
      </c>
    </row>
    <row r="1440" spans="1:14" x14ac:dyDescent="0.25">
      <c r="A1440" t="s">
        <v>50</v>
      </c>
      <c r="B1440" t="s">
        <v>175</v>
      </c>
      <c r="C1440" t="s">
        <v>324</v>
      </c>
      <c r="D1440" t="s">
        <v>425</v>
      </c>
      <c r="F1440" t="s">
        <v>443</v>
      </c>
      <c r="G1440" t="str">
        <f>HYPERLINK("https://ca.linkedin.com/jobs/view/senior-data-analyst-toronto-on-at-ssense-3369567279?refId=iQpmXO8fBLthPpM7ZKnD8A%3D%3D&amp;trackingId=WTzbjD%2FEALxqKtCiq3taJw%3D%3D&amp;position=18&amp;pageNum=0&amp;trk=public_jobs_jserp-result_search-card", "Job Link")</f>
        <v>Job Link</v>
      </c>
      <c r="H1440" t="s">
        <v>478</v>
      </c>
      <c r="I1440" t="s">
        <v>481</v>
      </c>
      <c r="J1440" t="s">
        <v>486</v>
      </c>
      <c r="K1440" t="s">
        <v>550</v>
      </c>
      <c r="L1440" t="s">
        <v>582</v>
      </c>
      <c r="M1440" t="s">
        <v>588</v>
      </c>
      <c r="N1440" t="s">
        <v>601</v>
      </c>
    </row>
    <row r="1441" spans="1:14" x14ac:dyDescent="0.25">
      <c r="A1441" t="s">
        <v>51</v>
      </c>
      <c r="B1441" t="s">
        <v>175</v>
      </c>
      <c r="C1441" t="s">
        <v>325</v>
      </c>
      <c r="D1441" t="s">
        <v>425</v>
      </c>
      <c r="F1441" t="s">
        <v>443</v>
      </c>
      <c r="G1441" t="str">
        <f>HYPERLINK("https://ca.linkedin.com/jobs/view/senior-data-analyst-analytics-insights-toronto-on-at-ssense-3369558722?refId=iQpmXO8fBLthPpM7ZKnD8A%3D%3D&amp;trackingId=%2B800bhsrCKP3UqMKrayMaw%3D%3D&amp;position=19&amp;pageNum=0&amp;trk=public_jobs_jserp-result_search-card", "Job Link")</f>
        <v>Job Link</v>
      </c>
      <c r="H1441" t="s">
        <v>478</v>
      </c>
      <c r="I1441" t="s">
        <v>481</v>
      </c>
      <c r="J1441" t="s">
        <v>491</v>
      </c>
      <c r="K1441" t="s">
        <v>550</v>
      </c>
      <c r="L1441" t="s">
        <v>582</v>
      </c>
      <c r="M1441" t="s">
        <v>588</v>
      </c>
      <c r="N1441" t="s">
        <v>601</v>
      </c>
    </row>
    <row r="1442" spans="1:14" x14ac:dyDescent="0.25">
      <c r="A1442" t="s">
        <v>51</v>
      </c>
      <c r="B1442" t="s">
        <v>175</v>
      </c>
      <c r="C1442" t="s">
        <v>325</v>
      </c>
      <c r="D1442" t="s">
        <v>425</v>
      </c>
      <c r="F1442" t="s">
        <v>443</v>
      </c>
      <c r="G1442" t="str">
        <f>HYPERLINK("https://ca.linkedin.com/jobs/view/senior-data-analyst-analytics-insights-toronto-on-at-ssense-3369560180?refId=iQpmXO8fBLthPpM7ZKnD8A%3D%3D&amp;trackingId=12evzraw4pnAWKGxctX0JQ%3D%3D&amp;position=20&amp;pageNum=0&amp;trk=public_jobs_jserp-result_search-card", "Job Link")</f>
        <v>Job Link</v>
      </c>
      <c r="H1442" t="s">
        <v>478</v>
      </c>
      <c r="I1442" t="s">
        <v>481</v>
      </c>
      <c r="J1442" t="s">
        <v>491</v>
      </c>
      <c r="K1442" t="s">
        <v>550</v>
      </c>
      <c r="L1442" t="s">
        <v>582</v>
      </c>
      <c r="M1442" t="s">
        <v>588</v>
      </c>
      <c r="N1442" t="s">
        <v>601</v>
      </c>
    </row>
    <row r="1443" spans="1:14" x14ac:dyDescent="0.25">
      <c r="A1443" t="s">
        <v>27</v>
      </c>
      <c r="B1443" t="s">
        <v>176</v>
      </c>
      <c r="C1443" t="s">
        <v>326</v>
      </c>
      <c r="D1443" t="s">
        <v>425</v>
      </c>
      <c r="F1443" t="s">
        <v>441</v>
      </c>
      <c r="G1443" t="str">
        <f>HYPERLINK("https://ca.linkedin.com/jobs/view/sr-data-analyst-at-telus-international-digital-solutions-3331944226?refId=iQpmXO8fBLthPpM7ZKnD8A%3D%3D&amp;trackingId=LDcU8bY71tgyqkdJtuvJIQ%3D%3D&amp;position=21&amp;pageNum=0&amp;trk=public_jobs_jserp-result_search-card", "Job Link")</f>
        <v>Job Link</v>
      </c>
      <c r="H1443" t="s">
        <v>478</v>
      </c>
      <c r="I1443" t="s">
        <v>481</v>
      </c>
      <c r="J1443" t="s">
        <v>498</v>
      </c>
      <c r="K1443" t="s">
        <v>521</v>
      </c>
      <c r="L1443" t="s">
        <v>604</v>
      </c>
      <c r="M1443" t="s">
        <v>618</v>
      </c>
      <c r="N1443" t="s">
        <v>601</v>
      </c>
    </row>
    <row r="1444" spans="1:14" x14ac:dyDescent="0.25">
      <c r="A1444" t="s">
        <v>20</v>
      </c>
      <c r="B1444" t="s">
        <v>175</v>
      </c>
      <c r="C1444" t="s">
        <v>324</v>
      </c>
      <c r="D1444" t="s">
        <v>425</v>
      </c>
      <c r="F1444" t="s">
        <v>446</v>
      </c>
      <c r="G1444" t="str">
        <f>HYPERLINK("https://ca.linkedin.com/jobs/view/senior-data-analyst-at-ssense-3342165774?refId=iQpmXO8fBLthPpM7ZKnD8A%3D%3D&amp;trackingId=T3uUSOZWu6LfmCBEj6a%2FiQ%3D%3D&amp;position=22&amp;pageNum=0&amp;trk=public_jobs_jserp-result_search-card", "Job Link")</f>
        <v>Job Link</v>
      </c>
      <c r="H1444" t="s">
        <v>478</v>
      </c>
      <c r="I1444" t="s">
        <v>481</v>
      </c>
      <c r="J1444" t="s">
        <v>486</v>
      </c>
      <c r="K1444" t="s">
        <v>550</v>
      </c>
      <c r="L1444" t="s">
        <v>605</v>
      </c>
      <c r="M1444" t="s">
        <v>617</v>
      </c>
      <c r="N1444" t="s">
        <v>601</v>
      </c>
    </row>
    <row r="1445" spans="1:14" x14ac:dyDescent="0.25">
      <c r="A1445" t="s">
        <v>14</v>
      </c>
      <c r="B1445" t="s">
        <v>158</v>
      </c>
      <c r="C1445" t="s">
        <v>307</v>
      </c>
      <c r="D1445" t="s">
        <v>425</v>
      </c>
      <c r="F1445" t="s">
        <v>430</v>
      </c>
      <c r="G1445" t="str">
        <f>HYPERLINK("https://ca.linkedin.com/jobs/view/data-analyst-at-empire-life-3324608289?refId=XzIsItYaIMUOCvbc5a2nMw%3D%3D&amp;trackingId=UcY4LzEoCHgcSm9gYE%2FsNA%3D%3D&amp;position=1&amp;pageNum=0&amp;trk=public_jobs_jserp-result_search-card", "Job Link")</f>
        <v>Job Link</v>
      </c>
      <c r="H1445" t="s">
        <v>476</v>
      </c>
      <c r="I1445" t="s">
        <v>481</v>
      </c>
      <c r="J1445" t="s">
        <v>485</v>
      </c>
      <c r="K1445" t="s">
        <v>523</v>
      </c>
      <c r="L1445" t="s">
        <v>601</v>
      </c>
    </row>
    <row r="1446" spans="1:14" x14ac:dyDescent="0.25">
      <c r="A1446" t="s">
        <v>40</v>
      </c>
      <c r="B1446" t="s">
        <v>159</v>
      </c>
      <c r="C1446" t="s">
        <v>308</v>
      </c>
      <c r="D1446" t="s">
        <v>425</v>
      </c>
      <c r="F1446" t="s">
        <v>435</v>
      </c>
      <c r="G1446" t="str">
        <f>HYPERLINK("https://ca.linkedin.com/jobs/view/data-visualization-developer-analyst-at-blue-boat-data-3335318133?refId=XzIsItYaIMUOCvbc5a2nMw%3D%3D&amp;trackingId=VzA9qhjSCiAI%2BTbvEQG0Ow%3D%3D&amp;position=2&amp;pageNum=0&amp;trk=public_jobs_jserp-result_search-card", "Job Link")</f>
        <v>Job Link</v>
      </c>
      <c r="I1446" t="s">
        <v>483</v>
      </c>
      <c r="L1446" t="s">
        <v>601</v>
      </c>
    </row>
    <row r="1447" spans="1:14" x14ac:dyDescent="0.25">
      <c r="A1447" t="s">
        <v>14</v>
      </c>
      <c r="B1447" t="s">
        <v>160</v>
      </c>
      <c r="C1447" t="s">
        <v>309</v>
      </c>
      <c r="D1447" t="s">
        <v>425</v>
      </c>
      <c r="E1447" t="s">
        <v>427</v>
      </c>
      <c r="F1447" t="s">
        <v>458</v>
      </c>
      <c r="G1447" t="str">
        <f>HYPERLINK("https://ca.linkedin.com/jobs/view/data-analyst-at-libitzky-property-companies-3314494593?refId=XzIsItYaIMUOCvbc5a2nMw%3D%3D&amp;trackingId=DiACmNI55CgqDkpFouDUBQ%3D%3D&amp;position=3&amp;pageNum=0&amp;trk=public_jobs_jserp-result_search-card", "Job Link")</f>
        <v>Job Link</v>
      </c>
      <c r="H1447" t="s">
        <v>476</v>
      </c>
      <c r="I1447" t="s">
        <v>481</v>
      </c>
      <c r="J1447" t="s">
        <v>486</v>
      </c>
      <c r="K1447" t="s">
        <v>516</v>
      </c>
      <c r="L1447" t="s">
        <v>601</v>
      </c>
    </row>
    <row r="1448" spans="1:14" x14ac:dyDescent="0.25">
      <c r="A1448" t="s">
        <v>14</v>
      </c>
      <c r="B1448" t="s">
        <v>161</v>
      </c>
      <c r="C1448" t="s">
        <v>310</v>
      </c>
      <c r="D1448" t="s">
        <v>425</v>
      </c>
      <c r="F1448" t="s">
        <v>435</v>
      </c>
      <c r="G1448" t="str">
        <f>HYPERLINK("https://ca.linkedin.com/jobs/view/data-analyst-at-spire-3340696458?refId=XzIsItYaIMUOCvbc5a2nMw%3D%3D&amp;trackingId=gGXP278nLAXru1HFI9Ksbg%3D%3D&amp;position=4&amp;pageNum=0&amp;trk=public_jobs_jserp-result_search-card", "Job Link")</f>
        <v>Job Link</v>
      </c>
      <c r="H1448" t="s">
        <v>476</v>
      </c>
      <c r="I1448" t="s">
        <v>481</v>
      </c>
      <c r="J1448" t="s">
        <v>486</v>
      </c>
      <c r="K1448" t="s">
        <v>517</v>
      </c>
      <c r="L1448" t="s">
        <v>602</v>
      </c>
      <c r="M1448" t="s">
        <v>588</v>
      </c>
      <c r="N1448" t="s">
        <v>601</v>
      </c>
    </row>
    <row r="1449" spans="1:14" x14ac:dyDescent="0.25">
      <c r="A1449" t="s">
        <v>14</v>
      </c>
      <c r="B1449" t="s">
        <v>162</v>
      </c>
      <c r="C1449" t="s">
        <v>311</v>
      </c>
      <c r="D1449" t="s">
        <v>425</v>
      </c>
      <c r="F1449" t="s">
        <v>434</v>
      </c>
      <c r="G1449" t="str">
        <f>HYPERLINK("https://ca.linkedin.com/jobs/view/data-analyst-at-money-mart-financial-services-3361528052?refId=XzIsItYaIMUOCvbc5a2nMw%3D%3D&amp;trackingId=ltcI1HhLqw2KXyhjHkw7Pg%3D%3D&amp;position=5&amp;pageNum=0&amp;trk=public_jobs_jserp-result_search-card", "Job Link")</f>
        <v>Job Link</v>
      </c>
      <c r="H1449" t="s">
        <v>477</v>
      </c>
      <c r="I1449" t="s">
        <v>481</v>
      </c>
      <c r="J1449" t="s">
        <v>488</v>
      </c>
      <c r="K1449" t="s">
        <v>527</v>
      </c>
      <c r="L1449" t="s">
        <v>582</v>
      </c>
      <c r="M1449" t="s">
        <v>588</v>
      </c>
      <c r="N1449" t="s">
        <v>601</v>
      </c>
    </row>
    <row r="1450" spans="1:14" x14ac:dyDescent="0.25">
      <c r="A1450" t="s">
        <v>14</v>
      </c>
      <c r="B1450" t="s">
        <v>163</v>
      </c>
      <c r="C1450" t="s">
        <v>312</v>
      </c>
      <c r="D1450" t="s">
        <v>425</v>
      </c>
      <c r="F1450" t="s">
        <v>443</v>
      </c>
      <c r="G1450" t="str">
        <f>HYPERLINK("https://ca.linkedin.com/jobs/view/data-analyst-at-mojio-3363472062?refId=XzIsItYaIMUOCvbc5a2nMw%3D%3D&amp;trackingId=HbP2zJimVMeLXp%2FgSF9thA%3D%3D&amp;position=6&amp;pageNum=0&amp;trk=public_jobs_jserp-result_search-card", "Job Link")</f>
        <v>Job Link</v>
      </c>
      <c r="H1450" t="s">
        <v>478</v>
      </c>
      <c r="I1450" t="s">
        <v>481</v>
      </c>
      <c r="J1450" t="s">
        <v>493</v>
      </c>
      <c r="K1450" t="s">
        <v>544</v>
      </c>
      <c r="L1450" t="s">
        <v>601</v>
      </c>
    </row>
    <row r="1451" spans="1:14" x14ac:dyDescent="0.25">
      <c r="A1451" t="s">
        <v>41</v>
      </c>
      <c r="B1451" t="s">
        <v>164</v>
      </c>
      <c r="C1451" t="s">
        <v>313</v>
      </c>
      <c r="D1451" t="s">
        <v>425</v>
      </c>
      <c r="F1451" t="s">
        <v>444</v>
      </c>
      <c r="G1451" t="str">
        <f>HYPERLINK("https://ca.linkedin.com/jobs/view/product-data-analyst-at-pdftron-systems-inc-3322845144?refId=XzIsItYaIMUOCvbc5a2nMw%3D%3D&amp;trackingId=QQlkkcfO0%2BFcaXJwpCvY6Q%3D%3D&amp;position=7&amp;pageNum=0&amp;trk=public_jobs_jserp-result_search-card", "Job Link")</f>
        <v>Job Link</v>
      </c>
      <c r="H1451" t="s">
        <v>479</v>
      </c>
      <c r="I1451" t="s">
        <v>481</v>
      </c>
      <c r="J1451" t="s">
        <v>487</v>
      </c>
      <c r="K1451" t="s">
        <v>538</v>
      </c>
      <c r="L1451" t="s">
        <v>590</v>
      </c>
      <c r="M1451" t="s">
        <v>618</v>
      </c>
      <c r="N1451" t="s">
        <v>601</v>
      </c>
    </row>
    <row r="1452" spans="1:14" x14ac:dyDescent="0.25">
      <c r="A1452" t="s">
        <v>42</v>
      </c>
      <c r="B1452" t="s">
        <v>165</v>
      </c>
      <c r="C1452" t="s">
        <v>314</v>
      </c>
      <c r="D1452" t="s">
        <v>425</v>
      </c>
      <c r="F1452" t="s">
        <v>459</v>
      </c>
      <c r="G1452" t="str">
        <f>HYPERLINK("https://ca.linkedin.com/jobs/view/cognitive-data-analyst-at-wysdom-ai-3333087497?refId=XzIsItYaIMUOCvbc5a2nMw%3D%3D&amp;trackingId=fbK4dVn3HeTYtMDHbiVXEg%3D%3D&amp;position=8&amp;pageNum=0&amp;trk=public_jobs_jserp-result_search-card", "Job Link")</f>
        <v>Job Link</v>
      </c>
      <c r="H1452" t="s">
        <v>478</v>
      </c>
      <c r="I1452" t="s">
        <v>481</v>
      </c>
      <c r="J1452" t="s">
        <v>486</v>
      </c>
      <c r="K1452" t="s">
        <v>516</v>
      </c>
      <c r="L1452" t="s">
        <v>601</v>
      </c>
    </row>
    <row r="1453" spans="1:14" x14ac:dyDescent="0.25">
      <c r="A1453" t="s">
        <v>43</v>
      </c>
      <c r="B1453" t="s">
        <v>166</v>
      </c>
      <c r="C1453" t="s">
        <v>315</v>
      </c>
      <c r="D1453" t="s">
        <v>425</v>
      </c>
      <c r="F1453" t="s">
        <v>432</v>
      </c>
      <c r="G1453" t="str">
        <f>HYPERLINK("https://ca.linkedin.com/jobs/view/data-analyst-operations-at-felix-3360946633?refId=XzIsItYaIMUOCvbc5a2nMw%3D%3D&amp;trackingId=PtgKXw3t%2BN8ZP1fu3V9Rmg%3D%3D&amp;position=9&amp;pageNum=0&amp;trk=public_jobs_jserp-result_search-card", "Job Link")</f>
        <v>Job Link</v>
      </c>
      <c r="I1453" t="s">
        <v>481</v>
      </c>
      <c r="L1453" t="s">
        <v>601</v>
      </c>
    </row>
    <row r="1454" spans="1:14" x14ac:dyDescent="0.25">
      <c r="A1454" t="s">
        <v>44</v>
      </c>
      <c r="B1454" t="s">
        <v>167</v>
      </c>
      <c r="C1454" t="s">
        <v>316</v>
      </c>
      <c r="D1454" t="s">
        <v>425</v>
      </c>
      <c r="F1454" t="s">
        <v>460</v>
      </c>
      <c r="G1454" t="str">
        <f>HYPERLINK("https://ca.linkedin.com/jobs/view/data-analyst-marketing-at-thescore-3272474942?refId=XzIsItYaIMUOCvbc5a2nMw%3D%3D&amp;trackingId=JNPJcVmm1R09P%2Fh6Xh5BGw%3D%3D&amp;position=10&amp;pageNum=0&amp;trk=public_jobs_jserp-result_search-card", "Job Link")</f>
        <v>Job Link</v>
      </c>
      <c r="H1454" t="s">
        <v>476</v>
      </c>
      <c r="I1454" t="s">
        <v>481</v>
      </c>
      <c r="J1454" t="s">
        <v>486</v>
      </c>
      <c r="K1454" t="s">
        <v>545</v>
      </c>
      <c r="L1454" t="s">
        <v>582</v>
      </c>
      <c r="M1454" t="s">
        <v>588</v>
      </c>
      <c r="N1454" t="s">
        <v>601</v>
      </c>
    </row>
    <row r="1455" spans="1:14" x14ac:dyDescent="0.25">
      <c r="A1455" t="s">
        <v>45</v>
      </c>
      <c r="B1455" t="s">
        <v>168</v>
      </c>
      <c r="C1455" t="s">
        <v>317</v>
      </c>
      <c r="D1455" t="s">
        <v>425</v>
      </c>
      <c r="F1455" t="s">
        <v>443</v>
      </c>
      <c r="G1455" t="str">
        <f>HYPERLINK("https://ca.linkedin.com/jobs/view/senior-data-analyst-apac-marketplace-at-hopper-3363404929?refId=XzIsItYaIMUOCvbc5a2nMw%3D%3D&amp;trackingId=Pprv2%2B6EZ4zVuyPdNzjjqw%3D%3D&amp;position=11&amp;pageNum=0&amp;trk=public_jobs_jserp-result_search-card", "Job Link")</f>
        <v>Job Link</v>
      </c>
      <c r="H1455" t="s">
        <v>478</v>
      </c>
      <c r="I1455" t="s">
        <v>485</v>
      </c>
      <c r="J1455" t="s">
        <v>486</v>
      </c>
      <c r="K1455" t="s">
        <v>538</v>
      </c>
      <c r="L1455" t="s">
        <v>601</v>
      </c>
    </row>
    <row r="1456" spans="1:14" x14ac:dyDescent="0.25">
      <c r="A1456" t="s">
        <v>46</v>
      </c>
      <c r="B1456" t="s">
        <v>169</v>
      </c>
      <c r="C1456" t="s">
        <v>318</v>
      </c>
      <c r="D1456" t="s">
        <v>425</v>
      </c>
      <c r="F1456" t="s">
        <v>461</v>
      </c>
      <c r="G1456" t="str">
        <f>HYPERLINK("https://ca.linkedin.com/jobs/view/senior-data-analyst-remote-at-insurance-supermarket-international-usa-3347334252?refId=XzIsItYaIMUOCvbc5a2nMw%3D%3D&amp;trackingId=oniRxdZ2bTCfvdHGlj4B%2Fw%3D%3D&amp;position=12&amp;pageNum=0&amp;trk=public_jobs_jserp-result_search-card", "Job Link")</f>
        <v>Job Link</v>
      </c>
      <c r="H1456" t="s">
        <v>478</v>
      </c>
      <c r="I1456" t="s">
        <v>481</v>
      </c>
      <c r="J1456" t="s">
        <v>494</v>
      </c>
      <c r="K1456" t="s">
        <v>546</v>
      </c>
      <c r="L1456" t="s">
        <v>601</v>
      </c>
    </row>
    <row r="1457" spans="1:14" x14ac:dyDescent="0.25">
      <c r="A1457" t="s">
        <v>20</v>
      </c>
      <c r="B1457" t="s">
        <v>170</v>
      </c>
      <c r="C1457" t="s">
        <v>319</v>
      </c>
      <c r="D1457" t="s">
        <v>425</v>
      </c>
      <c r="F1457" t="s">
        <v>450</v>
      </c>
      <c r="G1457" t="str">
        <f>HYPERLINK("https://ca.linkedin.com/jobs/view/senior-data-analyst-at-thinkific-3333572538?refId=XzIsItYaIMUOCvbc5a2nMw%3D%3D&amp;trackingId=92xppc%2B6qnsTjZfGKRyjyA%3D%3D&amp;position=13&amp;pageNum=0&amp;trk=public_jobs_jserp-result_search-card", "Job Link")</f>
        <v>Job Link</v>
      </c>
      <c r="H1457" t="s">
        <v>478</v>
      </c>
      <c r="I1457" t="s">
        <v>481</v>
      </c>
      <c r="J1457" t="s">
        <v>495</v>
      </c>
      <c r="K1457" t="s">
        <v>547</v>
      </c>
      <c r="L1457" t="s">
        <v>601</v>
      </c>
    </row>
    <row r="1458" spans="1:14" x14ac:dyDescent="0.25">
      <c r="A1458" t="s">
        <v>47</v>
      </c>
      <c r="B1458" t="s">
        <v>171</v>
      </c>
      <c r="C1458" t="s">
        <v>320</v>
      </c>
      <c r="D1458" t="s">
        <v>425</v>
      </c>
      <c r="F1458" t="s">
        <v>447</v>
      </c>
      <c r="G1458" t="str">
        <f>HYPERLINK("https://ca.linkedin.com/jobs/view/insights-analyst-at-flashfood-3312876343?refId=XzIsItYaIMUOCvbc5a2nMw%3D%3D&amp;trackingId=JzJ7Ksr5vIapGfEPK5M9lg%3D%3D&amp;position=14&amp;pageNum=0&amp;trk=public_jobs_jserp-result_search-card", "Job Link")</f>
        <v>Job Link</v>
      </c>
      <c r="I1458" t="s">
        <v>481</v>
      </c>
      <c r="L1458" t="s">
        <v>601</v>
      </c>
    </row>
    <row r="1459" spans="1:14" x14ac:dyDescent="0.25">
      <c r="A1459" t="s">
        <v>20</v>
      </c>
      <c r="B1459" t="s">
        <v>172</v>
      </c>
      <c r="C1459" t="s">
        <v>321</v>
      </c>
      <c r="D1459" t="s">
        <v>425</v>
      </c>
      <c r="F1459" t="s">
        <v>438</v>
      </c>
      <c r="G1459" t="str">
        <f>HYPERLINK("https://ca.linkedin.com/jobs/view/senior-data-analyst-at-system1-3324728130?refId=XzIsItYaIMUOCvbc5a2nMw%3D%3D&amp;trackingId=1lzt6m04dv%2FHnC0mRaOt9Q%3D%3D&amp;position=15&amp;pageNum=0&amp;trk=public_jobs_jserp-result_search-card", "Job Link")</f>
        <v>Job Link</v>
      </c>
      <c r="H1459" t="s">
        <v>478</v>
      </c>
      <c r="I1459" t="s">
        <v>481</v>
      </c>
      <c r="J1459" t="s">
        <v>486</v>
      </c>
      <c r="K1459" t="s">
        <v>548</v>
      </c>
      <c r="L1459" t="s">
        <v>587</v>
      </c>
      <c r="M1459" t="s">
        <v>588</v>
      </c>
      <c r="N1459" t="s">
        <v>601</v>
      </c>
    </row>
    <row r="1460" spans="1:14" x14ac:dyDescent="0.25">
      <c r="A1460" t="s">
        <v>48</v>
      </c>
      <c r="B1460" t="s">
        <v>173</v>
      </c>
      <c r="C1460" t="s">
        <v>322</v>
      </c>
      <c r="D1460" t="s">
        <v>425</v>
      </c>
      <c r="F1460" t="s">
        <v>462</v>
      </c>
      <c r="G1460" t="str">
        <f>HYPERLINK("https://ca.linkedin.com/jobs/view/data-analyst-trilogy-remote-%2460-000-year-usd-at-crossover-3367086698?refId=XzIsItYaIMUOCvbc5a2nMw%3D%3D&amp;trackingId=YNTSRkVp8DOYRT5lXNDTGQ%3D%3D&amp;position=16&amp;pageNum=0&amp;trk=public_jobs_jserp-result_search-card", "Job Link")</f>
        <v>Job Link</v>
      </c>
      <c r="H1460" t="s">
        <v>477</v>
      </c>
      <c r="I1460" t="s">
        <v>481</v>
      </c>
      <c r="J1460" t="s">
        <v>496</v>
      </c>
      <c r="K1460" t="s">
        <v>549</v>
      </c>
      <c r="L1460" t="s">
        <v>582</v>
      </c>
      <c r="M1460" t="s">
        <v>588</v>
      </c>
      <c r="N1460" t="s">
        <v>601</v>
      </c>
    </row>
    <row r="1461" spans="1:14" x14ac:dyDescent="0.25">
      <c r="A1461" t="s">
        <v>49</v>
      </c>
      <c r="B1461" t="s">
        <v>174</v>
      </c>
      <c r="C1461" t="s">
        <v>323</v>
      </c>
      <c r="D1461" t="s">
        <v>425</v>
      </c>
      <c r="F1461" t="s">
        <v>433</v>
      </c>
      <c r="G1461" t="str">
        <f>HYPERLINK("https://ca.linkedin.com/jobs/view/product-data-analyst-wtfast-at-blankslate-partners-3350561493?refId=XzIsItYaIMUOCvbc5a2nMw%3D%3D&amp;trackingId=PD2z2%2B2nuQKH54DWCnVapQ%3D%3D&amp;position=17&amp;pageNum=0&amp;trk=public_jobs_jserp-result_search-card", "Job Link")</f>
        <v>Job Link</v>
      </c>
      <c r="H1461" t="s">
        <v>479</v>
      </c>
      <c r="I1461" t="s">
        <v>481</v>
      </c>
      <c r="J1461" t="s">
        <v>497</v>
      </c>
      <c r="K1461" t="s">
        <v>538</v>
      </c>
      <c r="L1461" t="s">
        <v>603</v>
      </c>
      <c r="M1461" t="s">
        <v>618</v>
      </c>
      <c r="N1461" t="s">
        <v>601</v>
      </c>
    </row>
    <row r="1462" spans="1:14" x14ac:dyDescent="0.25">
      <c r="A1462" t="s">
        <v>50</v>
      </c>
      <c r="B1462" t="s">
        <v>175</v>
      </c>
      <c r="C1462" t="s">
        <v>324</v>
      </c>
      <c r="D1462" t="s">
        <v>425</v>
      </c>
      <c r="F1462" t="s">
        <v>443</v>
      </c>
      <c r="G1462" t="str">
        <f>HYPERLINK("https://ca.linkedin.com/jobs/view/senior-data-analyst-toronto-on-at-ssense-3369567279?refId=XzIsItYaIMUOCvbc5a2nMw%3D%3D&amp;trackingId=phLcYgcGmp%2B6P33vu9wj5g%3D%3D&amp;position=18&amp;pageNum=0&amp;trk=public_jobs_jserp-result_search-card", "Job Link")</f>
        <v>Job Link</v>
      </c>
      <c r="H1462" t="s">
        <v>478</v>
      </c>
      <c r="I1462" t="s">
        <v>481</v>
      </c>
      <c r="J1462" t="s">
        <v>486</v>
      </c>
      <c r="K1462" t="s">
        <v>550</v>
      </c>
      <c r="L1462" t="s">
        <v>582</v>
      </c>
      <c r="M1462" t="s">
        <v>588</v>
      </c>
      <c r="N1462" t="s">
        <v>601</v>
      </c>
    </row>
    <row r="1463" spans="1:14" x14ac:dyDescent="0.25">
      <c r="A1463" t="s">
        <v>51</v>
      </c>
      <c r="B1463" t="s">
        <v>175</v>
      </c>
      <c r="C1463" t="s">
        <v>325</v>
      </c>
      <c r="D1463" t="s">
        <v>425</v>
      </c>
      <c r="F1463" t="s">
        <v>443</v>
      </c>
      <c r="G1463" t="str">
        <f>HYPERLINK("https://ca.linkedin.com/jobs/view/senior-data-analyst-analytics-insights-toronto-on-at-ssense-3369558722?refId=XzIsItYaIMUOCvbc5a2nMw%3D%3D&amp;trackingId=4RJVqlW7IJQiST67fJiUtg%3D%3D&amp;position=19&amp;pageNum=0&amp;trk=public_jobs_jserp-result_search-card", "Job Link")</f>
        <v>Job Link</v>
      </c>
      <c r="H1463" t="s">
        <v>478</v>
      </c>
      <c r="I1463" t="s">
        <v>481</v>
      </c>
      <c r="J1463" t="s">
        <v>491</v>
      </c>
      <c r="K1463" t="s">
        <v>550</v>
      </c>
      <c r="L1463" t="s">
        <v>582</v>
      </c>
      <c r="M1463" t="s">
        <v>588</v>
      </c>
      <c r="N1463" t="s">
        <v>601</v>
      </c>
    </row>
    <row r="1464" spans="1:14" x14ac:dyDescent="0.25">
      <c r="A1464" t="s">
        <v>51</v>
      </c>
      <c r="B1464" t="s">
        <v>175</v>
      </c>
      <c r="C1464" t="s">
        <v>325</v>
      </c>
      <c r="D1464" t="s">
        <v>425</v>
      </c>
      <c r="F1464" t="s">
        <v>443</v>
      </c>
      <c r="G1464" t="str">
        <f>HYPERLINK("https://ca.linkedin.com/jobs/view/senior-data-analyst-analytics-insights-toronto-on-at-ssense-3369560180?refId=XzIsItYaIMUOCvbc5a2nMw%3D%3D&amp;trackingId=azgzOnxTcf5HkKQ0tdjrYA%3D%3D&amp;position=20&amp;pageNum=0&amp;trk=public_jobs_jserp-result_search-card", "Job Link")</f>
        <v>Job Link</v>
      </c>
      <c r="H1464" t="s">
        <v>478</v>
      </c>
      <c r="I1464" t="s">
        <v>481</v>
      </c>
      <c r="J1464" t="s">
        <v>491</v>
      </c>
      <c r="K1464" t="s">
        <v>550</v>
      </c>
      <c r="L1464" t="s">
        <v>582</v>
      </c>
      <c r="M1464" t="s">
        <v>588</v>
      </c>
      <c r="N1464" t="s">
        <v>601</v>
      </c>
    </row>
    <row r="1465" spans="1:14" x14ac:dyDescent="0.25">
      <c r="A1465" t="s">
        <v>27</v>
      </c>
      <c r="B1465" t="s">
        <v>176</v>
      </c>
      <c r="C1465" t="s">
        <v>326</v>
      </c>
      <c r="D1465" t="s">
        <v>425</v>
      </c>
      <c r="F1465" t="s">
        <v>441</v>
      </c>
      <c r="G1465" t="str">
        <f>HYPERLINK("https://ca.linkedin.com/jobs/view/sr-data-analyst-at-telus-international-digital-solutions-3331944226?refId=XzIsItYaIMUOCvbc5a2nMw%3D%3D&amp;trackingId=ZNfBW9PPJ0Dyd4BEAHXCzQ%3D%3D&amp;position=21&amp;pageNum=0&amp;trk=public_jobs_jserp-result_search-card", "Job Link")</f>
        <v>Job Link</v>
      </c>
      <c r="H1465" t="s">
        <v>478</v>
      </c>
      <c r="I1465" t="s">
        <v>481</v>
      </c>
      <c r="J1465" t="s">
        <v>498</v>
      </c>
      <c r="K1465" t="s">
        <v>521</v>
      </c>
      <c r="L1465" t="s">
        <v>604</v>
      </c>
      <c r="M1465" t="s">
        <v>618</v>
      </c>
      <c r="N1465" t="s">
        <v>601</v>
      </c>
    </row>
    <row r="1466" spans="1:14" x14ac:dyDescent="0.25">
      <c r="A1466" t="s">
        <v>20</v>
      </c>
      <c r="B1466" t="s">
        <v>175</v>
      </c>
      <c r="C1466" t="s">
        <v>324</v>
      </c>
      <c r="D1466" t="s">
        <v>425</v>
      </c>
      <c r="F1466" t="s">
        <v>446</v>
      </c>
      <c r="G1466" t="str">
        <f>HYPERLINK("https://ca.linkedin.com/jobs/view/senior-data-analyst-at-ssense-3342165774?refId=XzIsItYaIMUOCvbc5a2nMw%3D%3D&amp;trackingId=n%2BeFth19kw9mxpwBlaJcVA%3D%3D&amp;position=22&amp;pageNum=0&amp;trk=public_jobs_jserp-result_search-card", "Job Link")</f>
        <v>Job Link</v>
      </c>
      <c r="H1466" t="s">
        <v>478</v>
      </c>
      <c r="I1466" t="s">
        <v>481</v>
      </c>
      <c r="J1466" t="s">
        <v>486</v>
      </c>
      <c r="K1466" t="s">
        <v>550</v>
      </c>
      <c r="L1466" t="s">
        <v>605</v>
      </c>
      <c r="M1466" t="s">
        <v>617</v>
      </c>
      <c r="N1466" t="s">
        <v>601</v>
      </c>
    </row>
    <row r="1467" spans="1:14" x14ac:dyDescent="0.25">
      <c r="A1467" t="s">
        <v>14</v>
      </c>
      <c r="B1467" t="s">
        <v>158</v>
      </c>
      <c r="C1467" t="s">
        <v>307</v>
      </c>
      <c r="D1467" t="s">
        <v>425</v>
      </c>
      <c r="F1467" t="s">
        <v>430</v>
      </c>
      <c r="G1467" t="str">
        <f>HYPERLINK("https://ca.linkedin.com/jobs/view/data-analyst-at-empire-life-3324608289?refId=00EBAonP10J9XGuvCgWANg%3D%3D&amp;trackingId=5mWUUv24N303tAPq763eTw%3D%3D&amp;position=1&amp;pageNum=0&amp;trk=public_jobs_jserp-result_search-card", "Job Link")</f>
        <v>Job Link</v>
      </c>
      <c r="H1467" t="s">
        <v>476</v>
      </c>
      <c r="I1467" t="s">
        <v>481</v>
      </c>
      <c r="J1467" t="s">
        <v>485</v>
      </c>
      <c r="K1467" t="s">
        <v>523</v>
      </c>
      <c r="L1467" t="s">
        <v>601</v>
      </c>
    </row>
    <row r="1468" spans="1:14" x14ac:dyDescent="0.25">
      <c r="A1468" t="s">
        <v>40</v>
      </c>
      <c r="B1468" t="s">
        <v>159</v>
      </c>
      <c r="C1468" t="s">
        <v>308</v>
      </c>
      <c r="D1468" t="s">
        <v>425</v>
      </c>
      <c r="F1468" t="s">
        <v>435</v>
      </c>
      <c r="G1468" t="str">
        <f>HYPERLINK("https://ca.linkedin.com/jobs/view/data-visualization-developer-analyst-at-blue-boat-data-3335318133?refId=00EBAonP10J9XGuvCgWANg%3D%3D&amp;trackingId=yUGdtUaBARN3RZm9zPib8g%3D%3D&amp;position=2&amp;pageNum=0&amp;trk=public_jobs_jserp-result_search-card", "Job Link")</f>
        <v>Job Link</v>
      </c>
      <c r="I1468" t="s">
        <v>483</v>
      </c>
      <c r="L1468" t="s">
        <v>601</v>
      </c>
    </row>
    <row r="1469" spans="1:14" x14ac:dyDescent="0.25">
      <c r="A1469" t="s">
        <v>14</v>
      </c>
      <c r="B1469" t="s">
        <v>160</v>
      </c>
      <c r="C1469" t="s">
        <v>309</v>
      </c>
      <c r="D1469" t="s">
        <v>425</v>
      </c>
      <c r="E1469" t="s">
        <v>427</v>
      </c>
      <c r="F1469" t="s">
        <v>458</v>
      </c>
      <c r="G1469" t="str">
        <f>HYPERLINK("https://ca.linkedin.com/jobs/view/data-analyst-at-libitzky-property-companies-3314494593?refId=00EBAonP10J9XGuvCgWANg%3D%3D&amp;trackingId=WaaX%2Ber0XgDqFlaXJqiDHg%3D%3D&amp;position=3&amp;pageNum=0&amp;trk=public_jobs_jserp-result_search-card", "Job Link")</f>
        <v>Job Link</v>
      </c>
      <c r="H1469" t="s">
        <v>476</v>
      </c>
      <c r="I1469" t="s">
        <v>481</v>
      </c>
      <c r="J1469" t="s">
        <v>486</v>
      </c>
      <c r="K1469" t="s">
        <v>516</v>
      </c>
      <c r="L1469" t="s">
        <v>601</v>
      </c>
    </row>
    <row r="1470" spans="1:14" x14ac:dyDescent="0.25">
      <c r="A1470" t="s">
        <v>14</v>
      </c>
      <c r="B1470" t="s">
        <v>161</v>
      </c>
      <c r="C1470" t="s">
        <v>310</v>
      </c>
      <c r="D1470" t="s">
        <v>425</v>
      </c>
      <c r="F1470" t="s">
        <v>435</v>
      </c>
      <c r="G1470" t="str">
        <f>HYPERLINK("https://ca.linkedin.com/jobs/view/data-analyst-at-spire-3340696458?refId=00EBAonP10J9XGuvCgWANg%3D%3D&amp;trackingId=IeW2xkUAt9NHB%2Fts6o6F3w%3D%3D&amp;position=4&amp;pageNum=0&amp;trk=public_jobs_jserp-result_search-card", "Job Link")</f>
        <v>Job Link</v>
      </c>
      <c r="H1470" t="s">
        <v>476</v>
      </c>
      <c r="I1470" t="s">
        <v>481</v>
      </c>
      <c r="J1470" t="s">
        <v>486</v>
      </c>
      <c r="K1470" t="s">
        <v>517</v>
      </c>
      <c r="L1470" t="s">
        <v>602</v>
      </c>
      <c r="M1470" t="s">
        <v>588</v>
      </c>
      <c r="N1470" t="s">
        <v>601</v>
      </c>
    </row>
    <row r="1471" spans="1:14" x14ac:dyDescent="0.25">
      <c r="A1471" t="s">
        <v>14</v>
      </c>
      <c r="B1471" t="s">
        <v>163</v>
      </c>
      <c r="C1471" t="s">
        <v>312</v>
      </c>
      <c r="D1471" t="s">
        <v>425</v>
      </c>
      <c r="F1471" t="s">
        <v>443</v>
      </c>
      <c r="G1471" t="str">
        <f>HYPERLINK("https://ca.linkedin.com/jobs/view/data-analyst-at-mojio-3363472062?refId=00EBAonP10J9XGuvCgWANg%3D%3D&amp;trackingId=%2FDFv8Db44VOjyJKpic7gaw%3D%3D&amp;position=5&amp;pageNum=0&amp;trk=public_jobs_jserp-result_search-card", "Job Link")</f>
        <v>Job Link</v>
      </c>
      <c r="H1471" t="s">
        <v>478</v>
      </c>
      <c r="I1471" t="s">
        <v>481</v>
      </c>
      <c r="J1471" t="s">
        <v>493</v>
      </c>
      <c r="K1471" t="s">
        <v>544</v>
      </c>
      <c r="L1471" t="s">
        <v>601</v>
      </c>
    </row>
    <row r="1472" spans="1:14" x14ac:dyDescent="0.25">
      <c r="A1472" t="s">
        <v>41</v>
      </c>
      <c r="B1472" t="s">
        <v>164</v>
      </c>
      <c r="C1472" t="s">
        <v>313</v>
      </c>
      <c r="D1472" t="s">
        <v>425</v>
      </c>
      <c r="F1472" t="s">
        <v>444</v>
      </c>
      <c r="G1472" t="str">
        <f>HYPERLINK("https://ca.linkedin.com/jobs/view/product-data-analyst-at-pdftron-systems-inc-3322845144?refId=00EBAonP10J9XGuvCgWANg%3D%3D&amp;trackingId=4TmURs%2BulroTWfDT8sMu0Q%3D%3D&amp;position=6&amp;pageNum=0&amp;trk=public_jobs_jserp-result_search-card", "Job Link")</f>
        <v>Job Link</v>
      </c>
      <c r="H1472" t="s">
        <v>479</v>
      </c>
      <c r="I1472" t="s">
        <v>481</v>
      </c>
      <c r="J1472" t="s">
        <v>487</v>
      </c>
      <c r="K1472" t="s">
        <v>538</v>
      </c>
      <c r="L1472" t="s">
        <v>590</v>
      </c>
      <c r="M1472" t="s">
        <v>618</v>
      </c>
      <c r="N1472" t="s">
        <v>601</v>
      </c>
    </row>
    <row r="1473" spans="1:14" x14ac:dyDescent="0.25">
      <c r="A1473" t="s">
        <v>42</v>
      </c>
      <c r="B1473" t="s">
        <v>165</v>
      </c>
      <c r="C1473" t="s">
        <v>314</v>
      </c>
      <c r="D1473" t="s">
        <v>425</v>
      </c>
      <c r="F1473" t="s">
        <v>459</v>
      </c>
      <c r="G1473" t="str">
        <f>HYPERLINK("https://ca.linkedin.com/jobs/view/cognitive-data-analyst-at-wysdom-ai-3333087497?refId=00EBAonP10J9XGuvCgWANg%3D%3D&amp;trackingId=OqepyhxvVyLnVeOVoUaH7Q%3D%3D&amp;position=7&amp;pageNum=0&amp;trk=public_jobs_jserp-result_search-card", "Job Link")</f>
        <v>Job Link</v>
      </c>
      <c r="H1473" t="s">
        <v>478</v>
      </c>
      <c r="I1473" t="s">
        <v>481</v>
      </c>
      <c r="J1473" t="s">
        <v>486</v>
      </c>
      <c r="K1473" t="s">
        <v>516</v>
      </c>
      <c r="L1473" t="s">
        <v>601</v>
      </c>
    </row>
    <row r="1474" spans="1:14" x14ac:dyDescent="0.25">
      <c r="A1474" t="s">
        <v>43</v>
      </c>
      <c r="B1474" t="s">
        <v>166</v>
      </c>
      <c r="C1474" t="s">
        <v>315</v>
      </c>
      <c r="D1474" t="s">
        <v>425</v>
      </c>
      <c r="F1474" t="s">
        <v>432</v>
      </c>
      <c r="G1474" t="str">
        <f>HYPERLINK("https://ca.linkedin.com/jobs/view/data-analyst-operations-at-felix-3360946633?refId=00EBAonP10J9XGuvCgWANg%3D%3D&amp;trackingId=BMszWMHO%2BSduMVzM3OOtcw%3D%3D&amp;position=8&amp;pageNum=0&amp;trk=public_jobs_jserp-result_search-card", "Job Link")</f>
        <v>Job Link</v>
      </c>
      <c r="I1474" t="s">
        <v>481</v>
      </c>
      <c r="L1474" t="s">
        <v>601</v>
      </c>
    </row>
    <row r="1475" spans="1:14" x14ac:dyDescent="0.25">
      <c r="A1475" t="s">
        <v>14</v>
      </c>
      <c r="B1475" t="s">
        <v>162</v>
      </c>
      <c r="C1475" t="s">
        <v>311</v>
      </c>
      <c r="D1475" t="s">
        <v>425</v>
      </c>
      <c r="F1475" t="s">
        <v>434</v>
      </c>
      <c r="G1475" t="str">
        <f>HYPERLINK("https://ca.linkedin.com/jobs/view/data-analyst-at-money-mart-financial-services-3361528052?refId=00EBAonP10J9XGuvCgWANg%3D%3D&amp;trackingId=bqjbyGIyLIX%2FTWlRwYATzw%3D%3D&amp;position=9&amp;pageNum=0&amp;trk=public_jobs_jserp-result_search-card", "Job Link")</f>
        <v>Job Link</v>
      </c>
      <c r="H1475" t="s">
        <v>477</v>
      </c>
      <c r="I1475" t="s">
        <v>481</v>
      </c>
      <c r="J1475" t="s">
        <v>488</v>
      </c>
      <c r="K1475" t="s">
        <v>527</v>
      </c>
      <c r="L1475" t="s">
        <v>582</v>
      </c>
      <c r="M1475" t="s">
        <v>588</v>
      </c>
      <c r="N1475" t="s">
        <v>601</v>
      </c>
    </row>
    <row r="1476" spans="1:14" x14ac:dyDescent="0.25">
      <c r="A1476" t="s">
        <v>44</v>
      </c>
      <c r="B1476" t="s">
        <v>167</v>
      </c>
      <c r="C1476" t="s">
        <v>316</v>
      </c>
      <c r="D1476" t="s">
        <v>425</v>
      </c>
      <c r="F1476" t="s">
        <v>460</v>
      </c>
      <c r="G1476" t="str">
        <f>HYPERLINK("https://ca.linkedin.com/jobs/view/data-analyst-marketing-at-thescore-3272474942?refId=00EBAonP10J9XGuvCgWANg%3D%3D&amp;trackingId=1ybucauOA1y4gsMoTzd%2BhA%3D%3D&amp;position=10&amp;pageNum=0&amp;trk=public_jobs_jserp-result_search-card", "Job Link")</f>
        <v>Job Link</v>
      </c>
      <c r="H1476" t="s">
        <v>476</v>
      </c>
      <c r="I1476" t="s">
        <v>481</v>
      </c>
      <c r="J1476" t="s">
        <v>486</v>
      </c>
      <c r="K1476" t="s">
        <v>545</v>
      </c>
      <c r="L1476" t="s">
        <v>582</v>
      </c>
      <c r="M1476" t="s">
        <v>588</v>
      </c>
      <c r="N1476" t="s">
        <v>601</v>
      </c>
    </row>
    <row r="1477" spans="1:14" x14ac:dyDescent="0.25">
      <c r="A1477" t="s">
        <v>45</v>
      </c>
      <c r="B1477" t="s">
        <v>168</v>
      </c>
      <c r="C1477" t="s">
        <v>317</v>
      </c>
      <c r="D1477" t="s">
        <v>425</v>
      </c>
      <c r="F1477" t="s">
        <v>443</v>
      </c>
      <c r="G1477" t="str">
        <f>HYPERLINK("https://ca.linkedin.com/jobs/view/senior-data-analyst-apac-marketplace-at-hopper-3363404929?refId=00EBAonP10J9XGuvCgWANg%3D%3D&amp;trackingId=hAu4K576LykuecPvJaLACA%3D%3D&amp;position=11&amp;pageNum=0&amp;trk=public_jobs_jserp-result_search-card", "Job Link")</f>
        <v>Job Link</v>
      </c>
      <c r="H1477" t="s">
        <v>478</v>
      </c>
      <c r="I1477" t="s">
        <v>485</v>
      </c>
      <c r="J1477" t="s">
        <v>486</v>
      </c>
      <c r="K1477" t="s">
        <v>538</v>
      </c>
      <c r="L1477" t="s">
        <v>601</v>
      </c>
    </row>
    <row r="1478" spans="1:14" x14ac:dyDescent="0.25">
      <c r="A1478" t="s">
        <v>48</v>
      </c>
      <c r="B1478" t="s">
        <v>173</v>
      </c>
      <c r="C1478" t="s">
        <v>322</v>
      </c>
      <c r="D1478" t="s">
        <v>425</v>
      </c>
      <c r="F1478" t="s">
        <v>462</v>
      </c>
      <c r="G1478" t="str">
        <f>HYPERLINK("https://ca.linkedin.com/jobs/view/data-analyst-trilogy-remote-%2460-000-year-usd-at-crossover-3367086698?refId=00EBAonP10J9XGuvCgWANg%3D%3D&amp;trackingId=V3gKG6nnzse4aW70TL6v0A%3D%3D&amp;position=12&amp;pageNum=0&amp;trk=public_jobs_jserp-result_search-card", "Job Link")</f>
        <v>Job Link</v>
      </c>
      <c r="H1478" t="s">
        <v>477</v>
      </c>
      <c r="I1478" t="s">
        <v>481</v>
      </c>
      <c r="J1478" t="s">
        <v>496</v>
      </c>
      <c r="K1478" t="s">
        <v>549</v>
      </c>
      <c r="L1478" t="s">
        <v>582</v>
      </c>
      <c r="M1478" t="s">
        <v>588</v>
      </c>
      <c r="N1478" t="s">
        <v>601</v>
      </c>
    </row>
    <row r="1479" spans="1:14" x14ac:dyDescent="0.25">
      <c r="A1479" t="s">
        <v>46</v>
      </c>
      <c r="B1479" t="s">
        <v>169</v>
      </c>
      <c r="C1479" t="s">
        <v>318</v>
      </c>
      <c r="D1479" t="s">
        <v>425</v>
      </c>
      <c r="F1479" t="s">
        <v>461</v>
      </c>
      <c r="G1479" t="str">
        <f>HYPERLINK("https://ca.linkedin.com/jobs/view/senior-data-analyst-remote-at-insurance-supermarket-international-usa-3347334252?refId=00EBAonP10J9XGuvCgWANg%3D%3D&amp;trackingId=9dHiXXpyogt69pREar9O5A%3D%3D&amp;position=13&amp;pageNum=0&amp;trk=public_jobs_jserp-result_search-card", "Job Link")</f>
        <v>Job Link</v>
      </c>
      <c r="H1479" t="s">
        <v>478</v>
      </c>
      <c r="I1479" t="s">
        <v>481</v>
      </c>
      <c r="J1479" t="s">
        <v>494</v>
      </c>
      <c r="K1479" t="s">
        <v>546</v>
      </c>
      <c r="L1479" t="s">
        <v>601</v>
      </c>
    </row>
    <row r="1480" spans="1:14" x14ac:dyDescent="0.25">
      <c r="A1480" t="s">
        <v>20</v>
      </c>
      <c r="B1480" t="s">
        <v>170</v>
      </c>
      <c r="C1480" t="s">
        <v>319</v>
      </c>
      <c r="D1480" t="s">
        <v>425</v>
      </c>
      <c r="F1480" t="s">
        <v>450</v>
      </c>
      <c r="G1480" t="str">
        <f>HYPERLINK("https://ca.linkedin.com/jobs/view/senior-data-analyst-at-thinkific-3333572538?refId=00EBAonP10J9XGuvCgWANg%3D%3D&amp;trackingId=O4BajoB38REs6VjG5DkB8Q%3D%3D&amp;position=14&amp;pageNum=0&amp;trk=public_jobs_jserp-result_search-card", "Job Link")</f>
        <v>Job Link</v>
      </c>
      <c r="H1480" t="s">
        <v>478</v>
      </c>
      <c r="I1480" t="s">
        <v>481</v>
      </c>
      <c r="J1480" t="s">
        <v>495</v>
      </c>
      <c r="K1480" t="s">
        <v>547</v>
      </c>
      <c r="L1480" t="s">
        <v>601</v>
      </c>
    </row>
    <row r="1481" spans="1:14" x14ac:dyDescent="0.25">
      <c r="A1481" t="s">
        <v>47</v>
      </c>
      <c r="B1481" t="s">
        <v>171</v>
      </c>
      <c r="C1481" t="s">
        <v>320</v>
      </c>
      <c r="D1481" t="s">
        <v>425</v>
      </c>
      <c r="F1481" t="s">
        <v>447</v>
      </c>
      <c r="G1481" t="str">
        <f>HYPERLINK("https://ca.linkedin.com/jobs/view/insights-analyst-at-flashfood-3312876343?refId=00EBAonP10J9XGuvCgWANg%3D%3D&amp;trackingId=3KvO4BoLPR6S%2FH3oiT%2BaeQ%3D%3D&amp;position=15&amp;pageNum=0&amp;trk=public_jobs_jserp-result_search-card", "Job Link")</f>
        <v>Job Link</v>
      </c>
      <c r="I1481" t="s">
        <v>481</v>
      </c>
      <c r="L1481" t="s">
        <v>601</v>
      </c>
    </row>
    <row r="1482" spans="1:14" x14ac:dyDescent="0.25">
      <c r="A1482" t="s">
        <v>20</v>
      </c>
      <c r="B1482" t="s">
        <v>172</v>
      </c>
      <c r="C1482" t="s">
        <v>321</v>
      </c>
      <c r="D1482" t="s">
        <v>425</v>
      </c>
      <c r="F1482" t="s">
        <v>438</v>
      </c>
      <c r="G1482" t="str">
        <f>HYPERLINK("https://ca.linkedin.com/jobs/view/senior-data-analyst-at-system1-3324728130?refId=00EBAonP10J9XGuvCgWANg%3D%3D&amp;trackingId=CO3vE3k2jzbKSSyr6ycGDA%3D%3D&amp;position=16&amp;pageNum=0&amp;trk=public_jobs_jserp-result_search-card", "Job Link")</f>
        <v>Job Link</v>
      </c>
      <c r="H1482" t="s">
        <v>478</v>
      </c>
      <c r="I1482" t="s">
        <v>481</v>
      </c>
      <c r="J1482" t="s">
        <v>486</v>
      </c>
      <c r="K1482" t="s">
        <v>548</v>
      </c>
      <c r="L1482" t="s">
        <v>587</v>
      </c>
      <c r="M1482" t="s">
        <v>588</v>
      </c>
      <c r="N1482" t="s">
        <v>601</v>
      </c>
    </row>
    <row r="1483" spans="1:14" x14ac:dyDescent="0.25">
      <c r="A1483" t="s">
        <v>49</v>
      </c>
      <c r="B1483" t="s">
        <v>174</v>
      </c>
      <c r="C1483" t="s">
        <v>323</v>
      </c>
      <c r="D1483" t="s">
        <v>425</v>
      </c>
      <c r="F1483" t="s">
        <v>433</v>
      </c>
      <c r="G1483" t="str">
        <f>HYPERLINK("https://ca.linkedin.com/jobs/view/product-data-analyst-wtfast-at-blankslate-partners-3350561493?refId=00EBAonP10J9XGuvCgWANg%3D%3D&amp;trackingId=Ad4uJXpms89wKDXDRjOHsg%3D%3D&amp;position=17&amp;pageNum=0&amp;trk=public_jobs_jserp-result_search-card", "Job Link")</f>
        <v>Job Link</v>
      </c>
      <c r="H1483" t="s">
        <v>479</v>
      </c>
      <c r="I1483" t="s">
        <v>481</v>
      </c>
      <c r="J1483" t="s">
        <v>497</v>
      </c>
      <c r="K1483" t="s">
        <v>538</v>
      </c>
      <c r="L1483" t="s">
        <v>603</v>
      </c>
      <c r="M1483" t="s">
        <v>618</v>
      </c>
      <c r="N1483" t="s">
        <v>601</v>
      </c>
    </row>
    <row r="1484" spans="1:14" x14ac:dyDescent="0.25">
      <c r="A1484" t="s">
        <v>50</v>
      </c>
      <c r="B1484" t="s">
        <v>175</v>
      </c>
      <c r="C1484" t="s">
        <v>324</v>
      </c>
      <c r="D1484" t="s">
        <v>425</v>
      </c>
      <c r="F1484" t="s">
        <v>443</v>
      </c>
      <c r="G1484" t="str">
        <f>HYPERLINK("https://ca.linkedin.com/jobs/view/senior-data-analyst-toronto-on-at-ssense-3369567279?refId=00EBAonP10J9XGuvCgWANg%3D%3D&amp;trackingId=YsUirqzcv8KlsfEicrBAbQ%3D%3D&amp;position=18&amp;pageNum=0&amp;trk=public_jobs_jserp-result_search-card", "Job Link")</f>
        <v>Job Link</v>
      </c>
      <c r="H1484" t="s">
        <v>478</v>
      </c>
      <c r="I1484" t="s">
        <v>481</v>
      </c>
      <c r="J1484" t="s">
        <v>486</v>
      </c>
      <c r="K1484" t="s">
        <v>550</v>
      </c>
      <c r="L1484" t="s">
        <v>582</v>
      </c>
      <c r="M1484" t="s">
        <v>588</v>
      </c>
      <c r="N1484" t="s">
        <v>601</v>
      </c>
    </row>
    <row r="1485" spans="1:14" x14ac:dyDescent="0.25">
      <c r="A1485" t="s">
        <v>51</v>
      </c>
      <c r="B1485" t="s">
        <v>175</v>
      </c>
      <c r="C1485" t="s">
        <v>325</v>
      </c>
      <c r="D1485" t="s">
        <v>425</v>
      </c>
      <c r="F1485" t="s">
        <v>443</v>
      </c>
      <c r="G1485" t="str">
        <f>HYPERLINK("https://ca.linkedin.com/jobs/view/senior-data-analyst-analytics-insights-toronto-on-at-ssense-3369558722?refId=00EBAonP10J9XGuvCgWANg%3D%3D&amp;trackingId=nM2JNos8b8Taip3aZOyzrw%3D%3D&amp;position=19&amp;pageNum=0&amp;trk=public_jobs_jserp-result_search-card", "Job Link")</f>
        <v>Job Link</v>
      </c>
      <c r="H1485" t="s">
        <v>478</v>
      </c>
      <c r="I1485" t="s">
        <v>481</v>
      </c>
      <c r="J1485" t="s">
        <v>491</v>
      </c>
      <c r="K1485" t="s">
        <v>550</v>
      </c>
      <c r="L1485" t="s">
        <v>582</v>
      </c>
      <c r="M1485" t="s">
        <v>588</v>
      </c>
      <c r="N1485" t="s">
        <v>601</v>
      </c>
    </row>
    <row r="1486" spans="1:14" x14ac:dyDescent="0.25">
      <c r="A1486" t="s">
        <v>51</v>
      </c>
      <c r="B1486" t="s">
        <v>175</v>
      </c>
      <c r="C1486" t="s">
        <v>325</v>
      </c>
      <c r="D1486" t="s">
        <v>425</v>
      </c>
      <c r="F1486" t="s">
        <v>443</v>
      </c>
      <c r="G1486" t="str">
        <f>HYPERLINK("https://ca.linkedin.com/jobs/view/senior-data-analyst-analytics-insights-toronto-on-at-ssense-3369560180?refId=00EBAonP10J9XGuvCgWANg%3D%3D&amp;trackingId=kU724GP4iV%2BJyNUGJ6uLqw%3D%3D&amp;position=20&amp;pageNum=0&amp;trk=public_jobs_jserp-result_search-card", "Job Link")</f>
        <v>Job Link</v>
      </c>
      <c r="H1486" t="s">
        <v>478</v>
      </c>
      <c r="I1486" t="s">
        <v>481</v>
      </c>
      <c r="J1486" t="s">
        <v>491</v>
      </c>
      <c r="K1486" t="s">
        <v>550</v>
      </c>
      <c r="L1486" t="s">
        <v>582</v>
      </c>
      <c r="M1486" t="s">
        <v>588</v>
      </c>
      <c r="N1486" t="s">
        <v>601</v>
      </c>
    </row>
    <row r="1487" spans="1:14" x14ac:dyDescent="0.25">
      <c r="A1487" t="s">
        <v>52</v>
      </c>
      <c r="B1487" t="s">
        <v>173</v>
      </c>
      <c r="C1487" t="s">
        <v>327</v>
      </c>
      <c r="D1487" t="s">
        <v>425</v>
      </c>
      <c r="F1487" t="s">
        <v>462</v>
      </c>
      <c r="G1487" t="str">
        <f>HYPERLINK("https://ca.linkedin.com/jobs/view/data-research-analyst-trilogy-remote-%2460-000-year-usd-at-crossover-3367090309?refId=00EBAonP10J9XGuvCgWANg%3D%3D&amp;trackingId=ZE%2FmeAe5duajPZsZDVGTGQ%3D%3D&amp;position=21&amp;pageNum=0&amp;trk=public_jobs_jserp-result_search-card", "Job Link")</f>
        <v>Job Link</v>
      </c>
      <c r="H1487" t="s">
        <v>477</v>
      </c>
      <c r="I1487" t="s">
        <v>481</v>
      </c>
      <c r="J1487" t="s">
        <v>499</v>
      </c>
      <c r="K1487" t="s">
        <v>549</v>
      </c>
      <c r="L1487" t="s">
        <v>588</v>
      </c>
      <c r="M1487" t="s">
        <v>601</v>
      </c>
    </row>
    <row r="1488" spans="1:14" x14ac:dyDescent="0.25">
      <c r="A1488" t="s">
        <v>27</v>
      </c>
      <c r="B1488" t="s">
        <v>176</v>
      </c>
      <c r="C1488" t="s">
        <v>326</v>
      </c>
      <c r="D1488" t="s">
        <v>425</v>
      </c>
      <c r="F1488" t="s">
        <v>441</v>
      </c>
      <c r="G1488" t="str">
        <f>HYPERLINK("https://ca.linkedin.com/jobs/view/sr-data-analyst-at-telus-international-digital-solutions-3331944226?refId=00EBAonP10J9XGuvCgWANg%3D%3D&amp;trackingId=54gvh4o1nReq91GkP7I%2Frw%3D%3D&amp;position=22&amp;pageNum=0&amp;trk=public_jobs_jserp-result_search-card", "Job Link")</f>
        <v>Job Link</v>
      </c>
      <c r="H1488" t="s">
        <v>478</v>
      </c>
      <c r="I1488" t="s">
        <v>481</v>
      </c>
      <c r="J1488" t="s">
        <v>498</v>
      </c>
      <c r="K1488" t="s">
        <v>521</v>
      </c>
      <c r="L1488" t="s">
        <v>604</v>
      </c>
      <c r="M1488" t="s">
        <v>618</v>
      </c>
      <c r="N1488" t="s">
        <v>601</v>
      </c>
    </row>
    <row r="1489" spans="1:14" x14ac:dyDescent="0.25">
      <c r="A1489" t="s">
        <v>14</v>
      </c>
      <c r="B1489" t="s">
        <v>158</v>
      </c>
      <c r="C1489" t="s">
        <v>307</v>
      </c>
      <c r="D1489" t="s">
        <v>425</v>
      </c>
      <c r="F1489" t="s">
        <v>430</v>
      </c>
      <c r="G1489" t="str">
        <f>HYPERLINK("https://ca.linkedin.com/jobs/view/data-analyst-at-empire-life-3324608289?refId=zSEvBBqeUXpuQv9WkkFLPQ%3D%3D&amp;trackingId=3i6S7OZ%2B%2BEtKRLQ4EtE%2F5w%3D%3D&amp;position=1&amp;pageNum=0&amp;trk=public_jobs_jserp-result_search-card", "Job Link")</f>
        <v>Job Link</v>
      </c>
      <c r="H1489" t="s">
        <v>476</v>
      </c>
      <c r="I1489" t="s">
        <v>481</v>
      </c>
      <c r="J1489" t="s">
        <v>485</v>
      </c>
      <c r="K1489" t="s">
        <v>523</v>
      </c>
      <c r="L1489" t="s">
        <v>601</v>
      </c>
    </row>
    <row r="1490" spans="1:14" x14ac:dyDescent="0.25">
      <c r="A1490" t="s">
        <v>40</v>
      </c>
      <c r="B1490" t="s">
        <v>159</v>
      </c>
      <c r="C1490" t="s">
        <v>308</v>
      </c>
      <c r="D1490" t="s">
        <v>425</v>
      </c>
      <c r="F1490" t="s">
        <v>435</v>
      </c>
      <c r="G1490" t="str">
        <f>HYPERLINK("https://ca.linkedin.com/jobs/view/data-visualization-developer-analyst-at-blue-boat-data-3335318133?refId=zSEvBBqeUXpuQv9WkkFLPQ%3D%3D&amp;trackingId=5Kx1Re0BQhC34dqA5yCAww%3D%3D&amp;position=2&amp;pageNum=0&amp;trk=public_jobs_jserp-result_search-card", "Job Link")</f>
        <v>Job Link</v>
      </c>
      <c r="I1490" t="s">
        <v>483</v>
      </c>
      <c r="L1490" t="s">
        <v>601</v>
      </c>
    </row>
    <row r="1491" spans="1:14" x14ac:dyDescent="0.25">
      <c r="A1491" t="s">
        <v>14</v>
      </c>
      <c r="B1491" t="s">
        <v>160</v>
      </c>
      <c r="C1491" t="s">
        <v>309</v>
      </c>
      <c r="D1491" t="s">
        <v>425</v>
      </c>
      <c r="E1491" t="s">
        <v>427</v>
      </c>
      <c r="F1491" t="s">
        <v>458</v>
      </c>
      <c r="G1491" t="str">
        <f>HYPERLINK("https://ca.linkedin.com/jobs/view/data-analyst-at-libitzky-property-companies-3314494593?refId=zSEvBBqeUXpuQv9WkkFLPQ%3D%3D&amp;trackingId=VAxZW5OAVRH2zvnCCMlFDA%3D%3D&amp;position=3&amp;pageNum=0&amp;trk=public_jobs_jserp-result_search-card", "Job Link")</f>
        <v>Job Link</v>
      </c>
      <c r="H1491" t="s">
        <v>476</v>
      </c>
      <c r="I1491" t="s">
        <v>481</v>
      </c>
      <c r="J1491" t="s">
        <v>486</v>
      </c>
      <c r="K1491" t="s">
        <v>516</v>
      </c>
      <c r="L1491" t="s">
        <v>601</v>
      </c>
    </row>
    <row r="1492" spans="1:14" x14ac:dyDescent="0.25">
      <c r="A1492" t="s">
        <v>14</v>
      </c>
      <c r="B1492" t="s">
        <v>161</v>
      </c>
      <c r="C1492" t="s">
        <v>310</v>
      </c>
      <c r="D1492" t="s">
        <v>425</v>
      </c>
      <c r="F1492" t="s">
        <v>435</v>
      </c>
      <c r="G1492" t="str">
        <f>HYPERLINK("https://ca.linkedin.com/jobs/view/data-analyst-at-spire-3340696458?refId=zSEvBBqeUXpuQv9WkkFLPQ%3D%3D&amp;trackingId=xJfH09WSvB%2Fpa9tt5GCAYA%3D%3D&amp;position=4&amp;pageNum=0&amp;trk=public_jobs_jserp-result_search-card", "Job Link")</f>
        <v>Job Link</v>
      </c>
      <c r="H1492" t="s">
        <v>476</v>
      </c>
      <c r="I1492" t="s">
        <v>481</v>
      </c>
      <c r="J1492" t="s">
        <v>486</v>
      </c>
      <c r="K1492" t="s">
        <v>517</v>
      </c>
      <c r="L1492" t="s">
        <v>602</v>
      </c>
      <c r="M1492" t="s">
        <v>588</v>
      </c>
      <c r="N1492" t="s">
        <v>601</v>
      </c>
    </row>
    <row r="1493" spans="1:14" x14ac:dyDescent="0.25">
      <c r="A1493" t="s">
        <v>14</v>
      </c>
      <c r="B1493" t="s">
        <v>162</v>
      </c>
      <c r="C1493" t="s">
        <v>311</v>
      </c>
      <c r="D1493" t="s">
        <v>425</v>
      </c>
      <c r="F1493" t="s">
        <v>434</v>
      </c>
      <c r="G1493" t="str">
        <f>HYPERLINK("https://ca.linkedin.com/jobs/view/data-analyst-at-money-mart-financial-services-3361528052?refId=zSEvBBqeUXpuQv9WkkFLPQ%3D%3D&amp;trackingId=nexPbSyr1IXu0Nee%2Bo6G8Q%3D%3D&amp;position=5&amp;pageNum=0&amp;trk=public_jobs_jserp-result_search-card", "Job Link")</f>
        <v>Job Link</v>
      </c>
      <c r="H1493" t="s">
        <v>477</v>
      </c>
      <c r="I1493" t="s">
        <v>481</v>
      </c>
      <c r="J1493" t="s">
        <v>488</v>
      </c>
      <c r="K1493" t="s">
        <v>527</v>
      </c>
      <c r="L1493" t="s">
        <v>582</v>
      </c>
      <c r="M1493" t="s">
        <v>588</v>
      </c>
      <c r="N1493" t="s">
        <v>601</v>
      </c>
    </row>
    <row r="1494" spans="1:14" x14ac:dyDescent="0.25">
      <c r="A1494" t="s">
        <v>14</v>
      </c>
      <c r="B1494" t="s">
        <v>163</v>
      </c>
      <c r="C1494" t="s">
        <v>312</v>
      </c>
      <c r="D1494" t="s">
        <v>425</v>
      </c>
      <c r="F1494" t="s">
        <v>443</v>
      </c>
      <c r="G1494" t="str">
        <f>HYPERLINK("https://ca.linkedin.com/jobs/view/data-analyst-at-mojio-3363472062?refId=zSEvBBqeUXpuQv9WkkFLPQ%3D%3D&amp;trackingId=tdyNLGRYL31qD%2F6LDJpvWA%3D%3D&amp;position=6&amp;pageNum=0&amp;trk=public_jobs_jserp-result_search-card", "Job Link")</f>
        <v>Job Link</v>
      </c>
      <c r="H1494" t="s">
        <v>478</v>
      </c>
      <c r="I1494" t="s">
        <v>481</v>
      </c>
      <c r="J1494" t="s">
        <v>493</v>
      </c>
      <c r="K1494" t="s">
        <v>544</v>
      </c>
      <c r="L1494" t="s">
        <v>601</v>
      </c>
    </row>
    <row r="1495" spans="1:14" x14ac:dyDescent="0.25">
      <c r="A1495" t="s">
        <v>41</v>
      </c>
      <c r="B1495" t="s">
        <v>164</v>
      </c>
      <c r="C1495" t="s">
        <v>313</v>
      </c>
      <c r="D1495" t="s">
        <v>425</v>
      </c>
      <c r="F1495" t="s">
        <v>444</v>
      </c>
      <c r="G1495" t="str">
        <f>HYPERLINK("https://ca.linkedin.com/jobs/view/product-data-analyst-at-pdftron-systems-inc-3322845144?refId=zSEvBBqeUXpuQv9WkkFLPQ%3D%3D&amp;trackingId=YsMsm3393L7UM5RsDc15CQ%3D%3D&amp;position=7&amp;pageNum=0&amp;trk=public_jobs_jserp-result_search-card", "Job Link")</f>
        <v>Job Link</v>
      </c>
      <c r="H1495" t="s">
        <v>479</v>
      </c>
      <c r="I1495" t="s">
        <v>481</v>
      </c>
      <c r="J1495" t="s">
        <v>487</v>
      </c>
      <c r="K1495" t="s">
        <v>538</v>
      </c>
      <c r="L1495" t="s">
        <v>590</v>
      </c>
      <c r="M1495" t="s">
        <v>618</v>
      </c>
      <c r="N1495" t="s">
        <v>601</v>
      </c>
    </row>
    <row r="1496" spans="1:14" x14ac:dyDescent="0.25">
      <c r="A1496" t="s">
        <v>42</v>
      </c>
      <c r="B1496" t="s">
        <v>165</v>
      </c>
      <c r="C1496" t="s">
        <v>314</v>
      </c>
      <c r="D1496" t="s">
        <v>425</v>
      </c>
      <c r="F1496" t="s">
        <v>459</v>
      </c>
      <c r="G1496" t="str">
        <f>HYPERLINK("https://ca.linkedin.com/jobs/view/cognitive-data-analyst-at-wysdom-ai-3333087497?refId=zSEvBBqeUXpuQv9WkkFLPQ%3D%3D&amp;trackingId=6A2j1F%2FpRhIHkkatRutInQ%3D%3D&amp;position=8&amp;pageNum=0&amp;trk=public_jobs_jserp-result_search-card", "Job Link")</f>
        <v>Job Link</v>
      </c>
      <c r="H1496" t="s">
        <v>478</v>
      </c>
      <c r="I1496" t="s">
        <v>481</v>
      </c>
      <c r="J1496" t="s">
        <v>486</v>
      </c>
      <c r="K1496" t="s">
        <v>516</v>
      </c>
      <c r="L1496" t="s">
        <v>601</v>
      </c>
    </row>
    <row r="1497" spans="1:14" x14ac:dyDescent="0.25">
      <c r="A1497" t="s">
        <v>43</v>
      </c>
      <c r="B1497" t="s">
        <v>166</v>
      </c>
      <c r="C1497" t="s">
        <v>315</v>
      </c>
      <c r="D1497" t="s">
        <v>425</v>
      </c>
      <c r="F1497" t="s">
        <v>432</v>
      </c>
      <c r="G1497" t="str">
        <f>HYPERLINK("https://ca.linkedin.com/jobs/view/data-analyst-operations-at-felix-3360946633?refId=zSEvBBqeUXpuQv9WkkFLPQ%3D%3D&amp;trackingId=2BdU0QJp5tcFQC1wuK75fA%3D%3D&amp;position=9&amp;pageNum=0&amp;trk=public_jobs_jserp-result_search-card", "Job Link")</f>
        <v>Job Link</v>
      </c>
      <c r="I1497" t="s">
        <v>481</v>
      </c>
      <c r="L1497" t="s">
        <v>601</v>
      </c>
    </row>
    <row r="1498" spans="1:14" x14ac:dyDescent="0.25">
      <c r="A1498" t="s">
        <v>44</v>
      </c>
      <c r="B1498" t="s">
        <v>167</v>
      </c>
      <c r="C1498" t="s">
        <v>316</v>
      </c>
      <c r="D1498" t="s">
        <v>425</v>
      </c>
      <c r="F1498" t="s">
        <v>460</v>
      </c>
      <c r="G1498" t="str">
        <f>HYPERLINK("https://ca.linkedin.com/jobs/view/data-analyst-marketing-at-thescore-3272474942?refId=zSEvBBqeUXpuQv9WkkFLPQ%3D%3D&amp;trackingId=f6%2F3O3n7tsHPutKhp%2BUknA%3D%3D&amp;position=10&amp;pageNum=0&amp;trk=public_jobs_jserp-result_search-card", "Job Link")</f>
        <v>Job Link</v>
      </c>
      <c r="H1498" t="s">
        <v>476</v>
      </c>
      <c r="I1498" t="s">
        <v>481</v>
      </c>
      <c r="J1498" t="s">
        <v>486</v>
      </c>
      <c r="K1498" t="s">
        <v>545</v>
      </c>
      <c r="L1498" t="s">
        <v>582</v>
      </c>
      <c r="M1498" t="s">
        <v>588</v>
      </c>
      <c r="N1498" t="s">
        <v>601</v>
      </c>
    </row>
    <row r="1499" spans="1:14" x14ac:dyDescent="0.25">
      <c r="A1499" t="s">
        <v>45</v>
      </c>
      <c r="B1499" t="s">
        <v>168</v>
      </c>
      <c r="C1499" t="s">
        <v>317</v>
      </c>
      <c r="D1499" t="s">
        <v>425</v>
      </c>
      <c r="F1499" t="s">
        <v>443</v>
      </c>
      <c r="G1499" t="str">
        <f>HYPERLINK("https://ca.linkedin.com/jobs/view/senior-data-analyst-apac-marketplace-at-hopper-3363404929?refId=zSEvBBqeUXpuQv9WkkFLPQ%3D%3D&amp;trackingId=qcI29H0SQKdhBugOsADf3Q%3D%3D&amp;position=11&amp;pageNum=0&amp;trk=public_jobs_jserp-result_search-card", "Job Link")</f>
        <v>Job Link</v>
      </c>
      <c r="H1499" t="s">
        <v>478</v>
      </c>
      <c r="I1499" t="s">
        <v>485</v>
      </c>
      <c r="J1499" t="s">
        <v>486</v>
      </c>
      <c r="K1499" t="s">
        <v>538</v>
      </c>
      <c r="L1499" t="s">
        <v>601</v>
      </c>
    </row>
    <row r="1500" spans="1:14" x14ac:dyDescent="0.25">
      <c r="A1500" t="s">
        <v>46</v>
      </c>
      <c r="B1500" t="s">
        <v>169</v>
      </c>
      <c r="C1500" t="s">
        <v>318</v>
      </c>
      <c r="D1500" t="s">
        <v>425</v>
      </c>
      <c r="F1500" t="s">
        <v>461</v>
      </c>
      <c r="G1500" t="str">
        <f>HYPERLINK("https://ca.linkedin.com/jobs/view/senior-data-analyst-remote-at-insurance-supermarket-international-usa-3347334252?refId=zSEvBBqeUXpuQv9WkkFLPQ%3D%3D&amp;trackingId=rDs3noEbmXn1uVUNgmMOng%3D%3D&amp;position=12&amp;pageNum=0&amp;trk=public_jobs_jserp-result_search-card", "Job Link")</f>
        <v>Job Link</v>
      </c>
      <c r="H1500" t="s">
        <v>478</v>
      </c>
      <c r="I1500" t="s">
        <v>481</v>
      </c>
      <c r="J1500" t="s">
        <v>494</v>
      </c>
      <c r="K1500" t="s">
        <v>546</v>
      </c>
      <c r="L1500" t="s">
        <v>601</v>
      </c>
    </row>
    <row r="1501" spans="1:14" x14ac:dyDescent="0.25">
      <c r="A1501" t="s">
        <v>20</v>
      </c>
      <c r="B1501" t="s">
        <v>170</v>
      </c>
      <c r="C1501" t="s">
        <v>319</v>
      </c>
      <c r="D1501" t="s">
        <v>425</v>
      </c>
      <c r="F1501" t="s">
        <v>450</v>
      </c>
      <c r="G1501" t="str">
        <f>HYPERLINK("https://ca.linkedin.com/jobs/view/senior-data-analyst-at-thinkific-3333572538?refId=zSEvBBqeUXpuQv9WkkFLPQ%3D%3D&amp;trackingId=F9JQpvs9uwRWgNJrzeLh6Q%3D%3D&amp;position=13&amp;pageNum=0&amp;trk=public_jobs_jserp-result_search-card", "Job Link")</f>
        <v>Job Link</v>
      </c>
      <c r="H1501" t="s">
        <v>478</v>
      </c>
      <c r="I1501" t="s">
        <v>481</v>
      </c>
      <c r="J1501" t="s">
        <v>495</v>
      </c>
      <c r="K1501" t="s">
        <v>547</v>
      </c>
      <c r="L1501" t="s">
        <v>601</v>
      </c>
    </row>
    <row r="1502" spans="1:14" x14ac:dyDescent="0.25">
      <c r="A1502" t="s">
        <v>47</v>
      </c>
      <c r="B1502" t="s">
        <v>171</v>
      </c>
      <c r="C1502" t="s">
        <v>320</v>
      </c>
      <c r="D1502" t="s">
        <v>425</v>
      </c>
      <c r="F1502" t="s">
        <v>447</v>
      </c>
      <c r="G1502" t="str">
        <f>HYPERLINK("https://ca.linkedin.com/jobs/view/insights-analyst-at-flashfood-3312876343?refId=zSEvBBqeUXpuQv9WkkFLPQ%3D%3D&amp;trackingId=1vZZQ1TICZjxFXxNNQrgzg%3D%3D&amp;position=14&amp;pageNum=0&amp;trk=public_jobs_jserp-result_search-card", "Job Link")</f>
        <v>Job Link</v>
      </c>
      <c r="I1502" t="s">
        <v>481</v>
      </c>
      <c r="L1502" t="s">
        <v>601</v>
      </c>
    </row>
    <row r="1503" spans="1:14" x14ac:dyDescent="0.25">
      <c r="A1503" t="s">
        <v>20</v>
      </c>
      <c r="B1503" t="s">
        <v>172</v>
      </c>
      <c r="C1503" t="s">
        <v>321</v>
      </c>
      <c r="D1503" t="s">
        <v>425</v>
      </c>
      <c r="F1503" t="s">
        <v>438</v>
      </c>
      <c r="G1503" t="str">
        <f>HYPERLINK("https://ca.linkedin.com/jobs/view/senior-data-analyst-at-system1-3324728130?refId=zSEvBBqeUXpuQv9WkkFLPQ%3D%3D&amp;trackingId=T%2F%2BPHhtBFJmZl17cFlul8Q%3D%3D&amp;position=15&amp;pageNum=0&amp;trk=public_jobs_jserp-result_search-card", "Job Link")</f>
        <v>Job Link</v>
      </c>
      <c r="H1503" t="s">
        <v>478</v>
      </c>
      <c r="I1503" t="s">
        <v>481</v>
      </c>
      <c r="J1503" t="s">
        <v>486</v>
      </c>
      <c r="K1503" t="s">
        <v>548</v>
      </c>
      <c r="L1503" t="s">
        <v>587</v>
      </c>
      <c r="M1503" t="s">
        <v>588</v>
      </c>
      <c r="N1503" t="s">
        <v>601</v>
      </c>
    </row>
    <row r="1504" spans="1:14" x14ac:dyDescent="0.25">
      <c r="A1504" t="s">
        <v>48</v>
      </c>
      <c r="B1504" t="s">
        <v>173</v>
      </c>
      <c r="C1504" t="s">
        <v>322</v>
      </c>
      <c r="D1504" t="s">
        <v>425</v>
      </c>
      <c r="F1504" t="s">
        <v>462</v>
      </c>
      <c r="G1504" t="str">
        <f>HYPERLINK("https://ca.linkedin.com/jobs/view/data-analyst-trilogy-remote-%2460-000-year-usd-at-crossover-3367086698?refId=zSEvBBqeUXpuQv9WkkFLPQ%3D%3D&amp;trackingId=KOwNK0mvqLj%2F5KYNrGGLnQ%3D%3D&amp;position=16&amp;pageNum=0&amp;trk=public_jobs_jserp-result_search-card", "Job Link")</f>
        <v>Job Link</v>
      </c>
      <c r="H1504" t="s">
        <v>477</v>
      </c>
      <c r="I1504" t="s">
        <v>481</v>
      </c>
      <c r="J1504" t="s">
        <v>496</v>
      </c>
      <c r="K1504" t="s">
        <v>549</v>
      </c>
      <c r="L1504" t="s">
        <v>582</v>
      </c>
      <c r="M1504" t="s">
        <v>588</v>
      </c>
      <c r="N1504" t="s">
        <v>601</v>
      </c>
    </row>
    <row r="1505" spans="1:14" x14ac:dyDescent="0.25">
      <c r="A1505" t="s">
        <v>49</v>
      </c>
      <c r="B1505" t="s">
        <v>174</v>
      </c>
      <c r="C1505" t="s">
        <v>323</v>
      </c>
      <c r="D1505" t="s">
        <v>425</v>
      </c>
      <c r="F1505" t="s">
        <v>433</v>
      </c>
      <c r="G1505" t="str">
        <f>HYPERLINK("https://ca.linkedin.com/jobs/view/product-data-analyst-wtfast-at-blankslate-partners-3350561493?refId=zSEvBBqeUXpuQv9WkkFLPQ%3D%3D&amp;trackingId=L5fIWsaeQRAu6Ifr6Bsbxw%3D%3D&amp;position=17&amp;pageNum=0&amp;trk=public_jobs_jserp-result_search-card", "Job Link")</f>
        <v>Job Link</v>
      </c>
      <c r="H1505" t="s">
        <v>479</v>
      </c>
      <c r="I1505" t="s">
        <v>481</v>
      </c>
      <c r="J1505" t="s">
        <v>497</v>
      </c>
      <c r="K1505" t="s">
        <v>538</v>
      </c>
      <c r="L1505" t="s">
        <v>603</v>
      </c>
      <c r="M1505" t="s">
        <v>618</v>
      </c>
      <c r="N1505" t="s">
        <v>601</v>
      </c>
    </row>
    <row r="1506" spans="1:14" x14ac:dyDescent="0.25">
      <c r="A1506" t="s">
        <v>50</v>
      </c>
      <c r="B1506" t="s">
        <v>175</v>
      </c>
      <c r="C1506" t="s">
        <v>324</v>
      </c>
      <c r="D1506" t="s">
        <v>425</v>
      </c>
      <c r="F1506" t="s">
        <v>443</v>
      </c>
      <c r="G1506" t="str">
        <f>HYPERLINK("https://ca.linkedin.com/jobs/view/senior-data-analyst-toronto-on-at-ssense-3369567279?refId=zSEvBBqeUXpuQv9WkkFLPQ%3D%3D&amp;trackingId=hvqkMb6R2HNEnW%2BXWQvfhA%3D%3D&amp;position=18&amp;pageNum=0&amp;trk=public_jobs_jserp-result_search-card", "Job Link")</f>
        <v>Job Link</v>
      </c>
      <c r="H1506" t="s">
        <v>478</v>
      </c>
      <c r="I1506" t="s">
        <v>481</v>
      </c>
      <c r="J1506" t="s">
        <v>486</v>
      </c>
      <c r="K1506" t="s">
        <v>550</v>
      </c>
      <c r="L1506" t="s">
        <v>582</v>
      </c>
      <c r="M1506" t="s">
        <v>588</v>
      </c>
      <c r="N1506" t="s">
        <v>601</v>
      </c>
    </row>
    <row r="1507" spans="1:14" x14ac:dyDescent="0.25">
      <c r="A1507" t="s">
        <v>51</v>
      </c>
      <c r="B1507" t="s">
        <v>175</v>
      </c>
      <c r="C1507" t="s">
        <v>325</v>
      </c>
      <c r="D1507" t="s">
        <v>425</v>
      </c>
      <c r="F1507" t="s">
        <v>443</v>
      </c>
      <c r="G1507" t="str">
        <f>HYPERLINK("https://ca.linkedin.com/jobs/view/senior-data-analyst-analytics-insights-toronto-on-at-ssense-3369558722?refId=zSEvBBqeUXpuQv9WkkFLPQ%3D%3D&amp;trackingId=QFUldYXghSKHLSMJEIESMA%3D%3D&amp;position=19&amp;pageNum=0&amp;trk=public_jobs_jserp-result_search-card", "Job Link")</f>
        <v>Job Link</v>
      </c>
      <c r="H1507" t="s">
        <v>478</v>
      </c>
      <c r="I1507" t="s">
        <v>481</v>
      </c>
      <c r="J1507" t="s">
        <v>491</v>
      </c>
      <c r="K1507" t="s">
        <v>550</v>
      </c>
      <c r="L1507" t="s">
        <v>582</v>
      </c>
      <c r="M1507" t="s">
        <v>588</v>
      </c>
      <c r="N1507" t="s">
        <v>601</v>
      </c>
    </row>
    <row r="1508" spans="1:14" x14ac:dyDescent="0.25">
      <c r="A1508" t="s">
        <v>51</v>
      </c>
      <c r="B1508" t="s">
        <v>175</v>
      </c>
      <c r="C1508" t="s">
        <v>325</v>
      </c>
      <c r="D1508" t="s">
        <v>425</v>
      </c>
      <c r="F1508" t="s">
        <v>443</v>
      </c>
      <c r="G1508" t="str">
        <f>HYPERLINK("https://ca.linkedin.com/jobs/view/senior-data-analyst-analytics-insights-toronto-on-at-ssense-3369560180?refId=zSEvBBqeUXpuQv9WkkFLPQ%3D%3D&amp;trackingId=PLe9gN8agUGQXJf3K8VIoA%3D%3D&amp;position=20&amp;pageNum=0&amp;trk=public_jobs_jserp-result_search-card", "Job Link")</f>
        <v>Job Link</v>
      </c>
      <c r="H1508" t="s">
        <v>478</v>
      </c>
      <c r="I1508" t="s">
        <v>481</v>
      </c>
      <c r="J1508" t="s">
        <v>491</v>
      </c>
      <c r="K1508" t="s">
        <v>550</v>
      </c>
      <c r="L1508" t="s">
        <v>582</v>
      </c>
      <c r="M1508" t="s">
        <v>588</v>
      </c>
      <c r="N1508" t="s">
        <v>601</v>
      </c>
    </row>
    <row r="1509" spans="1:14" x14ac:dyDescent="0.25">
      <c r="A1509" t="s">
        <v>27</v>
      </c>
      <c r="B1509" t="s">
        <v>176</v>
      </c>
      <c r="C1509" t="s">
        <v>326</v>
      </c>
      <c r="D1509" t="s">
        <v>425</v>
      </c>
      <c r="F1509" t="s">
        <v>441</v>
      </c>
      <c r="G1509" t="str">
        <f>HYPERLINK("https://ca.linkedin.com/jobs/view/sr-data-analyst-at-telus-international-digital-solutions-3331944226?refId=zSEvBBqeUXpuQv9WkkFLPQ%3D%3D&amp;trackingId=xkKbhHUy2c%2BHAHAdCduOYw%3D%3D&amp;position=21&amp;pageNum=0&amp;trk=public_jobs_jserp-result_search-card", "Job Link")</f>
        <v>Job Link</v>
      </c>
      <c r="H1509" t="s">
        <v>478</v>
      </c>
      <c r="I1509" t="s">
        <v>481</v>
      </c>
      <c r="J1509" t="s">
        <v>498</v>
      </c>
      <c r="K1509" t="s">
        <v>521</v>
      </c>
      <c r="L1509" t="s">
        <v>604</v>
      </c>
      <c r="M1509" t="s">
        <v>618</v>
      </c>
      <c r="N1509" t="s">
        <v>601</v>
      </c>
    </row>
    <row r="1510" spans="1:14" x14ac:dyDescent="0.25">
      <c r="A1510" t="s">
        <v>20</v>
      </c>
      <c r="B1510" t="s">
        <v>175</v>
      </c>
      <c r="C1510" t="s">
        <v>324</v>
      </c>
      <c r="D1510" t="s">
        <v>425</v>
      </c>
      <c r="F1510" t="s">
        <v>446</v>
      </c>
      <c r="G1510" t="str">
        <f>HYPERLINK("https://ca.linkedin.com/jobs/view/senior-data-analyst-at-ssense-3342165774?refId=zSEvBBqeUXpuQv9WkkFLPQ%3D%3D&amp;trackingId=Asa3A5Cb8XzDYEcis%2F3OGA%3D%3D&amp;position=22&amp;pageNum=0&amp;trk=public_jobs_jserp-result_search-card", "Job Link")</f>
        <v>Job Link</v>
      </c>
      <c r="H1510" t="s">
        <v>478</v>
      </c>
      <c r="I1510" t="s">
        <v>481</v>
      </c>
      <c r="J1510" t="s">
        <v>486</v>
      </c>
      <c r="K1510" t="s">
        <v>550</v>
      </c>
      <c r="L1510" t="s">
        <v>605</v>
      </c>
      <c r="M1510" t="s">
        <v>617</v>
      </c>
      <c r="N1510" t="s">
        <v>601</v>
      </c>
    </row>
    <row r="1511" spans="1:14" x14ac:dyDescent="0.25">
      <c r="A1511" t="s">
        <v>14</v>
      </c>
      <c r="B1511" t="s">
        <v>158</v>
      </c>
      <c r="C1511" t="s">
        <v>307</v>
      </c>
      <c r="D1511" t="s">
        <v>425</v>
      </c>
      <c r="F1511" t="s">
        <v>430</v>
      </c>
      <c r="G1511" t="str">
        <f>HYPERLINK("https://ca.linkedin.com/jobs/view/data-analyst-at-empire-life-3324608289?refId=%2F3mJuCUDFT9Pq9LZPSz04g%3D%3D&amp;trackingId=F7%2FLR%2FSX0UYF1Nx4Yp8dog%3D%3D&amp;position=1&amp;pageNum=0&amp;trk=public_jobs_jserp-result_search-card", "Job Link")</f>
        <v>Job Link</v>
      </c>
      <c r="H1511" t="s">
        <v>476</v>
      </c>
      <c r="I1511" t="s">
        <v>481</v>
      </c>
      <c r="J1511" t="s">
        <v>485</v>
      </c>
      <c r="K1511" t="s">
        <v>523</v>
      </c>
      <c r="L1511" t="s">
        <v>601</v>
      </c>
    </row>
    <row r="1512" spans="1:14" x14ac:dyDescent="0.25">
      <c r="A1512" t="s">
        <v>40</v>
      </c>
      <c r="B1512" t="s">
        <v>159</v>
      </c>
      <c r="C1512" t="s">
        <v>308</v>
      </c>
      <c r="D1512" t="s">
        <v>425</v>
      </c>
      <c r="F1512" t="s">
        <v>435</v>
      </c>
      <c r="G1512" t="str">
        <f>HYPERLINK("https://ca.linkedin.com/jobs/view/data-visualization-developer-analyst-at-blue-boat-data-3335318133?refId=%2F3mJuCUDFT9Pq9LZPSz04g%3D%3D&amp;trackingId=3AhEtmLmfElylZJHTWlOZw%3D%3D&amp;position=2&amp;pageNum=0&amp;trk=public_jobs_jserp-result_search-card", "Job Link")</f>
        <v>Job Link</v>
      </c>
      <c r="I1512" t="s">
        <v>483</v>
      </c>
      <c r="L1512" t="s">
        <v>601</v>
      </c>
    </row>
    <row r="1513" spans="1:14" x14ac:dyDescent="0.25">
      <c r="A1513" t="s">
        <v>14</v>
      </c>
      <c r="B1513" t="s">
        <v>160</v>
      </c>
      <c r="C1513" t="s">
        <v>309</v>
      </c>
      <c r="D1513" t="s">
        <v>425</v>
      </c>
      <c r="E1513" t="s">
        <v>427</v>
      </c>
      <c r="F1513" t="s">
        <v>458</v>
      </c>
      <c r="G1513" t="str">
        <f>HYPERLINK("https://ca.linkedin.com/jobs/view/data-analyst-at-libitzky-property-companies-3314494593?refId=%2F3mJuCUDFT9Pq9LZPSz04g%3D%3D&amp;trackingId=zB94CVOcOWlhb2C2XQGifQ%3D%3D&amp;position=3&amp;pageNum=0&amp;trk=public_jobs_jserp-result_search-card", "Job Link")</f>
        <v>Job Link</v>
      </c>
      <c r="H1513" t="s">
        <v>476</v>
      </c>
      <c r="I1513" t="s">
        <v>481</v>
      </c>
      <c r="J1513" t="s">
        <v>486</v>
      </c>
      <c r="K1513" t="s">
        <v>516</v>
      </c>
      <c r="L1513" t="s">
        <v>601</v>
      </c>
    </row>
    <row r="1514" spans="1:14" x14ac:dyDescent="0.25">
      <c r="A1514" t="s">
        <v>14</v>
      </c>
      <c r="B1514" t="s">
        <v>161</v>
      </c>
      <c r="C1514" t="s">
        <v>310</v>
      </c>
      <c r="D1514" t="s">
        <v>425</v>
      </c>
      <c r="F1514" t="s">
        <v>435</v>
      </c>
      <c r="G1514" t="str">
        <f>HYPERLINK("https://ca.linkedin.com/jobs/view/data-analyst-at-spire-3340696458?refId=%2F3mJuCUDFT9Pq9LZPSz04g%3D%3D&amp;trackingId=PbN3gaan04sKAKNPU7DFpQ%3D%3D&amp;position=4&amp;pageNum=0&amp;trk=public_jobs_jserp-result_search-card", "Job Link")</f>
        <v>Job Link</v>
      </c>
      <c r="H1514" t="s">
        <v>476</v>
      </c>
      <c r="I1514" t="s">
        <v>481</v>
      </c>
      <c r="J1514" t="s">
        <v>486</v>
      </c>
      <c r="K1514" t="s">
        <v>517</v>
      </c>
      <c r="L1514" t="s">
        <v>602</v>
      </c>
      <c r="M1514" t="s">
        <v>588</v>
      </c>
      <c r="N1514" t="s">
        <v>601</v>
      </c>
    </row>
    <row r="1515" spans="1:14" x14ac:dyDescent="0.25">
      <c r="A1515" t="s">
        <v>14</v>
      </c>
      <c r="B1515" t="s">
        <v>162</v>
      </c>
      <c r="C1515" t="s">
        <v>311</v>
      </c>
      <c r="D1515" t="s">
        <v>425</v>
      </c>
      <c r="F1515" t="s">
        <v>434</v>
      </c>
      <c r="G1515" t="str">
        <f>HYPERLINK("https://ca.linkedin.com/jobs/view/data-analyst-at-money-mart-financial-services-3361528052?refId=%2F3mJuCUDFT9Pq9LZPSz04g%3D%3D&amp;trackingId=UBweTMNbNSydGndUDgepAQ%3D%3D&amp;position=5&amp;pageNum=0&amp;trk=public_jobs_jserp-result_search-card", "Job Link")</f>
        <v>Job Link</v>
      </c>
      <c r="H1515" t="s">
        <v>477</v>
      </c>
      <c r="I1515" t="s">
        <v>481</v>
      </c>
      <c r="J1515" t="s">
        <v>488</v>
      </c>
      <c r="K1515" t="s">
        <v>527</v>
      </c>
      <c r="L1515" t="s">
        <v>582</v>
      </c>
      <c r="M1515" t="s">
        <v>588</v>
      </c>
      <c r="N1515" t="s">
        <v>601</v>
      </c>
    </row>
    <row r="1516" spans="1:14" x14ac:dyDescent="0.25">
      <c r="A1516" t="s">
        <v>14</v>
      </c>
      <c r="B1516" t="s">
        <v>163</v>
      </c>
      <c r="C1516" t="s">
        <v>312</v>
      </c>
      <c r="D1516" t="s">
        <v>425</v>
      </c>
      <c r="F1516" t="s">
        <v>443</v>
      </c>
      <c r="G1516" t="str">
        <f>HYPERLINK("https://ca.linkedin.com/jobs/view/data-analyst-at-mojio-3363472062?refId=%2F3mJuCUDFT9Pq9LZPSz04g%3D%3D&amp;trackingId=aaxY1q%2FNhLadc7HVwJ6dig%3D%3D&amp;position=6&amp;pageNum=0&amp;trk=public_jobs_jserp-result_search-card", "Job Link")</f>
        <v>Job Link</v>
      </c>
      <c r="H1516" t="s">
        <v>478</v>
      </c>
      <c r="I1516" t="s">
        <v>481</v>
      </c>
      <c r="J1516" t="s">
        <v>493</v>
      </c>
      <c r="K1516" t="s">
        <v>544</v>
      </c>
      <c r="L1516" t="s">
        <v>601</v>
      </c>
    </row>
    <row r="1517" spans="1:14" x14ac:dyDescent="0.25">
      <c r="A1517" t="s">
        <v>41</v>
      </c>
      <c r="B1517" t="s">
        <v>164</v>
      </c>
      <c r="C1517" t="s">
        <v>313</v>
      </c>
      <c r="D1517" t="s">
        <v>425</v>
      </c>
      <c r="F1517" t="s">
        <v>444</v>
      </c>
      <c r="G1517" t="str">
        <f>HYPERLINK("https://ca.linkedin.com/jobs/view/product-data-analyst-at-pdftron-systems-inc-3322845144?refId=%2F3mJuCUDFT9Pq9LZPSz04g%3D%3D&amp;trackingId=prDoII1n7wmfgOw29wLhrQ%3D%3D&amp;position=7&amp;pageNum=0&amp;trk=public_jobs_jserp-result_search-card", "Job Link")</f>
        <v>Job Link</v>
      </c>
      <c r="H1517" t="s">
        <v>479</v>
      </c>
      <c r="I1517" t="s">
        <v>481</v>
      </c>
      <c r="J1517" t="s">
        <v>487</v>
      </c>
      <c r="K1517" t="s">
        <v>538</v>
      </c>
      <c r="L1517" t="s">
        <v>590</v>
      </c>
      <c r="M1517" t="s">
        <v>618</v>
      </c>
      <c r="N1517" t="s">
        <v>601</v>
      </c>
    </row>
    <row r="1518" spans="1:14" x14ac:dyDescent="0.25">
      <c r="A1518" t="s">
        <v>42</v>
      </c>
      <c r="B1518" t="s">
        <v>165</v>
      </c>
      <c r="C1518" t="s">
        <v>314</v>
      </c>
      <c r="D1518" t="s">
        <v>425</v>
      </c>
      <c r="F1518" t="s">
        <v>459</v>
      </c>
      <c r="G1518" t="str">
        <f>HYPERLINK("https://ca.linkedin.com/jobs/view/cognitive-data-analyst-at-wysdom-ai-3333087497?refId=%2F3mJuCUDFT9Pq9LZPSz04g%3D%3D&amp;trackingId=l3cSrl1frA%2Buf1dSuKg5vw%3D%3D&amp;position=8&amp;pageNum=0&amp;trk=public_jobs_jserp-result_search-card", "Job Link")</f>
        <v>Job Link</v>
      </c>
      <c r="H1518" t="s">
        <v>478</v>
      </c>
      <c r="I1518" t="s">
        <v>481</v>
      </c>
      <c r="J1518" t="s">
        <v>486</v>
      </c>
      <c r="K1518" t="s">
        <v>516</v>
      </c>
      <c r="L1518" t="s">
        <v>601</v>
      </c>
    </row>
    <row r="1519" spans="1:14" x14ac:dyDescent="0.25">
      <c r="A1519" t="s">
        <v>43</v>
      </c>
      <c r="B1519" t="s">
        <v>166</v>
      </c>
      <c r="C1519" t="s">
        <v>315</v>
      </c>
      <c r="D1519" t="s">
        <v>425</v>
      </c>
      <c r="F1519" t="s">
        <v>432</v>
      </c>
      <c r="G1519" t="str">
        <f>HYPERLINK("https://ca.linkedin.com/jobs/view/data-analyst-operations-at-felix-3360946633?refId=%2F3mJuCUDFT9Pq9LZPSz04g%3D%3D&amp;trackingId=CjLWukNIe4c%2BH8qoQEpH8w%3D%3D&amp;position=9&amp;pageNum=0&amp;trk=public_jobs_jserp-result_search-card", "Job Link")</f>
        <v>Job Link</v>
      </c>
      <c r="I1519" t="s">
        <v>481</v>
      </c>
      <c r="L1519" t="s">
        <v>601</v>
      </c>
    </row>
    <row r="1520" spans="1:14" x14ac:dyDescent="0.25">
      <c r="A1520" t="s">
        <v>44</v>
      </c>
      <c r="B1520" t="s">
        <v>167</v>
      </c>
      <c r="C1520" t="s">
        <v>316</v>
      </c>
      <c r="D1520" t="s">
        <v>425</v>
      </c>
      <c r="F1520" t="s">
        <v>460</v>
      </c>
      <c r="G1520" t="str">
        <f>HYPERLINK("https://ca.linkedin.com/jobs/view/data-analyst-marketing-at-thescore-3272474942?refId=%2F3mJuCUDFT9Pq9LZPSz04g%3D%3D&amp;trackingId=T1%2BA4h38MOneE41sPoI7SQ%3D%3D&amp;position=10&amp;pageNum=0&amp;trk=public_jobs_jserp-result_search-card", "Job Link")</f>
        <v>Job Link</v>
      </c>
      <c r="H1520" t="s">
        <v>476</v>
      </c>
      <c r="I1520" t="s">
        <v>481</v>
      </c>
      <c r="J1520" t="s">
        <v>486</v>
      </c>
      <c r="K1520" t="s">
        <v>545</v>
      </c>
      <c r="L1520" t="s">
        <v>582</v>
      </c>
      <c r="M1520" t="s">
        <v>588</v>
      </c>
      <c r="N1520" t="s">
        <v>601</v>
      </c>
    </row>
    <row r="1521" spans="1:14" x14ac:dyDescent="0.25">
      <c r="A1521" t="s">
        <v>45</v>
      </c>
      <c r="B1521" t="s">
        <v>168</v>
      </c>
      <c r="C1521" t="s">
        <v>317</v>
      </c>
      <c r="D1521" t="s">
        <v>425</v>
      </c>
      <c r="F1521" t="s">
        <v>443</v>
      </c>
      <c r="G1521" t="str">
        <f>HYPERLINK("https://ca.linkedin.com/jobs/view/senior-data-analyst-apac-marketplace-at-hopper-3363404929?refId=%2F3mJuCUDFT9Pq9LZPSz04g%3D%3D&amp;trackingId=724LvUjrbO7UwTm1XVWDHQ%3D%3D&amp;position=11&amp;pageNum=0&amp;trk=public_jobs_jserp-result_search-card", "Job Link")</f>
        <v>Job Link</v>
      </c>
      <c r="H1521" t="s">
        <v>478</v>
      </c>
      <c r="I1521" t="s">
        <v>485</v>
      </c>
      <c r="J1521" t="s">
        <v>486</v>
      </c>
      <c r="K1521" t="s">
        <v>538</v>
      </c>
      <c r="L1521" t="s">
        <v>601</v>
      </c>
    </row>
    <row r="1522" spans="1:14" x14ac:dyDescent="0.25">
      <c r="A1522" t="s">
        <v>46</v>
      </c>
      <c r="B1522" t="s">
        <v>169</v>
      </c>
      <c r="C1522" t="s">
        <v>318</v>
      </c>
      <c r="D1522" t="s">
        <v>425</v>
      </c>
      <c r="F1522" t="s">
        <v>461</v>
      </c>
      <c r="G1522" t="str">
        <f>HYPERLINK("https://ca.linkedin.com/jobs/view/senior-data-analyst-remote-at-insurance-supermarket-international-usa-3347334252?refId=%2F3mJuCUDFT9Pq9LZPSz04g%3D%3D&amp;trackingId=L3XBUo5F7MvFSw6QZolqNg%3D%3D&amp;position=12&amp;pageNum=0&amp;trk=public_jobs_jserp-result_search-card", "Job Link")</f>
        <v>Job Link</v>
      </c>
      <c r="H1522" t="s">
        <v>478</v>
      </c>
      <c r="I1522" t="s">
        <v>481</v>
      </c>
      <c r="J1522" t="s">
        <v>494</v>
      </c>
      <c r="K1522" t="s">
        <v>546</v>
      </c>
      <c r="L1522" t="s">
        <v>601</v>
      </c>
    </row>
    <row r="1523" spans="1:14" x14ac:dyDescent="0.25">
      <c r="A1523" t="s">
        <v>20</v>
      </c>
      <c r="B1523" t="s">
        <v>170</v>
      </c>
      <c r="C1523" t="s">
        <v>319</v>
      </c>
      <c r="D1523" t="s">
        <v>425</v>
      </c>
      <c r="F1523" t="s">
        <v>450</v>
      </c>
      <c r="G1523" t="str">
        <f>HYPERLINK("https://ca.linkedin.com/jobs/view/senior-data-analyst-at-thinkific-3333572538?refId=%2F3mJuCUDFT9Pq9LZPSz04g%3D%3D&amp;trackingId=usuoF4fY0LCeyxd3dWNk5w%3D%3D&amp;position=13&amp;pageNum=0&amp;trk=public_jobs_jserp-result_search-card", "Job Link")</f>
        <v>Job Link</v>
      </c>
      <c r="H1523" t="s">
        <v>478</v>
      </c>
      <c r="I1523" t="s">
        <v>481</v>
      </c>
      <c r="J1523" t="s">
        <v>495</v>
      </c>
      <c r="K1523" t="s">
        <v>547</v>
      </c>
      <c r="L1523" t="s">
        <v>601</v>
      </c>
    </row>
    <row r="1524" spans="1:14" x14ac:dyDescent="0.25">
      <c r="A1524" t="s">
        <v>47</v>
      </c>
      <c r="B1524" t="s">
        <v>171</v>
      </c>
      <c r="C1524" t="s">
        <v>320</v>
      </c>
      <c r="D1524" t="s">
        <v>425</v>
      </c>
      <c r="F1524" t="s">
        <v>447</v>
      </c>
      <c r="G1524" t="str">
        <f>HYPERLINK("https://ca.linkedin.com/jobs/view/insights-analyst-at-flashfood-3312876343?refId=%2F3mJuCUDFT9Pq9LZPSz04g%3D%3D&amp;trackingId=VP3iHRZka40XMYmqd%2FcImQ%3D%3D&amp;position=14&amp;pageNum=0&amp;trk=public_jobs_jserp-result_search-card", "Job Link")</f>
        <v>Job Link</v>
      </c>
      <c r="I1524" t="s">
        <v>481</v>
      </c>
      <c r="L1524" t="s">
        <v>601</v>
      </c>
    </row>
    <row r="1525" spans="1:14" x14ac:dyDescent="0.25">
      <c r="A1525" t="s">
        <v>20</v>
      </c>
      <c r="B1525" t="s">
        <v>172</v>
      </c>
      <c r="C1525" t="s">
        <v>321</v>
      </c>
      <c r="D1525" t="s">
        <v>425</v>
      </c>
      <c r="F1525" t="s">
        <v>438</v>
      </c>
      <c r="G1525" t="str">
        <f>HYPERLINK("https://ca.linkedin.com/jobs/view/senior-data-analyst-at-system1-3324728130?refId=%2F3mJuCUDFT9Pq9LZPSz04g%3D%3D&amp;trackingId=9Bic%2BjK4jWRtEtBGc5JUtw%3D%3D&amp;position=15&amp;pageNum=0&amp;trk=public_jobs_jserp-result_search-card", "Job Link")</f>
        <v>Job Link</v>
      </c>
      <c r="H1525" t="s">
        <v>478</v>
      </c>
      <c r="I1525" t="s">
        <v>481</v>
      </c>
      <c r="J1525" t="s">
        <v>486</v>
      </c>
      <c r="K1525" t="s">
        <v>548</v>
      </c>
      <c r="L1525" t="s">
        <v>587</v>
      </c>
      <c r="M1525" t="s">
        <v>588</v>
      </c>
      <c r="N1525" t="s">
        <v>601</v>
      </c>
    </row>
    <row r="1526" spans="1:14" x14ac:dyDescent="0.25">
      <c r="A1526" t="s">
        <v>48</v>
      </c>
      <c r="B1526" t="s">
        <v>173</v>
      </c>
      <c r="C1526" t="s">
        <v>322</v>
      </c>
      <c r="D1526" t="s">
        <v>425</v>
      </c>
      <c r="F1526" t="s">
        <v>462</v>
      </c>
      <c r="G1526" t="str">
        <f>HYPERLINK("https://ca.linkedin.com/jobs/view/data-analyst-trilogy-remote-%2460-000-year-usd-at-crossover-3367086698?refId=%2F3mJuCUDFT9Pq9LZPSz04g%3D%3D&amp;trackingId=ZbYXw06UH7HgIlFyx9aRMg%3D%3D&amp;position=16&amp;pageNum=0&amp;trk=public_jobs_jserp-result_search-card", "Job Link")</f>
        <v>Job Link</v>
      </c>
      <c r="H1526" t="s">
        <v>477</v>
      </c>
      <c r="I1526" t="s">
        <v>481</v>
      </c>
      <c r="J1526" t="s">
        <v>496</v>
      </c>
      <c r="K1526" t="s">
        <v>549</v>
      </c>
      <c r="L1526" t="s">
        <v>582</v>
      </c>
      <c r="M1526" t="s">
        <v>588</v>
      </c>
      <c r="N1526" t="s">
        <v>601</v>
      </c>
    </row>
    <row r="1527" spans="1:14" x14ac:dyDescent="0.25">
      <c r="A1527" t="s">
        <v>49</v>
      </c>
      <c r="B1527" t="s">
        <v>174</v>
      </c>
      <c r="C1527" t="s">
        <v>323</v>
      </c>
      <c r="D1527" t="s">
        <v>425</v>
      </c>
      <c r="F1527" t="s">
        <v>433</v>
      </c>
      <c r="G1527" t="str">
        <f>HYPERLINK("https://ca.linkedin.com/jobs/view/product-data-analyst-wtfast-at-blankslate-partners-3350561493?refId=%2F3mJuCUDFT9Pq9LZPSz04g%3D%3D&amp;trackingId=YEpruxjpXo%2FGq3o6WGmLew%3D%3D&amp;position=17&amp;pageNum=0&amp;trk=public_jobs_jserp-result_search-card", "Job Link")</f>
        <v>Job Link</v>
      </c>
      <c r="H1527" t="s">
        <v>479</v>
      </c>
      <c r="I1527" t="s">
        <v>481</v>
      </c>
      <c r="J1527" t="s">
        <v>497</v>
      </c>
      <c r="K1527" t="s">
        <v>538</v>
      </c>
      <c r="L1527" t="s">
        <v>603</v>
      </c>
      <c r="M1527" t="s">
        <v>618</v>
      </c>
      <c r="N1527" t="s">
        <v>601</v>
      </c>
    </row>
    <row r="1528" spans="1:14" x14ac:dyDescent="0.25">
      <c r="A1528" t="s">
        <v>50</v>
      </c>
      <c r="B1528" t="s">
        <v>175</v>
      </c>
      <c r="C1528" t="s">
        <v>324</v>
      </c>
      <c r="D1528" t="s">
        <v>425</v>
      </c>
      <c r="F1528" t="s">
        <v>443</v>
      </c>
      <c r="G1528" t="str">
        <f>HYPERLINK("https://ca.linkedin.com/jobs/view/senior-data-analyst-toronto-on-at-ssense-3369567279?refId=%2F3mJuCUDFT9Pq9LZPSz04g%3D%3D&amp;trackingId=eFjTeOGrnGm32Yt6ENU1vQ%3D%3D&amp;position=18&amp;pageNum=0&amp;trk=public_jobs_jserp-result_search-card", "Job Link")</f>
        <v>Job Link</v>
      </c>
      <c r="H1528" t="s">
        <v>478</v>
      </c>
      <c r="I1528" t="s">
        <v>481</v>
      </c>
      <c r="J1528" t="s">
        <v>486</v>
      </c>
      <c r="K1528" t="s">
        <v>550</v>
      </c>
      <c r="L1528" t="s">
        <v>582</v>
      </c>
      <c r="M1528" t="s">
        <v>588</v>
      </c>
      <c r="N1528" t="s">
        <v>601</v>
      </c>
    </row>
    <row r="1529" spans="1:14" x14ac:dyDescent="0.25">
      <c r="A1529" t="s">
        <v>51</v>
      </c>
      <c r="B1529" t="s">
        <v>175</v>
      </c>
      <c r="C1529" t="s">
        <v>325</v>
      </c>
      <c r="D1529" t="s">
        <v>425</v>
      </c>
      <c r="F1529" t="s">
        <v>443</v>
      </c>
      <c r="G1529" t="str">
        <f>HYPERLINK("https://ca.linkedin.com/jobs/view/senior-data-analyst-analytics-insights-toronto-on-at-ssense-3369558722?refId=%2F3mJuCUDFT9Pq9LZPSz04g%3D%3D&amp;trackingId=cVVh86UM5pT84BzeZvZt2A%3D%3D&amp;position=19&amp;pageNum=0&amp;trk=public_jobs_jserp-result_search-card", "Job Link")</f>
        <v>Job Link</v>
      </c>
      <c r="H1529" t="s">
        <v>478</v>
      </c>
      <c r="I1529" t="s">
        <v>481</v>
      </c>
      <c r="J1529" t="s">
        <v>491</v>
      </c>
      <c r="K1529" t="s">
        <v>550</v>
      </c>
      <c r="L1529" t="s">
        <v>582</v>
      </c>
      <c r="M1529" t="s">
        <v>588</v>
      </c>
      <c r="N1529" t="s">
        <v>601</v>
      </c>
    </row>
    <row r="1530" spans="1:14" x14ac:dyDescent="0.25">
      <c r="A1530" t="s">
        <v>51</v>
      </c>
      <c r="B1530" t="s">
        <v>175</v>
      </c>
      <c r="C1530" t="s">
        <v>325</v>
      </c>
      <c r="D1530" t="s">
        <v>425</v>
      </c>
      <c r="F1530" t="s">
        <v>443</v>
      </c>
      <c r="G1530" t="str">
        <f>HYPERLINK("https://ca.linkedin.com/jobs/view/senior-data-analyst-analytics-insights-toronto-on-at-ssense-3369560180?refId=%2F3mJuCUDFT9Pq9LZPSz04g%3D%3D&amp;trackingId=CQEQMA1GLbPtYwcjYYXF9w%3D%3D&amp;position=20&amp;pageNum=0&amp;trk=public_jobs_jserp-result_search-card", "Job Link")</f>
        <v>Job Link</v>
      </c>
      <c r="H1530" t="s">
        <v>478</v>
      </c>
      <c r="I1530" t="s">
        <v>481</v>
      </c>
      <c r="J1530" t="s">
        <v>491</v>
      </c>
      <c r="K1530" t="s">
        <v>550</v>
      </c>
      <c r="L1530" t="s">
        <v>582</v>
      </c>
      <c r="M1530" t="s">
        <v>588</v>
      </c>
      <c r="N1530" t="s">
        <v>601</v>
      </c>
    </row>
    <row r="1531" spans="1:14" x14ac:dyDescent="0.25">
      <c r="A1531" t="s">
        <v>27</v>
      </c>
      <c r="B1531" t="s">
        <v>176</v>
      </c>
      <c r="C1531" t="s">
        <v>326</v>
      </c>
      <c r="D1531" t="s">
        <v>425</v>
      </c>
      <c r="F1531" t="s">
        <v>441</v>
      </c>
      <c r="G1531" t="str">
        <f>HYPERLINK("https://ca.linkedin.com/jobs/view/sr-data-analyst-at-telus-international-digital-solutions-3331944226?refId=%2F3mJuCUDFT9Pq9LZPSz04g%3D%3D&amp;trackingId=xIhc1b6GDq4NGVXuHMMGeA%3D%3D&amp;position=21&amp;pageNum=0&amp;trk=public_jobs_jserp-result_search-card", "Job Link")</f>
        <v>Job Link</v>
      </c>
      <c r="H1531" t="s">
        <v>478</v>
      </c>
      <c r="I1531" t="s">
        <v>481</v>
      </c>
      <c r="J1531" t="s">
        <v>498</v>
      </c>
      <c r="K1531" t="s">
        <v>521</v>
      </c>
      <c r="L1531" t="s">
        <v>604</v>
      </c>
      <c r="M1531" t="s">
        <v>618</v>
      </c>
      <c r="N1531" t="s">
        <v>601</v>
      </c>
    </row>
    <row r="1532" spans="1:14" x14ac:dyDescent="0.25">
      <c r="A1532" t="s">
        <v>20</v>
      </c>
      <c r="B1532" t="s">
        <v>175</v>
      </c>
      <c r="C1532" t="s">
        <v>324</v>
      </c>
      <c r="D1532" t="s">
        <v>425</v>
      </c>
      <c r="F1532" t="s">
        <v>446</v>
      </c>
      <c r="G1532" t="str">
        <f>HYPERLINK("https://ca.linkedin.com/jobs/view/senior-data-analyst-at-ssense-3342165774?refId=%2F3mJuCUDFT9Pq9LZPSz04g%3D%3D&amp;trackingId=LL%2BcYQC8Tj66pZ0VxEg3tw%3D%3D&amp;position=22&amp;pageNum=0&amp;trk=public_jobs_jserp-result_search-card", "Job Link")</f>
        <v>Job Link</v>
      </c>
      <c r="H1532" t="s">
        <v>478</v>
      </c>
      <c r="I1532" t="s">
        <v>481</v>
      </c>
      <c r="J1532" t="s">
        <v>486</v>
      </c>
      <c r="K1532" t="s">
        <v>550</v>
      </c>
      <c r="L1532" t="s">
        <v>605</v>
      </c>
      <c r="M1532" t="s">
        <v>617</v>
      </c>
      <c r="N1532" t="s">
        <v>601</v>
      </c>
    </row>
    <row r="1533" spans="1:14" x14ac:dyDescent="0.25">
      <c r="A1533" t="s">
        <v>14</v>
      </c>
      <c r="B1533" t="s">
        <v>158</v>
      </c>
      <c r="C1533" t="s">
        <v>307</v>
      </c>
      <c r="D1533" t="s">
        <v>425</v>
      </c>
      <c r="F1533" t="s">
        <v>430</v>
      </c>
      <c r="G1533" t="str">
        <f>HYPERLINK("https://ca.linkedin.com/jobs/view/data-analyst-at-empire-life-3324608289?refId=w59MZHAdWKQ%2F%2Bj8UOw4%2B3w%3D%3D&amp;trackingId=h7wiw7LPrrVASaSL6zT4Wg%3D%3D&amp;position=1&amp;pageNum=0&amp;trk=public_jobs_jserp-result_search-card", "Job Link")</f>
        <v>Job Link</v>
      </c>
      <c r="H1533" t="s">
        <v>476</v>
      </c>
      <c r="I1533" t="s">
        <v>481</v>
      </c>
      <c r="J1533" t="s">
        <v>485</v>
      </c>
      <c r="K1533" t="s">
        <v>523</v>
      </c>
      <c r="L1533" t="s">
        <v>601</v>
      </c>
    </row>
    <row r="1534" spans="1:14" x14ac:dyDescent="0.25">
      <c r="A1534" t="s">
        <v>40</v>
      </c>
      <c r="B1534" t="s">
        <v>159</v>
      </c>
      <c r="C1534" t="s">
        <v>308</v>
      </c>
      <c r="D1534" t="s">
        <v>425</v>
      </c>
      <c r="F1534" t="s">
        <v>435</v>
      </c>
      <c r="G1534" t="str">
        <f>HYPERLINK("https://ca.linkedin.com/jobs/view/data-visualization-developer-analyst-at-blue-boat-data-3335318133?refId=w59MZHAdWKQ%2F%2Bj8UOw4%2B3w%3D%3D&amp;trackingId=GFqz9xPSYxdD3dN3owwHyQ%3D%3D&amp;position=2&amp;pageNum=0&amp;trk=public_jobs_jserp-result_search-card", "Job Link")</f>
        <v>Job Link</v>
      </c>
      <c r="I1534" t="s">
        <v>483</v>
      </c>
      <c r="L1534" t="s">
        <v>601</v>
      </c>
    </row>
    <row r="1535" spans="1:14" x14ac:dyDescent="0.25">
      <c r="A1535" t="s">
        <v>14</v>
      </c>
      <c r="B1535" t="s">
        <v>160</v>
      </c>
      <c r="C1535" t="s">
        <v>309</v>
      </c>
      <c r="D1535" t="s">
        <v>425</v>
      </c>
      <c r="E1535" t="s">
        <v>427</v>
      </c>
      <c r="F1535" t="s">
        <v>458</v>
      </c>
      <c r="G1535" t="str">
        <f>HYPERLINK("https://ca.linkedin.com/jobs/view/data-analyst-at-libitzky-property-companies-3314494593?refId=w59MZHAdWKQ%2F%2Bj8UOw4%2B3w%3D%3D&amp;trackingId=CqxGXRK5oXgIYNaTVl0PxQ%3D%3D&amp;position=3&amp;pageNum=0&amp;trk=public_jobs_jserp-result_search-card", "Job Link")</f>
        <v>Job Link</v>
      </c>
      <c r="H1535" t="s">
        <v>476</v>
      </c>
      <c r="I1535" t="s">
        <v>481</v>
      </c>
      <c r="J1535" t="s">
        <v>486</v>
      </c>
      <c r="K1535" t="s">
        <v>516</v>
      </c>
      <c r="L1535" t="s">
        <v>601</v>
      </c>
    </row>
    <row r="1536" spans="1:14" x14ac:dyDescent="0.25">
      <c r="A1536" t="s">
        <v>14</v>
      </c>
      <c r="B1536" t="s">
        <v>161</v>
      </c>
      <c r="C1536" t="s">
        <v>310</v>
      </c>
      <c r="D1536" t="s">
        <v>425</v>
      </c>
      <c r="F1536" t="s">
        <v>435</v>
      </c>
      <c r="G1536" t="str">
        <f>HYPERLINK("https://ca.linkedin.com/jobs/view/data-analyst-at-spire-3340696458?refId=w59MZHAdWKQ%2F%2Bj8UOw4%2B3w%3D%3D&amp;trackingId=pzy9jo3S7PswNIPUfFo%2Bzw%3D%3D&amp;position=4&amp;pageNum=0&amp;trk=public_jobs_jserp-result_search-card", "Job Link")</f>
        <v>Job Link</v>
      </c>
      <c r="H1536" t="s">
        <v>476</v>
      </c>
      <c r="I1536" t="s">
        <v>481</v>
      </c>
      <c r="J1536" t="s">
        <v>486</v>
      </c>
      <c r="K1536" t="s">
        <v>517</v>
      </c>
      <c r="L1536" t="s">
        <v>602</v>
      </c>
      <c r="M1536" t="s">
        <v>588</v>
      </c>
      <c r="N1536" t="s">
        <v>601</v>
      </c>
    </row>
    <row r="1537" spans="1:14" x14ac:dyDescent="0.25">
      <c r="A1537" t="s">
        <v>14</v>
      </c>
      <c r="B1537" t="s">
        <v>163</v>
      </c>
      <c r="C1537" t="s">
        <v>312</v>
      </c>
      <c r="D1537" t="s">
        <v>425</v>
      </c>
      <c r="F1537" t="s">
        <v>443</v>
      </c>
      <c r="G1537" t="str">
        <f>HYPERLINK("https://ca.linkedin.com/jobs/view/data-analyst-at-mojio-3363472062?refId=w59MZHAdWKQ%2F%2Bj8UOw4%2B3w%3D%3D&amp;trackingId=FZ9q00oQ7A85dJqIeo1how%3D%3D&amp;position=5&amp;pageNum=0&amp;trk=public_jobs_jserp-result_search-card", "Job Link")</f>
        <v>Job Link</v>
      </c>
      <c r="H1537" t="s">
        <v>478</v>
      </c>
      <c r="I1537" t="s">
        <v>481</v>
      </c>
      <c r="J1537" t="s">
        <v>493</v>
      </c>
      <c r="K1537" t="s">
        <v>544</v>
      </c>
      <c r="L1537" t="s">
        <v>601</v>
      </c>
    </row>
    <row r="1538" spans="1:14" x14ac:dyDescent="0.25">
      <c r="A1538" t="s">
        <v>41</v>
      </c>
      <c r="B1538" t="s">
        <v>164</v>
      </c>
      <c r="C1538" t="s">
        <v>313</v>
      </c>
      <c r="D1538" t="s">
        <v>425</v>
      </c>
      <c r="F1538" t="s">
        <v>444</v>
      </c>
      <c r="G1538" t="str">
        <f>HYPERLINK("https://ca.linkedin.com/jobs/view/product-data-analyst-at-pdftron-systems-inc-3322845144?refId=w59MZHAdWKQ%2F%2Bj8UOw4%2B3w%3D%3D&amp;trackingId=FjOC8CPV7KQa2uQhqHJJAQ%3D%3D&amp;position=6&amp;pageNum=0&amp;trk=public_jobs_jserp-result_search-card", "Job Link")</f>
        <v>Job Link</v>
      </c>
      <c r="H1538" t="s">
        <v>479</v>
      </c>
      <c r="I1538" t="s">
        <v>481</v>
      </c>
      <c r="J1538" t="s">
        <v>487</v>
      </c>
      <c r="K1538" t="s">
        <v>538</v>
      </c>
      <c r="L1538" t="s">
        <v>590</v>
      </c>
      <c r="M1538" t="s">
        <v>618</v>
      </c>
      <c r="N1538" t="s">
        <v>601</v>
      </c>
    </row>
    <row r="1539" spans="1:14" x14ac:dyDescent="0.25">
      <c r="A1539" t="s">
        <v>42</v>
      </c>
      <c r="B1539" t="s">
        <v>165</v>
      </c>
      <c r="C1539" t="s">
        <v>314</v>
      </c>
      <c r="D1539" t="s">
        <v>425</v>
      </c>
      <c r="F1539" t="s">
        <v>459</v>
      </c>
      <c r="G1539" t="str">
        <f>HYPERLINK("https://ca.linkedin.com/jobs/view/cognitive-data-analyst-at-wysdom-ai-3333087497?refId=w59MZHAdWKQ%2F%2Bj8UOw4%2B3w%3D%3D&amp;trackingId=m1dn%2FpaeC8S%2FGMH4p8UJjA%3D%3D&amp;position=7&amp;pageNum=0&amp;trk=public_jobs_jserp-result_search-card", "Job Link")</f>
        <v>Job Link</v>
      </c>
      <c r="H1539" t="s">
        <v>478</v>
      </c>
      <c r="I1539" t="s">
        <v>481</v>
      </c>
      <c r="J1539" t="s">
        <v>486</v>
      </c>
      <c r="K1539" t="s">
        <v>516</v>
      </c>
      <c r="L1539" t="s">
        <v>601</v>
      </c>
    </row>
    <row r="1540" spans="1:14" x14ac:dyDescent="0.25">
      <c r="A1540" t="s">
        <v>14</v>
      </c>
      <c r="B1540" t="s">
        <v>162</v>
      </c>
      <c r="C1540" t="s">
        <v>311</v>
      </c>
      <c r="D1540" t="s">
        <v>425</v>
      </c>
      <c r="F1540" t="s">
        <v>434</v>
      </c>
      <c r="G1540" t="str">
        <f>HYPERLINK("https://ca.linkedin.com/jobs/view/data-analyst-at-money-mart-financial-services-3361528052?refId=w59MZHAdWKQ%2F%2Bj8UOw4%2B3w%3D%3D&amp;trackingId=%2FynSQYJwDpusz%2BK44zB1Yw%3D%3D&amp;position=8&amp;pageNum=0&amp;trk=public_jobs_jserp-result_search-card", "Job Link")</f>
        <v>Job Link</v>
      </c>
      <c r="H1540" t="s">
        <v>477</v>
      </c>
      <c r="I1540" t="s">
        <v>481</v>
      </c>
      <c r="J1540" t="s">
        <v>488</v>
      </c>
      <c r="K1540" t="s">
        <v>527</v>
      </c>
      <c r="L1540" t="s">
        <v>582</v>
      </c>
      <c r="M1540" t="s">
        <v>588</v>
      </c>
      <c r="N1540" t="s">
        <v>601</v>
      </c>
    </row>
    <row r="1541" spans="1:14" x14ac:dyDescent="0.25">
      <c r="A1541" t="s">
        <v>44</v>
      </c>
      <c r="B1541" t="s">
        <v>167</v>
      </c>
      <c r="C1541" t="s">
        <v>316</v>
      </c>
      <c r="D1541" t="s">
        <v>425</v>
      </c>
      <c r="F1541" t="s">
        <v>460</v>
      </c>
      <c r="G1541" t="str">
        <f>HYPERLINK("https://ca.linkedin.com/jobs/view/data-analyst-marketing-at-thescore-3272474942?refId=w59MZHAdWKQ%2F%2Bj8UOw4%2B3w%3D%3D&amp;trackingId=Eby9v1zdFmucfR14%2BaEDhg%3D%3D&amp;position=9&amp;pageNum=0&amp;trk=public_jobs_jserp-result_search-card", "Job Link")</f>
        <v>Job Link</v>
      </c>
      <c r="H1541" t="s">
        <v>476</v>
      </c>
      <c r="I1541" t="s">
        <v>481</v>
      </c>
      <c r="J1541" t="s">
        <v>486</v>
      </c>
      <c r="K1541" t="s">
        <v>545</v>
      </c>
      <c r="L1541" t="s">
        <v>582</v>
      </c>
      <c r="M1541" t="s">
        <v>588</v>
      </c>
      <c r="N1541" t="s">
        <v>601</v>
      </c>
    </row>
    <row r="1542" spans="1:14" x14ac:dyDescent="0.25">
      <c r="A1542" t="s">
        <v>45</v>
      </c>
      <c r="B1542" t="s">
        <v>168</v>
      </c>
      <c r="C1542" t="s">
        <v>317</v>
      </c>
      <c r="D1542" t="s">
        <v>425</v>
      </c>
      <c r="F1542" t="s">
        <v>443</v>
      </c>
      <c r="G1542" t="str">
        <f>HYPERLINK("https://ca.linkedin.com/jobs/view/senior-data-analyst-apac-marketplace-at-hopper-3363404929?refId=w59MZHAdWKQ%2F%2Bj8UOw4%2B3w%3D%3D&amp;trackingId=cMDdYUF%2BM%2Bwyzao6YCL3ZA%3D%3D&amp;position=10&amp;pageNum=0&amp;trk=public_jobs_jserp-result_search-card", "Job Link")</f>
        <v>Job Link</v>
      </c>
      <c r="H1542" t="s">
        <v>478</v>
      </c>
      <c r="I1542" t="s">
        <v>485</v>
      </c>
      <c r="J1542" t="s">
        <v>486</v>
      </c>
      <c r="K1542" t="s">
        <v>538</v>
      </c>
      <c r="L1542" t="s">
        <v>601</v>
      </c>
    </row>
    <row r="1543" spans="1:14" x14ac:dyDescent="0.25">
      <c r="A1543" t="s">
        <v>46</v>
      </c>
      <c r="B1543" t="s">
        <v>169</v>
      </c>
      <c r="C1543" t="s">
        <v>318</v>
      </c>
      <c r="D1543" t="s">
        <v>425</v>
      </c>
      <c r="F1543" t="s">
        <v>461</v>
      </c>
      <c r="G1543">
        <v>0</v>
      </c>
      <c r="H1543" t="s">
        <v>478</v>
      </c>
      <c r="I1543" t="s">
        <v>481</v>
      </c>
      <c r="J1543" t="s">
        <v>494</v>
      </c>
      <c r="K1543" t="s">
        <v>546</v>
      </c>
      <c r="L1543" t="s">
        <v>601</v>
      </c>
    </row>
    <row r="1544" spans="1:14" x14ac:dyDescent="0.25">
      <c r="A1544" t="s">
        <v>20</v>
      </c>
      <c r="B1544" t="s">
        <v>170</v>
      </c>
      <c r="C1544" t="s">
        <v>319</v>
      </c>
      <c r="D1544" t="s">
        <v>425</v>
      </c>
      <c r="F1544" t="s">
        <v>450</v>
      </c>
      <c r="G1544" t="str">
        <f>HYPERLINK("https://ca.linkedin.com/jobs/view/senior-data-analyst-at-thinkific-3333572538?refId=w59MZHAdWKQ%2F%2Bj8UOw4%2B3w%3D%3D&amp;trackingId=5ZC365GBgNhq3FS0xOkKuw%3D%3D&amp;position=12&amp;pageNum=0&amp;trk=public_jobs_jserp-result_search-card", "Job Link")</f>
        <v>Job Link</v>
      </c>
      <c r="H1544" t="s">
        <v>478</v>
      </c>
      <c r="I1544" t="s">
        <v>481</v>
      </c>
      <c r="J1544" t="s">
        <v>495</v>
      </c>
      <c r="K1544" t="s">
        <v>547</v>
      </c>
      <c r="L1544" t="s">
        <v>601</v>
      </c>
    </row>
    <row r="1545" spans="1:14" x14ac:dyDescent="0.25">
      <c r="A1545" t="s">
        <v>47</v>
      </c>
      <c r="B1545" t="s">
        <v>171</v>
      </c>
      <c r="C1545" t="s">
        <v>320</v>
      </c>
      <c r="D1545" t="s">
        <v>425</v>
      </c>
      <c r="F1545" t="s">
        <v>447</v>
      </c>
      <c r="G1545" t="str">
        <f>HYPERLINK("https://ca.linkedin.com/jobs/view/insights-analyst-at-flashfood-3312876343?refId=w59MZHAdWKQ%2F%2Bj8UOw4%2B3w%3D%3D&amp;trackingId=uXZToguZLEhjio9x86%2FwbA%3D%3D&amp;position=13&amp;pageNum=0&amp;trk=public_jobs_jserp-result_search-card", "Job Link")</f>
        <v>Job Link</v>
      </c>
      <c r="I1545" t="s">
        <v>481</v>
      </c>
      <c r="L1545" t="s">
        <v>601</v>
      </c>
    </row>
    <row r="1546" spans="1:14" x14ac:dyDescent="0.25">
      <c r="A1546" t="s">
        <v>20</v>
      </c>
      <c r="B1546" t="s">
        <v>172</v>
      </c>
      <c r="C1546" t="s">
        <v>321</v>
      </c>
      <c r="D1546" t="s">
        <v>425</v>
      </c>
      <c r="F1546" t="s">
        <v>438</v>
      </c>
      <c r="G1546" t="str">
        <f>HYPERLINK("https://ca.linkedin.com/jobs/view/senior-data-analyst-at-system1-3324728130?refId=w59MZHAdWKQ%2F%2Bj8UOw4%2B3w%3D%3D&amp;trackingId=ZM5drCdcvl2LihvPlv2vTA%3D%3D&amp;position=14&amp;pageNum=0&amp;trk=public_jobs_jserp-result_search-card", "Job Link")</f>
        <v>Job Link</v>
      </c>
      <c r="H1546" t="s">
        <v>478</v>
      </c>
      <c r="I1546" t="s">
        <v>481</v>
      </c>
      <c r="J1546" t="s">
        <v>486</v>
      </c>
      <c r="K1546" t="s">
        <v>548</v>
      </c>
      <c r="L1546" t="s">
        <v>587</v>
      </c>
      <c r="M1546" t="s">
        <v>588</v>
      </c>
      <c r="N1546" t="s">
        <v>601</v>
      </c>
    </row>
    <row r="1547" spans="1:14" x14ac:dyDescent="0.25">
      <c r="A1547" t="s">
        <v>48</v>
      </c>
      <c r="B1547" t="s">
        <v>173</v>
      </c>
      <c r="C1547" t="s">
        <v>322</v>
      </c>
      <c r="D1547" t="s">
        <v>425</v>
      </c>
      <c r="F1547" t="s">
        <v>462</v>
      </c>
      <c r="G1547" t="str">
        <f>HYPERLINK("https://ca.linkedin.com/jobs/view/data-analyst-trilogy-remote-%2460-000-year-usd-at-crossover-3367086698?refId=w59MZHAdWKQ%2F%2Bj8UOw4%2B3w%3D%3D&amp;trackingId=Y%2BWFJx1Yt79BYagP3P9Yuw%3D%3D&amp;position=15&amp;pageNum=0&amp;trk=public_jobs_jserp-result_search-card", "Job Link")</f>
        <v>Job Link</v>
      </c>
      <c r="H1547" t="s">
        <v>477</v>
      </c>
      <c r="I1547" t="s">
        <v>481</v>
      </c>
      <c r="J1547" t="s">
        <v>496</v>
      </c>
      <c r="K1547" t="s">
        <v>549</v>
      </c>
      <c r="L1547" t="s">
        <v>582</v>
      </c>
      <c r="M1547" t="s">
        <v>588</v>
      </c>
      <c r="N1547" t="s">
        <v>601</v>
      </c>
    </row>
    <row r="1548" spans="1:14" x14ac:dyDescent="0.25">
      <c r="A1548" t="s">
        <v>49</v>
      </c>
      <c r="B1548" t="s">
        <v>174</v>
      </c>
      <c r="C1548" t="s">
        <v>323</v>
      </c>
      <c r="D1548" t="s">
        <v>425</v>
      </c>
      <c r="F1548" t="s">
        <v>433</v>
      </c>
      <c r="G1548" t="str">
        <f>HYPERLINK("https://ca.linkedin.com/jobs/view/product-data-analyst-wtfast-at-blankslate-partners-3350561493?refId=w59MZHAdWKQ%2F%2Bj8UOw4%2B3w%3D%3D&amp;trackingId=c0Ispz0%2BbUsM2sb%2B0Lbhag%3D%3D&amp;position=16&amp;pageNum=0&amp;trk=public_jobs_jserp-result_search-card", "Job Link")</f>
        <v>Job Link</v>
      </c>
      <c r="H1548" t="s">
        <v>479</v>
      </c>
      <c r="I1548" t="s">
        <v>481</v>
      </c>
      <c r="J1548" t="s">
        <v>497</v>
      </c>
      <c r="K1548" t="s">
        <v>538</v>
      </c>
      <c r="L1548" t="s">
        <v>603</v>
      </c>
      <c r="M1548" t="s">
        <v>618</v>
      </c>
      <c r="N1548" t="s">
        <v>601</v>
      </c>
    </row>
    <row r="1549" spans="1:14" x14ac:dyDescent="0.25">
      <c r="A1549" t="s">
        <v>50</v>
      </c>
      <c r="B1549" t="s">
        <v>175</v>
      </c>
      <c r="C1549" t="s">
        <v>324</v>
      </c>
      <c r="D1549" t="s">
        <v>425</v>
      </c>
      <c r="F1549" t="s">
        <v>443</v>
      </c>
      <c r="G1549" t="str">
        <f>HYPERLINK("https://ca.linkedin.com/jobs/view/senior-data-analyst-toronto-on-at-ssense-3369567279?refId=w59MZHAdWKQ%2F%2Bj8UOw4%2B3w%3D%3D&amp;trackingId=4x35AgsSupE3NgDMUSQQTg%3D%3D&amp;position=17&amp;pageNum=0&amp;trk=public_jobs_jserp-result_search-card", "Job Link")</f>
        <v>Job Link</v>
      </c>
      <c r="H1549" t="s">
        <v>478</v>
      </c>
      <c r="I1549" t="s">
        <v>481</v>
      </c>
      <c r="J1549" t="s">
        <v>486</v>
      </c>
      <c r="K1549" t="s">
        <v>550</v>
      </c>
      <c r="L1549" t="s">
        <v>582</v>
      </c>
      <c r="M1549" t="s">
        <v>588</v>
      </c>
      <c r="N1549" t="s">
        <v>601</v>
      </c>
    </row>
    <row r="1550" spans="1:14" x14ac:dyDescent="0.25">
      <c r="A1550" t="s">
        <v>51</v>
      </c>
      <c r="B1550" t="s">
        <v>175</v>
      </c>
      <c r="C1550" t="s">
        <v>325</v>
      </c>
      <c r="D1550" t="s">
        <v>425</v>
      </c>
      <c r="F1550" t="s">
        <v>443</v>
      </c>
      <c r="G1550" t="str">
        <f>HYPERLINK("https://ca.linkedin.com/jobs/view/senior-data-analyst-analytics-insights-toronto-on-at-ssense-3369558722?refId=w59MZHAdWKQ%2F%2Bj8UOw4%2B3w%3D%3D&amp;trackingId=zI1uYjXOYoB032ZUNpVm8A%3D%3D&amp;position=18&amp;pageNum=0&amp;trk=public_jobs_jserp-result_search-card", "Job Link")</f>
        <v>Job Link</v>
      </c>
      <c r="H1550" t="s">
        <v>478</v>
      </c>
      <c r="I1550" t="s">
        <v>481</v>
      </c>
      <c r="J1550" t="s">
        <v>491</v>
      </c>
      <c r="K1550" t="s">
        <v>550</v>
      </c>
      <c r="L1550" t="s">
        <v>582</v>
      </c>
      <c r="M1550" t="s">
        <v>588</v>
      </c>
      <c r="N1550" t="s">
        <v>601</v>
      </c>
    </row>
    <row r="1551" spans="1:14" x14ac:dyDescent="0.25">
      <c r="A1551" t="s">
        <v>51</v>
      </c>
      <c r="B1551" t="s">
        <v>175</v>
      </c>
      <c r="C1551" t="s">
        <v>325</v>
      </c>
      <c r="D1551" t="s">
        <v>425</v>
      </c>
      <c r="F1551" t="s">
        <v>443</v>
      </c>
      <c r="G1551" t="str">
        <f>HYPERLINK("https://ca.linkedin.com/jobs/view/senior-data-analyst-analytics-insights-toronto-on-at-ssense-3369560180?refId=w59MZHAdWKQ%2F%2Bj8UOw4%2B3w%3D%3D&amp;trackingId=0eVZdRod2rS6scX%2FTHlNEg%3D%3D&amp;position=19&amp;pageNum=0&amp;trk=public_jobs_jserp-result_search-card", "Job Link")</f>
        <v>Job Link</v>
      </c>
      <c r="H1551" t="s">
        <v>478</v>
      </c>
      <c r="I1551" t="s">
        <v>481</v>
      </c>
      <c r="J1551" t="s">
        <v>491</v>
      </c>
      <c r="K1551" t="s">
        <v>550</v>
      </c>
      <c r="L1551" t="s">
        <v>582</v>
      </c>
      <c r="M1551" t="s">
        <v>588</v>
      </c>
      <c r="N1551" t="s">
        <v>601</v>
      </c>
    </row>
    <row r="1552" spans="1:14" x14ac:dyDescent="0.25">
      <c r="A1552" t="s">
        <v>27</v>
      </c>
      <c r="B1552" t="s">
        <v>176</v>
      </c>
      <c r="C1552" t="s">
        <v>326</v>
      </c>
      <c r="D1552" t="s">
        <v>425</v>
      </c>
      <c r="F1552" t="s">
        <v>441</v>
      </c>
      <c r="G1552" t="str">
        <f>HYPERLINK("https://ca.linkedin.com/jobs/view/sr-data-analyst-at-telus-international-digital-solutions-3331944226?refId=w59MZHAdWKQ%2F%2Bj8UOw4%2B3w%3D%3D&amp;trackingId=QKA%2F5eUe4IuXr9sl0e6G%2BA%3D%3D&amp;position=20&amp;pageNum=0&amp;trk=public_jobs_jserp-result_search-card", "Job Link")</f>
        <v>Job Link</v>
      </c>
      <c r="H1552" t="s">
        <v>478</v>
      </c>
      <c r="I1552" t="s">
        <v>481</v>
      </c>
      <c r="J1552" t="s">
        <v>498</v>
      </c>
      <c r="K1552" t="s">
        <v>521</v>
      </c>
      <c r="L1552" t="s">
        <v>604</v>
      </c>
      <c r="M1552" t="s">
        <v>618</v>
      </c>
      <c r="N1552" t="s">
        <v>601</v>
      </c>
    </row>
    <row r="1553" spans="1:14" x14ac:dyDescent="0.25">
      <c r="A1553" t="s">
        <v>20</v>
      </c>
      <c r="B1553" t="s">
        <v>175</v>
      </c>
      <c r="C1553" t="s">
        <v>324</v>
      </c>
      <c r="D1553" t="s">
        <v>425</v>
      </c>
      <c r="F1553" t="s">
        <v>446</v>
      </c>
      <c r="G1553" t="str">
        <f>HYPERLINK("https://ca.linkedin.com/jobs/view/senior-data-analyst-at-ssense-3342165774?refId=w59MZHAdWKQ%2F%2Bj8UOw4%2B3w%3D%3D&amp;trackingId=H1TMumLP5ZNIkNQELB0vWQ%3D%3D&amp;position=21&amp;pageNum=0&amp;trk=public_jobs_jserp-result_search-card", "Job Link")</f>
        <v>Job Link</v>
      </c>
      <c r="H1553" t="s">
        <v>478</v>
      </c>
      <c r="I1553" t="s">
        <v>481</v>
      </c>
      <c r="J1553" t="s">
        <v>486</v>
      </c>
      <c r="K1553" t="s">
        <v>550</v>
      </c>
      <c r="L1553" t="s">
        <v>605</v>
      </c>
      <c r="M1553" t="s">
        <v>617</v>
      </c>
      <c r="N1553" t="s">
        <v>601</v>
      </c>
    </row>
    <row r="1554" spans="1:14" x14ac:dyDescent="0.25">
      <c r="A1554" t="s">
        <v>71</v>
      </c>
      <c r="B1554" t="s">
        <v>195</v>
      </c>
      <c r="C1554" t="s">
        <v>348</v>
      </c>
      <c r="D1554" t="s">
        <v>425</v>
      </c>
      <c r="F1554" t="s">
        <v>440</v>
      </c>
      <c r="G1554">
        <v>0</v>
      </c>
      <c r="H1554" t="s">
        <v>478</v>
      </c>
      <c r="I1554" t="s">
        <v>481</v>
      </c>
      <c r="J1554" t="s">
        <v>504</v>
      </c>
      <c r="K1554" t="s">
        <v>521</v>
      </c>
      <c r="L1554" t="s">
        <v>594</v>
      </c>
      <c r="M1554" t="s">
        <v>588</v>
      </c>
      <c r="N1554" t="s">
        <v>601</v>
      </c>
    </row>
    <row r="1555" spans="1:14" x14ac:dyDescent="0.25">
      <c r="A1555" t="s">
        <v>14</v>
      </c>
      <c r="B1555" t="s">
        <v>158</v>
      </c>
      <c r="C1555" t="s">
        <v>307</v>
      </c>
      <c r="D1555" t="s">
        <v>425</v>
      </c>
      <c r="F1555" t="s">
        <v>430</v>
      </c>
      <c r="G1555" t="str">
        <f>HYPERLINK("https://ca.linkedin.com/jobs/view/data-analyst-at-empire-life-3324608289?refId=plTauIQ%2FlnzdxaMFKjoqrw%3D%3D&amp;trackingId=a3y33pFUnra5KCMRr8aSaQ%3D%3D&amp;position=1&amp;pageNum=0&amp;trk=public_jobs_jserp-result_search-card", "Job Link")</f>
        <v>Job Link</v>
      </c>
      <c r="H1555" t="s">
        <v>476</v>
      </c>
      <c r="I1555" t="s">
        <v>481</v>
      </c>
      <c r="J1555" t="s">
        <v>485</v>
      </c>
      <c r="K1555" t="s">
        <v>523</v>
      </c>
      <c r="L1555" t="s">
        <v>601</v>
      </c>
    </row>
    <row r="1556" spans="1:14" x14ac:dyDescent="0.25">
      <c r="A1556" t="s">
        <v>40</v>
      </c>
      <c r="B1556" t="s">
        <v>159</v>
      </c>
      <c r="C1556" t="s">
        <v>308</v>
      </c>
      <c r="D1556" t="s">
        <v>425</v>
      </c>
      <c r="F1556" t="s">
        <v>435</v>
      </c>
      <c r="G1556" t="str">
        <f>HYPERLINK("https://ca.linkedin.com/jobs/view/data-visualization-developer-analyst-at-blue-boat-data-3335318133?refId=plTauIQ%2FlnzdxaMFKjoqrw%3D%3D&amp;trackingId=papmKfrIXlwQeWTsV1YcSg%3D%3D&amp;position=2&amp;pageNum=0&amp;trk=public_jobs_jserp-result_search-card", "Job Link")</f>
        <v>Job Link</v>
      </c>
      <c r="I1556" t="s">
        <v>483</v>
      </c>
      <c r="L1556" t="s">
        <v>601</v>
      </c>
    </row>
    <row r="1557" spans="1:14" x14ac:dyDescent="0.25">
      <c r="A1557" t="s">
        <v>14</v>
      </c>
      <c r="B1557" t="s">
        <v>160</v>
      </c>
      <c r="C1557" t="s">
        <v>284</v>
      </c>
      <c r="D1557" t="s">
        <v>425</v>
      </c>
      <c r="E1557" t="s">
        <v>427</v>
      </c>
      <c r="F1557" t="s">
        <v>458</v>
      </c>
      <c r="G1557" t="str">
        <f>HYPERLINK("https://ca.linkedin.com/jobs/view/data-analyst-at-libitzky-property-companies-3314494593?refId=plTauIQ%2FlnzdxaMFKjoqrw%3D%3D&amp;trackingId=hW%2BZJS%2FbwaRNaZw5IkYI9A%3D%3D&amp;position=3&amp;pageNum=0&amp;trk=public_jobs_jserp-result_search-card", "Job Link")</f>
        <v>Job Link</v>
      </c>
      <c r="L1557" t="s">
        <v>601</v>
      </c>
    </row>
    <row r="1558" spans="1:14" x14ac:dyDescent="0.25">
      <c r="A1558" t="s">
        <v>14</v>
      </c>
      <c r="B1558" t="s">
        <v>161</v>
      </c>
      <c r="C1558" t="s">
        <v>310</v>
      </c>
      <c r="D1558" t="s">
        <v>425</v>
      </c>
      <c r="F1558" t="s">
        <v>435</v>
      </c>
      <c r="G1558" t="str">
        <f>HYPERLINK("https://ca.linkedin.com/jobs/view/data-analyst-at-spire-3340696458?refId=plTauIQ%2FlnzdxaMFKjoqrw%3D%3D&amp;trackingId=zgq%2FkoffADU4fulSTviTgQ%3D%3D&amp;position=4&amp;pageNum=0&amp;trk=public_jobs_jserp-result_search-card", "Job Link")</f>
        <v>Job Link</v>
      </c>
      <c r="H1558" t="s">
        <v>476</v>
      </c>
      <c r="I1558" t="s">
        <v>481</v>
      </c>
      <c r="J1558" t="s">
        <v>486</v>
      </c>
      <c r="K1558" t="s">
        <v>517</v>
      </c>
      <c r="L1558" t="s">
        <v>602</v>
      </c>
      <c r="M1558" t="s">
        <v>588</v>
      </c>
      <c r="N1558" t="s">
        <v>601</v>
      </c>
    </row>
    <row r="1559" spans="1:14" x14ac:dyDescent="0.25">
      <c r="A1559" t="s">
        <v>14</v>
      </c>
      <c r="B1559" t="s">
        <v>163</v>
      </c>
      <c r="C1559" t="s">
        <v>312</v>
      </c>
      <c r="D1559" t="s">
        <v>425</v>
      </c>
      <c r="F1559" t="s">
        <v>443</v>
      </c>
      <c r="G1559" t="str">
        <f>HYPERLINK("https://ca.linkedin.com/jobs/view/data-analyst-at-mojio-3363472062?refId=plTauIQ%2FlnzdxaMFKjoqrw%3D%3D&amp;trackingId=MQd%2B3nIawyk9sWQcZKUqZA%3D%3D&amp;position=5&amp;pageNum=0&amp;trk=public_jobs_jserp-result_search-card", "Job Link")</f>
        <v>Job Link</v>
      </c>
      <c r="H1559" t="s">
        <v>478</v>
      </c>
      <c r="I1559" t="s">
        <v>481</v>
      </c>
      <c r="J1559" t="s">
        <v>493</v>
      </c>
      <c r="K1559" t="s">
        <v>544</v>
      </c>
      <c r="L1559" t="s">
        <v>601</v>
      </c>
    </row>
    <row r="1560" spans="1:14" x14ac:dyDescent="0.25">
      <c r="A1560" t="s">
        <v>41</v>
      </c>
      <c r="B1560" t="s">
        <v>164</v>
      </c>
      <c r="C1560" t="s">
        <v>313</v>
      </c>
      <c r="D1560" t="s">
        <v>425</v>
      </c>
      <c r="F1560" t="s">
        <v>444</v>
      </c>
      <c r="G1560" t="str">
        <f>HYPERLINK("https://ca.linkedin.com/jobs/view/product-data-analyst-at-pdftron-systems-inc-3322845144?refId=plTauIQ%2FlnzdxaMFKjoqrw%3D%3D&amp;trackingId=pzQfGrLQxk5nKNeR%2F0Fz%2FA%3D%3D&amp;position=6&amp;pageNum=0&amp;trk=public_jobs_jserp-result_search-card", "Job Link")</f>
        <v>Job Link</v>
      </c>
      <c r="H1560" t="s">
        <v>479</v>
      </c>
      <c r="I1560" t="s">
        <v>481</v>
      </c>
      <c r="J1560" t="s">
        <v>487</v>
      </c>
      <c r="K1560" t="s">
        <v>538</v>
      </c>
      <c r="L1560" t="s">
        <v>590</v>
      </c>
      <c r="M1560" t="s">
        <v>618</v>
      </c>
      <c r="N1560" t="s">
        <v>601</v>
      </c>
    </row>
    <row r="1561" spans="1:14" x14ac:dyDescent="0.25">
      <c r="A1561" t="s">
        <v>42</v>
      </c>
      <c r="B1561" t="s">
        <v>165</v>
      </c>
      <c r="C1561" t="s">
        <v>314</v>
      </c>
      <c r="D1561" t="s">
        <v>425</v>
      </c>
      <c r="F1561" t="s">
        <v>459</v>
      </c>
      <c r="G1561" t="str">
        <f>HYPERLINK("https://ca.linkedin.com/jobs/view/cognitive-data-analyst-at-wysdom-ai-3333087497?refId=plTauIQ%2FlnzdxaMFKjoqrw%3D%3D&amp;trackingId=rhAmYR5YBDjqqWUv3WSL%2BA%3D%3D&amp;position=7&amp;pageNum=0&amp;trk=public_jobs_jserp-result_search-card", "Job Link")</f>
        <v>Job Link</v>
      </c>
      <c r="H1561" t="s">
        <v>478</v>
      </c>
      <c r="I1561" t="s">
        <v>481</v>
      </c>
      <c r="J1561" t="s">
        <v>486</v>
      </c>
      <c r="K1561" t="s">
        <v>516</v>
      </c>
      <c r="L1561" t="s">
        <v>601</v>
      </c>
    </row>
    <row r="1562" spans="1:14" x14ac:dyDescent="0.25">
      <c r="A1562" t="s">
        <v>14</v>
      </c>
      <c r="B1562" t="s">
        <v>162</v>
      </c>
      <c r="C1562" t="s">
        <v>311</v>
      </c>
      <c r="D1562" t="s">
        <v>425</v>
      </c>
      <c r="F1562" t="s">
        <v>434</v>
      </c>
      <c r="G1562" t="str">
        <f>HYPERLINK("https://ca.linkedin.com/jobs/view/data-analyst-at-money-mart-financial-services-3361528052?refId=plTauIQ%2FlnzdxaMFKjoqrw%3D%3D&amp;trackingId=qPMXqKp4PJeT1il7uVymqA%3D%3D&amp;position=8&amp;pageNum=0&amp;trk=public_jobs_jserp-result_search-card", "Job Link")</f>
        <v>Job Link</v>
      </c>
      <c r="H1562" t="s">
        <v>477</v>
      </c>
      <c r="I1562" t="s">
        <v>481</v>
      </c>
      <c r="J1562" t="s">
        <v>488</v>
      </c>
      <c r="K1562" t="s">
        <v>527</v>
      </c>
      <c r="L1562" t="s">
        <v>582</v>
      </c>
      <c r="M1562" t="s">
        <v>588</v>
      </c>
      <c r="N1562" t="s">
        <v>601</v>
      </c>
    </row>
    <row r="1563" spans="1:14" x14ac:dyDescent="0.25">
      <c r="A1563" t="s">
        <v>44</v>
      </c>
      <c r="B1563" t="s">
        <v>167</v>
      </c>
      <c r="C1563" t="s">
        <v>316</v>
      </c>
      <c r="D1563" t="s">
        <v>425</v>
      </c>
      <c r="F1563" t="s">
        <v>460</v>
      </c>
      <c r="G1563" t="str">
        <f>HYPERLINK("https://ca.linkedin.com/jobs/view/data-analyst-marketing-at-thescore-3272474942?refId=plTauIQ%2FlnzdxaMFKjoqrw%3D%3D&amp;trackingId=kFdLN0pE1i2APP4AOMZvNg%3D%3D&amp;position=9&amp;pageNum=0&amp;trk=public_jobs_jserp-result_search-card", "Job Link")</f>
        <v>Job Link</v>
      </c>
      <c r="H1563" t="s">
        <v>476</v>
      </c>
      <c r="I1563" t="s">
        <v>481</v>
      </c>
      <c r="J1563" t="s">
        <v>486</v>
      </c>
      <c r="K1563" t="s">
        <v>545</v>
      </c>
      <c r="L1563" t="s">
        <v>582</v>
      </c>
      <c r="M1563" t="s">
        <v>588</v>
      </c>
      <c r="N1563" t="s">
        <v>601</v>
      </c>
    </row>
    <row r="1564" spans="1:14" x14ac:dyDescent="0.25">
      <c r="A1564" t="s">
        <v>45</v>
      </c>
      <c r="B1564" t="s">
        <v>168</v>
      </c>
      <c r="C1564" t="s">
        <v>317</v>
      </c>
      <c r="D1564" t="s">
        <v>425</v>
      </c>
      <c r="F1564" t="s">
        <v>443</v>
      </c>
      <c r="G1564" t="str">
        <f>HYPERLINK("https://ca.linkedin.com/jobs/view/senior-data-analyst-apac-marketplace-at-hopper-3363404929?refId=plTauIQ%2FlnzdxaMFKjoqrw%3D%3D&amp;trackingId=LPpKFSZUkBdidRlYIfZCYg%3D%3D&amp;position=10&amp;pageNum=0&amp;trk=public_jobs_jserp-result_search-card", "Job Link")</f>
        <v>Job Link</v>
      </c>
      <c r="H1564" t="s">
        <v>478</v>
      </c>
      <c r="I1564" t="s">
        <v>485</v>
      </c>
      <c r="J1564" t="s">
        <v>486</v>
      </c>
      <c r="K1564" t="s">
        <v>538</v>
      </c>
      <c r="L1564" t="s">
        <v>601</v>
      </c>
    </row>
    <row r="1565" spans="1:14" x14ac:dyDescent="0.25">
      <c r="A1565" t="s">
        <v>46</v>
      </c>
      <c r="B1565" t="s">
        <v>169</v>
      </c>
      <c r="C1565" t="s">
        <v>318</v>
      </c>
      <c r="D1565" t="s">
        <v>425</v>
      </c>
      <c r="F1565" t="s">
        <v>461</v>
      </c>
      <c r="G1565">
        <v>0</v>
      </c>
      <c r="H1565" t="s">
        <v>478</v>
      </c>
      <c r="I1565" t="s">
        <v>481</v>
      </c>
      <c r="J1565" t="s">
        <v>494</v>
      </c>
      <c r="K1565" t="s">
        <v>546</v>
      </c>
      <c r="L1565" t="s">
        <v>601</v>
      </c>
    </row>
    <row r="1566" spans="1:14" x14ac:dyDescent="0.25">
      <c r="A1566" t="s">
        <v>20</v>
      </c>
      <c r="B1566" t="s">
        <v>170</v>
      </c>
      <c r="C1566" t="s">
        <v>319</v>
      </c>
      <c r="D1566" t="s">
        <v>425</v>
      </c>
      <c r="F1566" t="s">
        <v>450</v>
      </c>
      <c r="G1566" t="str">
        <f>HYPERLINK("https://ca.linkedin.com/jobs/view/senior-data-analyst-at-thinkific-3333572538?refId=plTauIQ%2FlnzdxaMFKjoqrw%3D%3D&amp;trackingId=8tlZPTSGJljbjqgrBIwz4A%3D%3D&amp;position=12&amp;pageNum=0&amp;trk=public_jobs_jserp-result_search-card", "Job Link")</f>
        <v>Job Link</v>
      </c>
      <c r="H1566" t="s">
        <v>478</v>
      </c>
      <c r="I1566" t="s">
        <v>481</v>
      </c>
      <c r="J1566" t="s">
        <v>495</v>
      </c>
      <c r="K1566" t="s">
        <v>547</v>
      </c>
      <c r="L1566" t="s">
        <v>601</v>
      </c>
    </row>
    <row r="1567" spans="1:14" x14ac:dyDescent="0.25">
      <c r="A1567" t="s">
        <v>47</v>
      </c>
      <c r="B1567" t="s">
        <v>171</v>
      </c>
      <c r="C1567" t="s">
        <v>320</v>
      </c>
      <c r="D1567" t="s">
        <v>425</v>
      </c>
      <c r="F1567" t="s">
        <v>447</v>
      </c>
      <c r="G1567" t="str">
        <f>HYPERLINK("https://ca.linkedin.com/jobs/view/insights-analyst-at-flashfood-3312876343?refId=plTauIQ%2FlnzdxaMFKjoqrw%3D%3D&amp;trackingId=H2UNrixEkpIfPhe%2FNgyxNA%3D%3D&amp;position=13&amp;pageNum=0&amp;trk=public_jobs_jserp-result_search-card", "Job Link")</f>
        <v>Job Link</v>
      </c>
      <c r="I1567" t="s">
        <v>481</v>
      </c>
      <c r="L1567" t="s">
        <v>601</v>
      </c>
    </row>
    <row r="1568" spans="1:14" x14ac:dyDescent="0.25">
      <c r="A1568" t="s">
        <v>20</v>
      </c>
      <c r="B1568" t="s">
        <v>172</v>
      </c>
      <c r="C1568" t="s">
        <v>321</v>
      </c>
      <c r="D1568" t="s">
        <v>425</v>
      </c>
      <c r="F1568" t="s">
        <v>438</v>
      </c>
      <c r="G1568" t="str">
        <f>HYPERLINK("https://ca.linkedin.com/jobs/view/senior-data-analyst-at-system1-3324728130?refId=plTauIQ%2FlnzdxaMFKjoqrw%3D%3D&amp;trackingId=LYb619XiFqxxT42UHN5Waw%3D%3D&amp;position=14&amp;pageNum=0&amp;trk=public_jobs_jserp-result_search-card", "Job Link")</f>
        <v>Job Link</v>
      </c>
      <c r="H1568" t="s">
        <v>478</v>
      </c>
      <c r="I1568" t="s">
        <v>481</v>
      </c>
      <c r="J1568" t="s">
        <v>486</v>
      </c>
      <c r="K1568" t="s">
        <v>548</v>
      </c>
      <c r="L1568" t="s">
        <v>587</v>
      </c>
      <c r="M1568" t="s">
        <v>588</v>
      </c>
      <c r="N1568" t="s">
        <v>601</v>
      </c>
    </row>
    <row r="1569" spans="1:14" x14ac:dyDescent="0.25">
      <c r="A1569" t="s">
        <v>48</v>
      </c>
      <c r="B1569" t="s">
        <v>173</v>
      </c>
      <c r="C1569" t="s">
        <v>322</v>
      </c>
      <c r="D1569" t="s">
        <v>425</v>
      </c>
      <c r="F1569" t="s">
        <v>462</v>
      </c>
      <c r="G1569" t="str">
        <f>HYPERLINK("https://ca.linkedin.com/jobs/view/data-analyst-trilogy-remote-%2460-000-year-usd-at-crossover-3367086698?refId=plTauIQ%2FlnzdxaMFKjoqrw%3D%3D&amp;trackingId=kvxd4v9kswz5BoF7YFeaOQ%3D%3D&amp;position=15&amp;pageNum=0&amp;trk=public_jobs_jserp-result_search-card", "Job Link")</f>
        <v>Job Link</v>
      </c>
      <c r="H1569" t="s">
        <v>477</v>
      </c>
      <c r="I1569" t="s">
        <v>481</v>
      </c>
      <c r="J1569" t="s">
        <v>496</v>
      </c>
      <c r="K1569" t="s">
        <v>549</v>
      </c>
      <c r="L1569" t="s">
        <v>582</v>
      </c>
      <c r="M1569" t="s">
        <v>588</v>
      </c>
      <c r="N1569" t="s">
        <v>601</v>
      </c>
    </row>
    <row r="1570" spans="1:14" x14ac:dyDescent="0.25">
      <c r="A1570" t="s">
        <v>49</v>
      </c>
      <c r="B1570" t="s">
        <v>174</v>
      </c>
      <c r="C1570" t="s">
        <v>323</v>
      </c>
      <c r="D1570" t="s">
        <v>425</v>
      </c>
      <c r="F1570" t="s">
        <v>433</v>
      </c>
      <c r="G1570" t="str">
        <f>HYPERLINK("https://ca.linkedin.com/jobs/view/product-data-analyst-wtfast-at-blankslate-partners-3350561493?refId=plTauIQ%2FlnzdxaMFKjoqrw%3D%3D&amp;trackingId=lpi905uyFIU%2B11K%2FgsYNOA%3D%3D&amp;position=16&amp;pageNum=0&amp;trk=public_jobs_jserp-result_search-card", "Job Link")</f>
        <v>Job Link</v>
      </c>
      <c r="H1570" t="s">
        <v>479</v>
      </c>
      <c r="I1570" t="s">
        <v>481</v>
      </c>
      <c r="J1570" t="s">
        <v>497</v>
      </c>
      <c r="K1570" t="s">
        <v>538</v>
      </c>
      <c r="L1570" t="s">
        <v>603</v>
      </c>
      <c r="M1570" t="s">
        <v>618</v>
      </c>
      <c r="N1570" t="s">
        <v>601</v>
      </c>
    </row>
    <row r="1571" spans="1:14" x14ac:dyDescent="0.25">
      <c r="A1571" t="s">
        <v>50</v>
      </c>
      <c r="B1571" t="s">
        <v>175</v>
      </c>
      <c r="C1571" t="s">
        <v>324</v>
      </c>
      <c r="D1571" t="s">
        <v>425</v>
      </c>
      <c r="F1571" t="s">
        <v>443</v>
      </c>
      <c r="G1571" t="str">
        <f>HYPERLINK("https://ca.linkedin.com/jobs/view/senior-data-analyst-toronto-on-at-ssense-3369567279?refId=plTauIQ%2FlnzdxaMFKjoqrw%3D%3D&amp;trackingId=lobTy%2BH1ZTt6l8BmFsFXlA%3D%3D&amp;position=17&amp;pageNum=0&amp;trk=public_jobs_jserp-result_search-card", "Job Link")</f>
        <v>Job Link</v>
      </c>
      <c r="H1571" t="s">
        <v>478</v>
      </c>
      <c r="I1571" t="s">
        <v>481</v>
      </c>
      <c r="J1571" t="s">
        <v>486</v>
      </c>
      <c r="K1571" t="s">
        <v>550</v>
      </c>
      <c r="L1571" t="s">
        <v>582</v>
      </c>
      <c r="M1571" t="s">
        <v>588</v>
      </c>
      <c r="N1571" t="s">
        <v>601</v>
      </c>
    </row>
    <row r="1572" spans="1:14" x14ac:dyDescent="0.25">
      <c r="A1572" t="s">
        <v>51</v>
      </c>
      <c r="B1572" t="s">
        <v>175</v>
      </c>
      <c r="C1572" t="s">
        <v>325</v>
      </c>
      <c r="D1572" t="s">
        <v>425</v>
      </c>
      <c r="F1572" t="s">
        <v>443</v>
      </c>
      <c r="G1572" t="str">
        <f>HYPERLINK("https://ca.linkedin.com/jobs/view/senior-data-analyst-analytics-insights-toronto-on-at-ssense-3369558722?refId=plTauIQ%2FlnzdxaMFKjoqrw%3D%3D&amp;trackingId=wW4lVr9bKzDun5j7ByTEsQ%3D%3D&amp;position=18&amp;pageNum=0&amp;trk=public_jobs_jserp-result_search-card", "Job Link")</f>
        <v>Job Link</v>
      </c>
      <c r="H1572" t="s">
        <v>478</v>
      </c>
      <c r="I1572" t="s">
        <v>481</v>
      </c>
      <c r="J1572" t="s">
        <v>491</v>
      </c>
      <c r="K1572" t="s">
        <v>550</v>
      </c>
      <c r="L1572" t="s">
        <v>582</v>
      </c>
      <c r="M1572" t="s">
        <v>588</v>
      </c>
      <c r="N1572" t="s">
        <v>601</v>
      </c>
    </row>
    <row r="1573" spans="1:14" x14ac:dyDescent="0.25">
      <c r="A1573" t="s">
        <v>51</v>
      </c>
      <c r="B1573" t="s">
        <v>175</v>
      </c>
      <c r="C1573" t="s">
        <v>325</v>
      </c>
      <c r="D1573" t="s">
        <v>425</v>
      </c>
      <c r="F1573" t="s">
        <v>443</v>
      </c>
      <c r="G1573" t="str">
        <f>HYPERLINK("https://ca.linkedin.com/jobs/view/senior-data-analyst-analytics-insights-toronto-on-at-ssense-3369560180?refId=plTauIQ%2FlnzdxaMFKjoqrw%3D%3D&amp;trackingId=0gAT2pGtee4efpA7dnbHHQ%3D%3D&amp;position=19&amp;pageNum=0&amp;trk=public_jobs_jserp-result_search-card", "Job Link")</f>
        <v>Job Link</v>
      </c>
      <c r="H1573" t="s">
        <v>478</v>
      </c>
      <c r="I1573" t="s">
        <v>481</v>
      </c>
      <c r="J1573" t="s">
        <v>491</v>
      </c>
      <c r="K1573" t="s">
        <v>550</v>
      </c>
      <c r="L1573" t="s">
        <v>582</v>
      </c>
      <c r="M1573" t="s">
        <v>588</v>
      </c>
      <c r="N1573" t="s">
        <v>601</v>
      </c>
    </row>
    <row r="1574" spans="1:14" x14ac:dyDescent="0.25">
      <c r="A1574" t="s">
        <v>27</v>
      </c>
      <c r="B1574" t="s">
        <v>176</v>
      </c>
      <c r="C1574" t="s">
        <v>326</v>
      </c>
      <c r="D1574" t="s">
        <v>425</v>
      </c>
      <c r="F1574" t="s">
        <v>441</v>
      </c>
      <c r="G1574" t="str">
        <f>HYPERLINK("https://ca.linkedin.com/jobs/view/sr-data-analyst-at-telus-international-digital-solutions-3331944226?refId=plTauIQ%2FlnzdxaMFKjoqrw%3D%3D&amp;trackingId=WpRLjnZrlhARVpowwThqkA%3D%3D&amp;position=20&amp;pageNum=0&amp;trk=public_jobs_jserp-result_search-card", "Job Link")</f>
        <v>Job Link</v>
      </c>
      <c r="H1574" t="s">
        <v>478</v>
      </c>
      <c r="I1574" t="s">
        <v>481</v>
      </c>
      <c r="J1574" t="s">
        <v>498</v>
      </c>
      <c r="K1574" t="s">
        <v>521</v>
      </c>
      <c r="L1574" t="s">
        <v>604</v>
      </c>
      <c r="M1574" t="s">
        <v>618</v>
      </c>
      <c r="N1574" t="s">
        <v>601</v>
      </c>
    </row>
    <row r="1575" spans="1:14" x14ac:dyDescent="0.25">
      <c r="A1575" t="s">
        <v>20</v>
      </c>
      <c r="B1575" t="s">
        <v>175</v>
      </c>
      <c r="C1575" t="s">
        <v>324</v>
      </c>
      <c r="D1575" t="s">
        <v>425</v>
      </c>
      <c r="F1575" t="s">
        <v>446</v>
      </c>
      <c r="G1575" t="str">
        <f>HYPERLINK("https://ca.linkedin.com/jobs/view/senior-data-analyst-at-ssense-3342165774?refId=plTauIQ%2FlnzdxaMFKjoqrw%3D%3D&amp;trackingId=1qGutuZk3HSfwLN8KlUgTA%3D%3D&amp;position=21&amp;pageNum=0&amp;trk=public_jobs_jserp-result_search-card", "Job Link")</f>
        <v>Job Link</v>
      </c>
      <c r="H1575" t="s">
        <v>478</v>
      </c>
      <c r="I1575" t="s">
        <v>481</v>
      </c>
      <c r="J1575" t="s">
        <v>486</v>
      </c>
      <c r="K1575" t="s">
        <v>550</v>
      </c>
      <c r="L1575" t="s">
        <v>605</v>
      </c>
      <c r="M1575" t="s">
        <v>617</v>
      </c>
      <c r="N1575" t="s">
        <v>601</v>
      </c>
    </row>
    <row r="1576" spans="1:14" x14ac:dyDescent="0.25">
      <c r="A1576" t="s">
        <v>71</v>
      </c>
      <c r="B1576" t="s">
        <v>195</v>
      </c>
      <c r="C1576" t="s">
        <v>348</v>
      </c>
      <c r="D1576" t="s">
        <v>425</v>
      </c>
      <c r="F1576" t="s">
        <v>440</v>
      </c>
      <c r="G1576">
        <v>0</v>
      </c>
      <c r="H1576" t="s">
        <v>478</v>
      </c>
      <c r="I1576" t="s">
        <v>481</v>
      </c>
      <c r="J1576" t="s">
        <v>504</v>
      </c>
      <c r="K1576" t="s">
        <v>521</v>
      </c>
      <c r="L1576" t="s">
        <v>594</v>
      </c>
      <c r="M1576" t="s">
        <v>588</v>
      </c>
      <c r="N1576" t="s">
        <v>601</v>
      </c>
    </row>
    <row r="1577" spans="1:14" x14ac:dyDescent="0.25">
      <c r="A1577" t="s">
        <v>14</v>
      </c>
      <c r="B1577" t="s">
        <v>158</v>
      </c>
      <c r="C1577" t="s">
        <v>307</v>
      </c>
      <c r="D1577" t="s">
        <v>425</v>
      </c>
      <c r="F1577" t="s">
        <v>430</v>
      </c>
      <c r="G1577" t="str">
        <f>HYPERLINK("https://ca.linkedin.com/jobs/view/data-analyst-at-empire-life-3324608289?refId=0uK7l99lfWVXK5dRWGhC8Q%3D%3D&amp;trackingId=mMGMWQkn%2FDi4xKpO%2FoYRVQ%3D%3D&amp;position=1&amp;pageNum=0&amp;trk=public_jobs_jserp-result_search-card", "Job Link")</f>
        <v>Job Link</v>
      </c>
      <c r="H1577" t="s">
        <v>476</v>
      </c>
      <c r="I1577" t="s">
        <v>481</v>
      </c>
      <c r="J1577" t="s">
        <v>485</v>
      </c>
      <c r="K1577" t="s">
        <v>523</v>
      </c>
      <c r="L1577" t="s">
        <v>601</v>
      </c>
    </row>
    <row r="1578" spans="1:14" x14ac:dyDescent="0.25">
      <c r="A1578" t="s">
        <v>40</v>
      </c>
      <c r="B1578" t="s">
        <v>159</v>
      </c>
      <c r="C1578" t="s">
        <v>308</v>
      </c>
      <c r="D1578" t="s">
        <v>425</v>
      </c>
      <c r="F1578" t="s">
        <v>435</v>
      </c>
      <c r="G1578" t="str">
        <f>HYPERLINK("https://ca.linkedin.com/jobs/view/data-visualization-developer-analyst-at-blue-boat-data-3335318133?refId=0uK7l99lfWVXK5dRWGhC8Q%3D%3D&amp;trackingId=42gh9OmDWK3O4A6g%2BzYN5w%3D%3D&amp;position=2&amp;pageNum=0&amp;trk=public_jobs_jserp-result_search-card", "Job Link")</f>
        <v>Job Link</v>
      </c>
      <c r="I1578" t="s">
        <v>483</v>
      </c>
      <c r="L1578" t="s">
        <v>601</v>
      </c>
    </row>
    <row r="1579" spans="1:14" x14ac:dyDescent="0.25">
      <c r="A1579" t="s">
        <v>14</v>
      </c>
      <c r="B1579" t="s">
        <v>160</v>
      </c>
      <c r="C1579" t="s">
        <v>309</v>
      </c>
      <c r="D1579" t="s">
        <v>425</v>
      </c>
      <c r="E1579" t="s">
        <v>427</v>
      </c>
      <c r="F1579" t="s">
        <v>458</v>
      </c>
      <c r="G1579" t="str">
        <f>HYPERLINK("https://ca.linkedin.com/jobs/view/data-analyst-at-libitzky-property-companies-3314494593?refId=0uK7l99lfWVXK5dRWGhC8Q%3D%3D&amp;trackingId=pt3gygIu5wZ4PBpKdDDGug%3D%3D&amp;position=3&amp;pageNum=0&amp;trk=public_jobs_jserp-result_search-card", "Job Link")</f>
        <v>Job Link</v>
      </c>
      <c r="H1579" t="s">
        <v>476</v>
      </c>
      <c r="I1579" t="s">
        <v>481</v>
      </c>
      <c r="J1579" t="s">
        <v>486</v>
      </c>
      <c r="K1579" t="s">
        <v>516</v>
      </c>
      <c r="L1579" t="s">
        <v>601</v>
      </c>
    </row>
    <row r="1580" spans="1:14" x14ac:dyDescent="0.25">
      <c r="A1580" t="s">
        <v>14</v>
      </c>
      <c r="B1580" t="s">
        <v>161</v>
      </c>
      <c r="C1580" t="s">
        <v>310</v>
      </c>
      <c r="D1580" t="s">
        <v>425</v>
      </c>
      <c r="F1580" t="s">
        <v>435</v>
      </c>
      <c r="G1580" t="str">
        <f>HYPERLINK("https://ca.linkedin.com/jobs/view/data-analyst-at-spire-3340696458?refId=0uK7l99lfWVXK5dRWGhC8Q%3D%3D&amp;trackingId=9L2dIpfLjXdFLp2A%2B04B7g%3D%3D&amp;position=4&amp;pageNum=0&amp;trk=public_jobs_jserp-result_search-card", "Job Link")</f>
        <v>Job Link</v>
      </c>
      <c r="H1580" t="s">
        <v>476</v>
      </c>
      <c r="I1580" t="s">
        <v>481</v>
      </c>
      <c r="J1580" t="s">
        <v>486</v>
      </c>
      <c r="K1580" t="s">
        <v>517</v>
      </c>
      <c r="L1580" t="s">
        <v>602</v>
      </c>
      <c r="M1580" t="s">
        <v>588</v>
      </c>
      <c r="N1580" t="s">
        <v>601</v>
      </c>
    </row>
    <row r="1581" spans="1:14" x14ac:dyDescent="0.25">
      <c r="A1581" t="s">
        <v>14</v>
      </c>
      <c r="B1581" t="s">
        <v>163</v>
      </c>
      <c r="C1581" t="s">
        <v>312</v>
      </c>
      <c r="D1581" t="s">
        <v>425</v>
      </c>
      <c r="F1581" t="s">
        <v>443</v>
      </c>
      <c r="G1581" t="str">
        <f>HYPERLINK("https://ca.linkedin.com/jobs/view/data-analyst-at-mojio-3363472062?refId=0uK7l99lfWVXK5dRWGhC8Q%3D%3D&amp;trackingId=nlvl3fAvV3MEzt6uuSi3lg%3D%3D&amp;position=5&amp;pageNum=0&amp;trk=public_jobs_jserp-result_search-card", "Job Link")</f>
        <v>Job Link</v>
      </c>
      <c r="H1581" t="s">
        <v>478</v>
      </c>
      <c r="I1581" t="s">
        <v>481</v>
      </c>
      <c r="J1581" t="s">
        <v>493</v>
      </c>
      <c r="K1581" t="s">
        <v>544</v>
      </c>
      <c r="L1581" t="s">
        <v>601</v>
      </c>
    </row>
    <row r="1582" spans="1:14" x14ac:dyDescent="0.25">
      <c r="A1582" t="s">
        <v>41</v>
      </c>
      <c r="B1582" t="s">
        <v>164</v>
      </c>
      <c r="C1582" t="s">
        <v>313</v>
      </c>
      <c r="D1582" t="s">
        <v>425</v>
      </c>
      <c r="F1582" t="s">
        <v>444</v>
      </c>
      <c r="G1582" t="str">
        <f>HYPERLINK("https://ca.linkedin.com/jobs/view/product-data-analyst-at-pdftron-systems-inc-3322845144?refId=0uK7l99lfWVXK5dRWGhC8Q%3D%3D&amp;trackingId=M1hZimfIh7owx7r65FazSA%3D%3D&amp;position=6&amp;pageNum=0&amp;trk=public_jobs_jserp-result_search-card", "Job Link")</f>
        <v>Job Link</v>
      </c>
      <c r="H1582" t="s">
        <v>479</v>
      </c>
      <c r="I1582" t="s">
        <v>481</v>
      </c>
      <c r="J1582" t="s">
        <v>487</v>
      </c>
      <c r="K1582" t="s">
        <v>538</v>
      </c>
      <c r="L1582" t="s">
        <v>590</v>
      </c>
      <c r="M1582" t="s">
        <v>618</v>
      </c>
      <c r="N1582" t="s">
        <v>601</v>
      </c>
    </row>
    <row r="1583" spans="1:14" x14ac:dyDescent="0.25">
      <c r="A1583" t="s">
        <v>42</v>
      </c>
      <c r="B1583" t="s">
        <v>165</v>
      </c>
      <c r="C1583" t="s">
        <v>314</v>
      </c>
      <c r="D1583" t="s">
        <v>425</v>
      </c>
      <c r="F1583" t="s">
        <v>459</v>
      </c>
      <c r="G1583" t="str">
        <f>HYPERLINK("https://ca.linkedin.com/jobs/view/cognitive-data-analyst-at-wysdom-ai-3333087497?refId=0uK7l99lfWVXK5dRWGhC8Q%3D%3D&amp;trackingId=D3Souvz476q2F5qhNiEfjQ%3D%3D&amp;position=7&amp;pageNum=0&amp;trk=public_jobs_jserp-result_search-card", "Job Link")</f>
        <v>Job Link</v>
      </c>
      <c r="H1583" t="s">
        <v>478</v>
      </c>
      <c r="I1583" t="s">
        <v>481</v>
      </c>
      <c r="J1583" t="s">
        <v>486</v>
      </c>
      <c r="K1583" t="s">
        <v>516</v>
      </c>
      <c r="L1583" t="s">
        <v>601</v>
      </c>
    </row>
    <row r="1584" spans="1:14" x14ac:dyDescent="0.25">
      <c r="A1584" t="s">
        <v>14</v>
      </c>
      <c r="B1584" t="s">
        <v>162</v>
      </c>
      <c r="C1584" t="s">
        <v>311</v>
      </c>
      <c r="D1584" t="s">
        <v>425</v>
      </c>
      <c r="F1584" t="s">
        <v>434</v>
      </c>
      <c r="G1584" t="str">
        <f>HYPERLINK("https://ca.linkedin.com/jobs/view/data-analyst-at-money-mart-financial-services-3361528052?refId=0uK7l99lfWVXK5dRWGhC8Q%3D%3D&amp;trackingId=oQwRbFS9ILzoPVZvQ6FelA%3D%3D&amp;position=8&amp;pageNum=0&amp;trk=public_jobs_jserp-result_search-card", "Job Link")</f>
        <v>Job Link</v>
      </c>
      <c r="H1584" t="s">
        <v>477</v>
      </c>
      <c r="I1584" t="s">
        <v>481</v>
      </c>
      <c r="J1584" t="s">
        <v>488</v>
      </c>
      <c r="K1584" t="s">
        <v>527</v>
      </c>
      <c r="L1584" t="s">
        <v>582</v>
      </c>
      <c r="M1584" t="s">
        <v>588</v>
      </c>
      <c r="N1584" t="s">
        <v>601</v>
      </c>
    </row>
    <row r="1585" spans="1:14" x14ac:dyDescent="0.25">
      <c r="A1585" t="s">
        <v>44</v>
      </c>
      <c r="B1585" t="s">
        <v>167</v>
      </c>
      <c r="C1585" t="s">
        <v>316</v>
      </c>
      <c r="D1585" t="s">
        <v>425</v>
      </c>
      <c r="F1585" t="s">
        <v>460</v>
      </c>
      <c r="G1585" t="str">
        <f>HYPERLINK("https://ca.linkedin.com/jobs/view/data-analyst-marketing-at-thescore-3272474942?refId=0uK7l99lfWVXK5dRWGhC8Q%3D%3D&amp;trackingId=%2FdLYD9C2wDFXaA9gxL0gUA%3D%3D&amp;position=9&amp;pageNum=0&amp;trk=public_jobs_jserp-result_search-card", "Job Link")</f>
        <v>Job Link</v>
      </c>
      <c r="H1585" t="s">
        <v>476</v>
      </c>
      <c r="I1585" t="s">
        <v>481</v>
      </c>
      <c r="J1585" t="s">
        <v>486</v>
      </c>
      <c r="K1585" t="s">
        <v>545</v>
      </c>
      <c r="L1585" t="s">
        <v>582</v>
      </c>
      <c r="M1585" t="s">
        <v>588</v>
      </c>
      <c r="N1585" t="s">
        <v>601</v>
      </c>
    </row>
    <row r="1586" spans="1:14" x14ac:dyDescent="0.25">
      <c r="A1586" t="s">
        <v>45</v>
      </c>
      <c r="B1586" t="s">
        <v>168</v>
      </c>
      <c r="C1586" t="s">
        <v>317</v>
      </c>
      <c r="D1586" t="s">
        <v>425</v>
      </c>
      <c r="F1586" t="s">
        <v>443</v>
      </c>
      <c r="G1586" t="str">
        <f>HYPERLINK("https://ca.linkedin.com/jobs/view/senior-data-analyst-apac-marketplace-at-hopper-3363404929?refId=0uK7l99lfWVXK5dRWGhC8Q%3D%3D&amp;trackingId=FFJGW1C6YwNghF%2BfoCV6wA%3D%3D&amp;position=10&amp;pageNum=0&amp;trk=public_jobs_jserp-result_search-card", "Job Link")</f>
        <v>Job Link</v>
      </c>
      <c r="H1586" t="s">
        <v>478</v>
      </c>
      <c r="I1586" t="s">
        <v>485</v>
      </c>
      <c r="J1586" t="s">
        <v>486</v>
      </c>
      <c r="K1586" t="s">
        <v>538</v>
      </c>
      <c r="L1586" t="s">
        <v>601</v>
      </c>
    </row>
    <row r="1587" spans="1:14" x14ac:dyDescent="0.25">
      <c r="A1587" t="s">
        <v>46</v>
      </c>
      <c r="B1587" t="s">
        <v>169</v>
      </c>
      <c r="C1587" t="s">
        <v>318</v>
      </c>
      <c r="D1587" t="s">
        <v>425</v>
      </c>
      <c r="F1587" t="s">
        <v>461</v>
      </c>
      <c r="G1587">
        <v>0</v>
      </c>
      <c r="H1587" t="s">
        <v>478</v>
      </c>
      <c r="I1587" t="s">
        <v>481</v>
      </c>
      <c r="J1587" t="s">
        <v>494</v>
      </c>
      <c r="K1587" t="s">
        <v>546</v>
      </c>
      <c r="L1587" t="s">
        <v>601</v>
      </c>
    </row>
    <row r="1588" spans="1:14" x14ac:dyDescent="0.25">
      <c r="A1588" t="s">
        <v>20</v>
      </c>
      <c r="B1588" t="s">
        <v>170</v>
      </c>
      <c r="C1588" t="s">
        <v>319</v>
      </c>
      <c r="D1588" t="s">
        <v>425</v>
      </c>
      <c r="F1588" t="s">
        <v>450</v>
      </c>
      <c r="G1588" t="str">
        <f>HYPERLINK("https://ca.linkedin.com/jobs/view/senior-data-analyst-at-thinkific-3333572538?refId=0uK7l99lfWVXK5dRWGhC8Q%3D%3D&amp;trackingId=NSBmwGobjMH9S1TsC9LnzQ%3D%3D&amp;position=12&amp;pageNum=0&amp;trk=public_jobs_jserp-result_search-card", "Job Link")</f>
        <v>Job Link</v>
      </c>
      <c r="H1588" t="s">
        <v>478</v>
      </c>
      <c r="I1588" t="s">
        <v>481</v>
      </c>
      <c r="J1588" t="s">
        <v>495</v>
      </c>
      <c r="K1588" t="s">
        <v>547</v>
      </c>
      <c r="L1588" t="s">
        <v>601</v>
      </c>
    </row>
    <row r="1589" spans="1:14" x14ac:dyDescent="0.25">
      <c r="A1589" t="s">
        <v>47</v>
      </c>
      <c r="B1589" t="s">
        <v>171</v>
      </c>
      <c r="C1589" t="s">
        <v>320</v>
      </c>
      <c r="D1589" t="s">
        <v>425</v>
      </c>
      <c r="F1589" t="s">
        <v>447</v>
      </c>
      <c r="G1589" t="str">
        <f>HYPERLINK("https://ca.linkedin.com/jobs/view/insights-analyst-at-flashfood-3312876343?refId=0uK7l99lfWVXK5dRWGhC8Q%3D%3D&amp;trackingId=P8oolpzVANce4%2B4MjEkgYg%3D%3D&amp;position=13&amp;pageNum=0&amp;trk=public_jobs_jserp-result_search-card", "Job Link")</f>
        <v>Job Link</v>
      </c>
      <c r="I1589" t="s">
        <v>481</v>
      </c>
      <c r="L1589" t="s">
        <v>601</v>
      </c>
    </row>
    <row r="1590" spans="1:14" x14ac:dyDescent="0.25">
      <c r="A1590" t="s">
        <v>20</v>
      </c>
      <c r="B1590" t="s">
        <v>172</v>
      </c>
      <c r="C1590" t="s">
        <v>321</v>
      </c>
      <c r="D1590" t="s">
        <v>425</v>
      </c>
      <c r="F1590" t="s">
        <v>438</v>
      </c>
      <c r="G1590" t="str">
        <f>HYPERLINK("https://ca.linkedin.com/jobs/view/senior-data-analyst-at-system1-3324728130?refId=0uK7l99lfWVXK5dRWGhC8Q%3D%3D&amp;trackingId=omeauPy1w5Im8RazOAz5gQ%3D%3D&amp;position=14&amp;pageNum=0&amp;trk=public_jobs_jserp-result_search-card", "Job Link")</f>
        <v>Job Link</v>
      </c>
      <c r="H1590" t="s">
        <v>478</v>
      </c>
      <c r="I1590" t="s">
        <v>481</v>
      </c>
      <c r="J1590" t="s">
        <v>486</v>
      </c>
      <c r="K1590" t="s">
        <v>548</v>
      </c>
      <c r="L1590" t="s">
        <v>587</v>
      </c>
      <c r="M1590" t="s">
        <v>588</v>
      </c>
      <c r="N1590" t="s">
        <v>601</v>
      </c>
    </row>
    <row r="1591" spans="1:14" x14ac:dyDescent="0.25">
      <c r="A1591" t="s">
        <v>48</v>
      </c>
      <c r="B1591" t="s">
        <v>173</v>
      </c>
      <c r="C1591" t="s">
        <v>322</v>
      </c>
      <c r="D1591" t="s">
        <v>425</v>
      </c>
      <c r="F1591" t="s">
        <v>462</v>
      </c>
      <c r="G1591" t="str">
        <f>HYPERLINK("https://ca.linkedin.com/jobs/view/data-analyst-trilogy-remote-%2460-000-year-usd-at-crossover-3367086698?refId=0uK7l99lfWVXK5dRWGhC8Q%3D%3D&amp;trackingId=C4vI3HCpRjli%2FzEfQsz4Ww%3D%3D&amp;position=15&amp;pageNum=0&amp;trk=public_jobs_jserp-result_search-card", "Job Link")</f>
        <v>Job Link</v>
      </c>
      <c r="H1591" t="s">
        <v>477</v>
      </c>
      <c r="I1591" t="s">
        <v>481</v>
      </c>
      <c r="J1591" t="s">
        <v>496</v>
      </c>
      <c r="K1591" t="s">
        <v>549</v>
      </c>
      <c r="L1591" t="s">
        <v>582</v>
      </c>
      <c r="M1591" t="s">
        <v>588</v>
      </c>
      <c r="N1591" t="s">
        <v>601</v>
      </c>
    </row>
    <row r="1592" spans="1:14" x14ac:dyDescent="0.25">
      <c r="A1592" t="s">
        <v>49</v>
      </c>
      <c r="B1592" t="s">
        <v>174</v>
      </c>
      <c r="C1592" t="s">
        <v>323</v>
      </c>
      <c r="D1592" t="s">
        <v>425</v>
      </c>
      <c r="F1592" t="s">
        <v>433</v>
      </c>
      <c r="G1592" t="str">
        <f>HYPERLINK("https://ca.linkedin.com/jobs/view/product-data-analyst-wtfast-at-blankslate-partners-3350561493?refId=0uK7l99lfWVXK5dRWGhC8Q%3D%3D&amp;trackingId=c4DRni86U12r23%2Byp6Deiw%3D%3D&amp;position=16&amp;pageNum=0&amp;trk=public_jobs_jserp-result_search-card", "Job Link")</f>
        <v>Job Link</v>
      </c>
      <c r="H1592" t="s">
        <v>479</v>
      </c>
      <c r="I1592" t="s">
        <v>481</v>
      </c>
      <c r="J1592" t="s">
        <v>497</v>
      </c>
      <c r="K1592" t="s">
        <v>538</v>
      </c>
      <c r="L1592" t="s">
        <v>603</v>
      </c>
      <c r="M1592" t="s">
        <v>618</v>
      </c>
      <c r="N1592" t="s">
        <v>601</v>
      </c>
    </row>
    <row r="1593" spans="1:14" x14ac:dyDescent="0.25">
      <c r="A1593" t="s">
        <v>50</v>
      </c>
      <c r="B1593" t="s">
        <v>175</v>
      </c>
      <c r="C1593" t="s">
        <v>324</v>
      </c>
      <c r="D1593" t="s">
        <v>425</v>
      </c>
      <c r="F1593" t="s">
        <v>443</v>
      </c>
      <c r="G1593" t="str">
        <f>HYPERLINK("https://ca.linkedin.com/jobs/view/senior-data-analyst-toronto-on-at-ssense-3369567279?refId=0uK7l99lfWVXK5dRWGhC8Q%3D%3D&amp;trackingId=3ZmvPUcg4PnkaBKbc9gQVg%3D%3D&amp;position=17&amp;pageNum=0&amp;trk=public_jobs_jserp-result_search-card", "Job Link")</f>
        <v>Job Link</v>
      </c>
      <c r="H1593" t="s">
        <v>478</v>
      </c>
      <c r="I1593" t="s">
        <v>481</v>
      </c>
      <c r="J1593" t="s">
        <v>486</v>
      </c>
      <c r="K1593" t="s">
        <v>550</v>
      </c>
      <c r="L1593" t="s">
        <v>582</v>
      </c>
      <c r="M1593" t="s">
        <v>588</v>
      </c>
      <c r="N1593" t="s">
        <v>601</v>
      </c>
    </row>
    <row r="1594" spans="1:14" x14ac:dyDescent="0.25">
      <c r="A1594" t="s">
        <v>51</v>
      </c>
      <c r="B1594" t="s">
        <v>175</v>
      </c>
      <c r="C1594" t="s">
        <v>325</v>
      </c>
      <c r="D1594" t="s">
        <v>425</v>
      </c>
      <c r="F1594" t="s">
        <v>443</v>
      </c>
      <c r="G1594" t="str">
        <f>HYPERLINK("https://ca.linkedin.com/jobs/view/senior-data-analyst-analytics-insights-toronto-on-at-ssense-3369558722?refId=0uK7l99lfWVXK5dRWGhC8Q%3D%3D&amp;trackingId=tLEo3ELI5RcrGJ1mRG7uqw%3D%3D&amp;position=18&amp;pageNum=0&amp;trk=public_jobs_jserp-result_search-card", "Job Link")</f>
        <v>Job Link</v>
      </c>
      <c r="H1594" t="s">
        <v>478</v>
      </c>
      <c r="I1594" t="s">
        <v>481</v>
      </c>
      <c r="J1594" t="s">
        <v>491</v>
      </c>
      <c r="K1594" t="s">
        <v>550</v>
      </c>
      <c r="L1594" t="s">
        <v>582</v>
      </c>
      <c r="M1594" t="s">
        <v>588</v>
      </c>
      <c r="N1594" t="s">
        <v>601</v>
      </c>
    </row>
    <row r="1595" spans="1:14" x14ac:dyDescent="0.25">
      <c r="A1595" t="s">
        <v>51</v>
      </c>
      <c r="B1595" t="s">
        <v>175</v>
      </c>
      <c r="C1595" t="s">
        <v>325</v>
      </c>
      <c r="D1595" t="s">
        <v>425</v>
      </c>
      <c r="F1595" t="s">
        <v>443</v>
      </c>
      <c r="G1595" t="str">
        <f>HYPERLINK("https://ca.linkedin.com/jobs/view/senior-data-analyst-analytics-insights-toronto-on-at-ssense-3369560180?refId=0uK7l99lfWVXK5dRWGhC8Q%3D%3D&amp;trackingId=HN2pOzT%2ByfJvTh8MHn4tQw%3D%3D&amp;position=19&amp;pageNum=0&amp;trk=public_jobs_jserp-result_search-card", "Job Link")</f>
        <v>Job Link</v>
      </c>
      <c r="H1595" t="s">
        <v>478</v>
      </c>
      <c r="I1595" t="s">
        <v>481</v>
      </c>
      <c r="J1595" t="s">
        <v>491</v>
      </c>
      <c r="K1595" t="s">
        <v>550</v>
      </c>
      <c r="L1595" t="s">
        <v>582</v>
      </c>
      <c r="M1595" t="s">
        <v>588</v>
      </c>
      <c r="N1595" t="s">
        <v>601</v>
      </c>
    </row>
    <row r="1596" spans="1:14" x14ac:dyDescent="0.25">
      <c r="A1596" t="s">
        <v>27</v>
      </c>
      <c r="B1596" t="s">
        <v>176</v>
      </c>
      <c r="C1596" t="s">
        <v>326</v>
      </c>
      <c r="D1596" t="s">
        <v>425</v>
      </c>
      <c r="F1596" t="s">
        <v>441</v>
      </c>
      <c r="G1596" t="str">
        <f>HYPERLINK("https://ca.linkedin.com/jobs/view/sr-data-analyst-at-telus-international-digital-solutions-3331944226?refId=0uK7l99lfWVXK5dRWGhC8Q%3D%3D&amp;trackingId=CUNSuV7Ef1u7%2Bdg3t66PCg%3D%3D&amp;position=20&amp;pageNum=0&amp;trk=public_jobs_jserp-result_search-card", "Job Link")</f>
        <v>Job Link</v>
      </c>
      <c r="H1596" t="s">
        <v>478</v>
      </c>
      <c r="I1596" t="s">
        <v>481</v>
      </c>
      <c r="J1596" t="s">
        <v>498</v>
      </c>
      <c r="K1596" t="s">
        <v>521</v>
      </c>
      <c r="L1596" t="s">
        <v>604</v>
      </c>
      <c r="M1596" t="s">
        <v>618</v>
      </c>
      <c r="N1596" t="s">
        <v>601</v>
      </c>
    </row>
    <row r="1597" spans="1:14" x14ac:dyDescent="0.25">
      <c r="A1597" t="s">
        <v>20</v>
      </c>
      <c r="B1597" t="s">
        <v>175</v>
      </c>
      <c r="C1597" t="s">
        <v>324</v>
      </c>
      <c r="D1597" t="s">
        <v>425</v>
      </c>
      <c r="F1597" t="s">
        <v>446</v>
      </c>
      <c r="G1597" t="str">
        <f>HYPERLINK("https://ca.linkedin.com/jobs/view/senior-data-analyst-at-ssense-3342165774?refId=0uK7l99lfWVXK5dRWGhC8Q%3D%3D&amp;trackingId=E%2F%2B4rw%2FWRtWgnZfZPsLhjg%3D%3D&amp;position=21&amp;pageNum=0&amp;trk=public_jobs_jserp-result_search-card", "Job Link")</f>
        <v>Job Link</v>
      </c>
      <c r="H1597" t="s">
        <v>478</v>
      </c>
      <c r="I1597" t="s">
        <v>481</v>
      </c>
      <c r="J1597" t="s">
        <v>486</v>
      </c>
      <c r="K1597" t="s">
        <v>550</v>
      </c>
      <c r="L1597" t="s">
        <v>605</v>
      </c>
      <c r="M1597" t="s">
        <v>617</v>
      </c>
      <c r="N1597" t="s">
        <v>601</v>
      </c>
    </row>
    <row r="1598" spans="1:14" x14ac:dyDescent="0.25">
      <c r="A1598" t="s">
        <v>71</v>
      </c>
      <c r="B1598" t="s">
        <v>195</v>
      </c>
      <c r="C1598" t="s">
        <v>348</v>
      </c>
      <c r="D1598" t="s">
        <v>425</v>
      </c>
      <c r="F1598" t="s">
        <v>440</v>
      </c>
      <c r="G1598" t="str">
        <f>HYPERLINK("https://ca.linkedin.com/jobs/view/data-analyst-forecasting-specialist-at-coradix-technology-consulting-ltd-3370911681?refId=0uK7l99lfWVXK5dRWGhC8Q%3D%3D&amp;trackingId=dFKvq6wqGoew3zdWoEGkBA%3D%3D&amp;position=22&amp;pageNum=0&amp;trk=public_jobs_jserp-result_search-card", "Job Link")</f>
        <v>Job Link</v>
      </c>
      <c r="H1598" t="s">
        <v>478</v>
      </c>
      <c r="I1598" t="s">
        <v>481</v>
      </c>
      <c r="J1598" t="s">
        <v>504</v>
      </c>
      <c r="K1598" t="s">
        <v>521</v>
      </c>
      <c r="L1598" t="s">
        <v>594</v>
      </c>
      <c r="M1598" t="s">
        <v>588</v>
      </c>
      <c r="N1598" t="s">
        <v>601</v>
      </c>
    </row>
    <row r="1599" spans="1:14" x14ac:dyDescent="0.25">
      <c r="A1599" t="s">
        <v>14</v>
      </c>
      <c r="B1599" t="s">
        <v>158</v>
      </c>
      <c r="C1599" t="s">
        <v>307</v>
      </c>
      <c r="D1599" t="s">
        <v>425</v>
      </c>
      <c r="F1599" t="s">
        <v>430</v>
      </c>
      <c r="G1599" t="str">
        <f>HYPERLINK("https://ca.linkedin.com/jobs/view/data-analyst-at-empire-life-3324608289?refId=HgomCS11e%2B4mPhpTBcQrww%3D%3D&amp;trackingId=MvYLT8gc17bmbvPNr642eA%3D%3D&amp;position=1&amp;pageNum=0&amp;trk=public_jobs_jserp-result_search-card", "Job Link")</f>
        <v>Job Link</v>
      </c>
      <c r="H1599" t="s">
        <v>476</v>
      </c>
      <c r="I1599" t="s">
        <v>481</v>
      </c>
      <c r="J1599" t="s">
        <v>485</v>
      </c>
      <c r="K1599" t="s">
        <v>523</v>
      </c>
      <c r="L1599" t="s">
        <v>601</v>
      </c>
    </row>
    <row r="1600" spans="1:14" x14ac:dyDescent="0.25">
      <c r="A1600" t="s">
        <v>40</v>
      </c>
      <c r="B1600" t="s">
        <v>159</v>
      </c>
      <c r="C1600" t="s">
        <v>308</v>
      </c>
      <c r="D1600" t="s">
        <v>425</v>
      </c>
      <c r="F1600" t="s">
        <v>435</v>
      </c>
      <c r="G1600" t="str">
        <f>HYPERLINK("https://ca.linkedin.com/jobs/view/data-visualization-developer-analyst-at-blue-boat-data-3335318133?refId=HgomCS11e%2B4mPhpTBcQrww%3D%3D&amp;trackingId=2XmcUyH6Y5rak1bdWbd%2FKg%3D%3D&amp;position=2&amp;pageNum=0&amp;trk=public_jobs_jserp-result_search-card", "Job Link")</f>
        <v>Job Link</v>
      </c>
      <c r="I1600" t="s">
        <v>483</v>
      </c>
      <c r="L1600" t="s">
        <v>601</v>
      </c>
    </row>
    <row r="1601" spans="1:14" x14ac:dyDescent="0.25">
      <c r="A1601" t="s">
        <v>14</v>
      </c>
      <c r="B1601" t="s">
        <v>160</v>
      </c>
      <c r="C1601" t="s">
        <v>309</v>
      </c>
      <c r="D1601" t="s">
        <v>425</v>
      </c>
      <c r="E1601" t="s">
        <v>427</v>
      </c>
      <c r="F1601" t="s">
        <v>458</v>
      </c>
      <c r="G1601" t="str">
        <f>HYPERLINK("https://ca.linkedin.com/jobs/view/data-analyst-at-libitzky-property-companies-3314494593?refId=HgomCS11e%2B4mPhpTBcQrww%3D%3D&amp;trackingId=wIO558HBNmgHhWs5KbUZFA%3D%3D&amp;position=3&amp;pageNum=0&amp;trk=public_jobs_jserp-result_search-card", "Job Link")</f>
        <v>Job Link</v>
      </c>
      <c r="H1601" t="s">
        <v>476</v>
      </c>
      <c r="I1601" t="s">
        <v>481</v>
      </c>
      <c r="J1601" t="s">
        <v>486</v>
      </c>
      <c r="K1601" t="s">
        <v>516</v>
      </c>
      <c r="L1601" t="s">
        <v>601</v>
      </c>
    </row>
    <row r="1602" spans="1:14" x14ac:dyDescent="0.25">
      <c r="A1602" t="s">
        <v>14</v>
      </c>
      <c r="B1602" t="s">
        <v>161</v>
      </c>
      <c r="C1602" t="s">
        <v>310</v>
      </c>
      <c r="D1602" t="s">
        <v>425</v>
      </c>
      <c r="F1602" t="s">
        <v>435</v>
      </c>
      <c r="G1602" t="str">
        <f>HYPERLINK("https://ca.linkedin.com/jobs/view/data-analyst-at-spire-3340696458?refId=HgomCS11e%2B4mPhpTBcQrww%3D%3D&amp;trackingId=3cNqZbma5fA0OC5Vy1vS6w%3D%3D&amp;position=4&amp;pageNum=0&amp;trk=public_jobs_jserp-result_search-card", "Job Link")</f>
        <v>Job Link</v>
      </c>
      <c r="H1602" t="s">
        <v>476</v>
      </c>
      <c r="I1602" t="s">
        <v>481</v>
      </c>
      <c r="J1602" t="s">
        <v>486</v>
      </c>
      <c r="K1602" t="s">
        <v>517</v>
      </c>
      <c r="L1602" t="s">
        <v>602</v>
      </c>
      <c r="M1602" t="s">
        <v>588</v>
      </c>
      <c r="N1602" t="s">
        <v>601</v>
      </c>
    </row>
    <row r="1603" spans="1:14" x14ac:dyDescent="0.25">
      <c r="A1603" t="s">
        <v>14</v>
      </c>
      <c r="B1603" t="s">
        <v>162</v>
      </c>
      <c r="C1603" t="s">
        <v>311</v>
      </c>
      <c r="D1603" t="s">
        <v>425</v>
      </c>
      <c r="F1603" t="s">
        <v>434</v>
      </c>
      <c r="G1603" t="str">
        <f>HYPERLINK("https://ca.linkedin.com/jobs/view/data-analyst-at-money-mart-financial-services-3361528052?refId=HgomCS11e%2B4mPhpTBcQrww%3D%3D&amp;trackingId=sM0aXJNgfNUfT21Z%2FW02Zw%3D%3D&amp;position=5&amp;pageNum=0&amp;trk=public_jobs_jserp-result_search-card", "Job Link")</f>
        <v>Job Link</v>
      </c>
      <c r="H1603" t="s">
        <v>477</v>
      </c>
      <c r="I1603" t="s">
        <v>481</v>
      </c>
      <c r="J1603" t="s">
        <v>488</v>
      </c>
      <c r="K1603" t="s">
        <v>527</v>
      </c>
      <c r="L1603" t="s">
        <v>582</v>
      </c>
      <c r="M1603" t="s">
        <v>588</v>
      </c>
      <c r="N1603" t="s">
        <v>601</v>
      </c>
    </row>
    <row r="1604" spans="1:14" x14ac:dyDescent="0.25">
      <c r="A1604" t="s">
        <v>14</v>
      </c>
      <c r="B1604" t="s">
        <v>163</v>
      </c>
      <c r="C1604" t="s">
        <v>312</v>
      </c>
      <c r="D1604" t="s">
        <v>425</v>
      </c>
      <c r="F1604" t="s">
        <v>443</v>
      </c>
      <c r="G1604" t="str">
        <f>HYPERLINK("https://ca.linkedin.com/jobs/view/data-analyst-at-mojio-3363472062?refId=HgomCS11e%2B4mPhpTBcQrww%3D%3D&amp;trackingId=ElI6OAPQgEkcyIxm2v%2FtFA%3D%3D&amp;position=6&amp;pageNum=0&amp;trk=public_jobs_jserp-result_search-card", "Job Link")</f>
        <v>Job Link</v>
      </c>
      <c r="H1604" t="s">
        <v>478</v>
      </c>
      <c r="I1604" t="s">
        <v>481</v>
      </c>
      <c r="J1604" t="s">
        <v>493</v>
      </c>
      <c r="K1604" t="s">
        <v>544</v>
      </c>
      <c r="L1604" t="s">
        <v>601</v>
      </c>
    </row>
    <row r="1605" spans="1:14" x14ac:dyDescent="0.25">
      <c r="A1605" t="s">
        <v>41</v>
      </c>
      <c r="B1605" t="s">
        <v>164</v>
      </c>
      <c r="C1605" t="s">
        <v>313</v>
      </c>
      <c r="D1605" t="s">
        <v>425</v>
      </c>
      <c r="F1605" t="s">
        <v>444</v>
      </c>
      <c r="G1605" t="str">
        <f>HYPERLINK("https://ca.linkedin.com/jobs/view/product-data-analyst-at-pdftron-systems-inc-3322845144?refId=HgomCS11e%2B4mPhpTBcQrww%3D%3D&amp;trackingId=7C3FIs30nF%2BzLXQHKIICdA%3D%3D&amp;position=7&amp;pageNum=0&amp;trk=public_jobs_jserp-result_search-card", "Job Link")</f>
        <v>Job Link</v>
      </c>
      <c r="H1605" t="s">
        <v>479</v>
      </c>
      <c r="I1605" t="s">
        <v>481</v>
      </c>
      <c r="J1605" t="s">
        <v>487</v>
      </c>
      <c r="K1605" t="s">
        <v>538</v>
      </c>
      <c r="L1605" t="s">
        <v>590</v>
      </c>
      <c r="M1605" t="s">
        <v>618</v>
      </c>
      <c r="N1605" t="s">
        <v>601</v>
      </c>
    </row>
    <row r="1606" spans="1:14" x14ac:dyDescent="0.25">
      <c r="A1606" t="s">
        <v>42</v>
      </c>
      <c r="B1606" t="s">
        <v>165</v>
      </c>
      <c r="C1606" t="s">
        <v>314</v>
      </c>
      <c r="D1606" t="s">
        <v>425</v>
      </c>
      <c r="F1606" t="s">
        <v>459</v>
      </c>
      <c r="G1606" t="str">
        <f>HYPERLINK("https://ca.linkedin.com/jobs/view/cognitive-data-analyst-at-wysdom-ai-3333087497?refId=HgomCS11e%2B4mPhpTBcQrww%3D%3D&amp;trackingId=XxiyKBuNrdEtBrNyHP%2FGsw%3D%3D&amp;position=8&amp;pageNum=0&amp;trk=public_jobs_jserp-result_search-card", "Job Link")</f>
        <v>Job Link</v>
      </c>
      <c r="H1606" t="s">
        <v>478</v>
      </c>
      <c r="I1606" t="s">
        <v>481</v>
      </c>
      <c r="J1606" t="s">
        <v>486</v>
      </c>
      <c r="K1606" t="s">
        <v>516</v>
      </c>
      <c r="L1606" t="s">
        <v>601</v>
      </c>
    </row>
    <row r="1607" spans="1:14" x14ac:dyDescent="0.25">
      <c r="A1607" t="s">
        <v>43</v>
      </c>
      <c r="B1607" t="s">
        <v>166</v>
      </c>
      <c r="C1607" t="s">
        <v>315</v>
      </c>
      <c r="D1607" t="s">
        <v>425</v>
      </c>
      <c r="F1607" t="s">
        <v>432</v>
      </c>
      <c r="G1607" t="str">
        <f>HYPERLINK("https://ca.linkedin.com/jobs/view/data-analyst-operations-at-felix-3360946633?refId=HgomCS11e%2B4mPhpTBcQrww%3D%3D&amp;trackingId=zM0r8fKhQ2wliw94rCnoEw%3D%3D&amp;position=9&amp;pageNum=0&amp;trk=public_jobs_jserp-result_search-card", "Job Link")</f>
        <v>Job Link</v>
      </c>
      <c r="I1607" t="s">
        <v>481</v>
      </c>
      <c r="L1607" t="s">
        <v>601</v>
      </c>
    </row>
    <row r="1608" spans="1:14" x14ac:dyDescent="0.25">
      <c r="A1608" t="s">
        <v>44</v>
      </c>
      <c r="B1608" t="s">
        <v>167</v>
      </c>
      <c r="C1608" t="s">
        <v>316</v>
      </c>
      <c r="D1608" t="s">
        <v>425</v>
      </c>
      <c r="F1608" t="s">
        <v>460</v>
      </c>
      <c r="G1608" t="str">
        <f>HYPERLINK("https://ca.linkedin.com/jobs/view/data-analyst-marketing-at-thescore-3272474942?refId=HgomCS11e%2B4mPhpTBcQrww%3D%3D&amp;trackingId=pebjWQ7orpMlHFKU1vlJXQ%3D%3D&amp;position=10&amp;pageNum=0&amp;trk=public_jobs_jserp-result_search-card", "Job Link")</f>
        <v>Job Link</v>
      </c>
      <c r="H1608" t="s">
        <v>476</v>
      </c>
      <c r="I1608" t="s">
        <v>481</v>
      </c>
      <c r="J1608" t="s">
        <v>486</v>
      </c>
      <c r="K1608" t="s">
        <v>545</v>
      </c>
      <c r="L1608" t="s">
        <v>582</v>
      </c>
      <c r="M1608" t="s">
        <v>588</v>
      </c>
      <c r="N1608" t="s">
        <v>601</v>
      </c>
    </row>
    <row r="1609" spans="1:14" x14ac:dyDescent="0.25">
      <c r="A1609" t="s">
        <v>45</v>
      </c>
      <c r="B1609" t="s">
        <v>168</v>
      </c>
      <c r="C1609" t="s">
        <v>317</v>
      </c>
      <c r="D1609" t="s">
        <v>425</v>
      </c>
      <c r="F1609" t="s">
        <v>443</v>
      </c>
      <c r="G1609" t="str">
        <f>HYPERLINK("https://ca.linkedin.com/jobs/view/senior-data-analyst-apac-marketplace-at-hopper-3363404929?refId=HgomCS11e%2B4mPhpTBcQrww%3D%3D&amp;trackingId=0qxFYF7hzT99fMLZVCu9oQ%3D%3D&amp;position=11&amp;pageNum=0&amp;trk=public_jobs_jserp-result_search-card", "Job Link")</f>
        <v>Job Link</v>
      </c>
      <c r="H1609" t="s">
        <v>478</v>
      </c>
      <c r="I1609" t="s">
        <v>485</v>
      </c>
      <c r="J1609" t="s">
        <v>486</v>
      </c>
      <c r="K1609" t="s">
        <v>538</v>
      </c>
      <c r="L1609" t="s">
        <v>601</v>
      </c>
    </row>
    <row r="1610" spans="1:14" x14ac:dyDescent="0.25">
      <c r="A1610" t="s">
        <v>46</v>
      </c>
      <c r="B1610" t="s">
        <v>169</v>
      </c>
      <c r="C1610" t="s">
        <v>318</v>
      </c>
      <c r="D1610" t="s">
        <v>425</v>
      </c>
      <c r="F1610" t="s">
        <v>461</v>
      </c>
      <c r="G1610" t="str">
        <f>HYPERLINK("https://ca.linkedin.com/jobs/view/senior-data-analyst-remote-at-insurance-supermarket-international-usa-3347334252?refId=HgomCS11e%2B4mPhpTBcQrww%3D%3D&amp;trackingId=d1Paieh2dDy4mKodhPI2rA%3D%3D&amp;position=12&amp;pageNum=0&amp;trk=public_jobs_jserp-result_search-card", "Job Link")</f>
        <v>Job Link</v>
      </c>
      <c r="H1610" t="s">
        <v>478</v>
      </c>
      <c r="I1610" t="s">
        <v>481</v>
      </c>
      <c r="J1610" t="s">
        <v>494</v>
      </c>
      <c r="K1610" t="s">
        <v>546</v>
      </c>
      <c r="L1610" t="s">
        <v>601</v>
      </c>
    </row>
    <row r="1611" spans="1:14" x14ac:dyDescent="0.25">
      <c r="A1611" t="s">
        <v>20</v>
      </c>
      <c r="B1611" t="s">
        <v>170</v>
      </c>
      <c r="C1611" t="s">
        <v>319</v>
      </c>
      <c r="D1611" t="s">
        <v>425</v>
      </c>
      <c r="F1611" t="s">
        <v>450</v>
      </c>
      <c r="G1611" t="str">
        <f>HYPERLINK("https://ca.linkedin.com/jobs/view/senior-data-analyst-at-thinkific-3333572538?refId=HgomCS11e%2B4mPhpTBcQrww%3D%3D&amp;trackingId=KhbBKYLZgMTrmIwKvkWHcw%3D%3D&amp;position=13&amp;pageNum=0&amp;trk=public_jobs_jserp-result_search-card", "Job Link")</f>
        <v>Job Link</v>
      </c>
      <c r="H1611" t="s">
        <v>478</v>
      </c>
      <c r="I1611" t="s">
        <v>481</v>
      </c>
      <c r="J1611" t="s">
        <v>495</v>
      </c>
      <c r="K1611" t="s">
        <v>547</v>
      </c>
      <c r="L1611" t="s">
        <v>601</v>
      </c>
    </row>
    <row r="1612" spans="1:14" x14ac:dyDescent="0.25">
      <c r="A1612" t="s">
        <v>47</v>
      </c>
      <c r="B1612" t="s">
        <v>171</v>
      </c>
      <c r="C1612" t="s">
        <v>320</v>
      </c>
      <c r="D1612" t="s">
        <v>425</v>
      </c>
      <c r="F1612" t="s">
        <v>447</v>
      </c>
      <c r="G1612" t="str">
        <f>HYPERLINK("https://ca.linkedin.com/jobs/view/insights-analyst-at-flashfood-3312876343?refId=HgomCS11e%2B4mPhpTBcQrww%3D%3D&amp;trackingId=BzUiwEN2AYLgx9q7p0GZlw%3D%3D&amp;position=14&amp;pageNum=0&amp;trk=public_jobs_jserp-result_search-card", "Job Link")</f>
        <v>Job Link</v>
      </c>
      <c r="I1612" t="s">
        <v>481</v>
      </c>
      <c r="L1612" t="s">
        <v>601</v>
      </c>
    </row>
    <row r="1613" spans="1:14" x14ac:dyDescent="0.25">
      <c r="A1613" t="s">
        <v>20</v>
      </c>
      <c r="B1613" t="s">
        <v>172</v>
      </c>
      <c r="C1613" t="s">
        <v>321</v>
      </c>
      <c r="D1613" t="s">
        <v>425</v>
      </c>
      <c r="F1613" t="s">
        <v>438</v>
      </c>
      <c r="G1613" t="str">
        <f>HYPERLINK("https://ca.linkedin.com/jobs/view/senior-data-analyst-at-system1-3324728130?refId=HgomCS11e%2B4mPhpTBcQrww%3D%3D&amp;trackingId=632TAicDBTKE62Rlrlji9w%3D%3D&amp;position=15&amp;pageNum=0&amp;trk=public_jobs_jserp-result_search-card", "Job Link")</f>
        <v>Job Link</v>
      </c>
      <c r="H1613" t="s">
        <v>478</v>
      </c>
      <c r="I1613" t="s">
        <v>481</v>
      </c>
      <c r="J1613" t="s">
        <v>486</v>
      </c>
      <c r="K1613" t="s">
        <v>548</v>
      </c>
      <c r="L1613" t="s">
        <v>587</v>
      </c>
      <c r="M1613" t="s">
        <v>588</v>
      </c>
      <c r="N1613" t="s">
        <v>601</v>
      </c>
    </row>
    <row r="1614" spans="1:14" x14ac:dyDescent="0.25">
      <c r="A1614" t="s">
        <v>48</v>
      </c>
      <c r="B1614" t="s">
        <v>173</v>
      </c>
      <c r="C1614" t="s">
        <v>322</v>
      </c>
      <c r="D1614" t="s">
        <v>425</v>
      </c>
      <c r="F1614" t="s">
        <v>462</v>
      </c>
      <c r="G1614" t="str">
        <f>HYPERLINK("https://ca.linkedin.com/jobs/view/data-analyst-trilogy-remote-%2460-000-year-usd-at-crossover-3367086698?refId=HgomCS11e%2B4mPhpTBcQrww%3D%3D&amp;trackingId=BGhAtWvzwUG70l2TgVpsbA%3D%3D&amp;position=16&amp;pageNum=0&amp;trk=public_jobs_jserp-result_search-card", "Job Link")</f>
        <v>Job Link</v>
      </c>
      <c r="H1614" t="s">
        <v>477</v>
      </c>
      <c r="I1614" t="s">
        <v>481</v>
      </c>
      <c r="J1614" t="s">
        <v>496</v>
      </c>
      <c r="K1614" t="s">
        <v>549</v>
      </c>
      <c r="L1614" t="s">
        <v>582</v>
      </c>
      <c r="M1614" t="s">
        <v>588</v>
      </c>
      <c r="N1614" t="s">
        <v>601</v>
      </c>
    </row>
    <row r="1615" spans="1:14" x14ac:dyDescent="0.25">
      <c r="A1615" t="s">
        <v>49</v>
      </c>
      <c r="B1615" t="s">
        <v>174</v>
      </c>
      <c r="C1615" t="s">
        <v>323</v>
      </c>
      <c r="D1615" t="s">
        <v>425</v>
      </c>
      <c r="F1615" t="s">
        <v>433</v>
      </c>
      <c r="G1615" t="str">
        <f>HYPERLINK("https://ca.linkedin.com/jobs/view/product-data-analyst-wtfast-at-blankslate-partners-3350561493?refId=HgomCS11e%2B4mPhpTBcQrww%3D%3D&amp;trackingId=7Vbaz5PUCQrrkU13HgIEXw%3D%3D&amp;position=17&amp;pageNum=0&amp;trk=public_jobs_jserp-result_search-card", "Job Link")</f>
        <v>Job Link</v>
      </c>
      <c r="H1615" t="s">
        <v>479</v>
      </c>
      <c r="I1615" t="s">
        <v>481</v>
      </c>
      <c r="J1615" t="s">
        <v>497</v>
      </c>
      <c r="K1615" t="s">
        <v>538</v>
      </c>
      <c r="L1615" t="s">
        <v>603</v>
      </c>
      <c r="M1615" t="s">
        <v>618</v>
      </c>
      <c r="N1615" t="s">
        <v>601</v>
      </c>
    </row>
    <row r="1616" spans="1:14" x14ac:dyDescent="0.25">
      <c r="A1616" t="s">
        <v>50</v>
      </c>
      <c r="B1616" t="s">
        <v>175</v>
      </c>
      <c r="C1616" t="s">
        <v>324</v>
      </c>
      <c r="D1616" t="s">
        <v>425</v>
      </c>
      <c r="F1616" t="s">
        <v>443</v>
      </c>
      <c r="G1616" t="str">
        <f>HYPERLINK("https://ca.linkedin.com/jobs/view/senior-data-analyst-toronto-on-at-ssense-3369567279?refId=HgomCS11e%2B4mPhpTBcQrww%3D%3D&amp;trackingId=bxKzBP5Q4IPOo7gw8JUuGw%3D%3D&amp;position=18&amp;pageNum=0&amp;trk=public_jobs_jserp-result_search-card", "Job Link")</f>
        <v>Job Link</v>
      </c>
      <c r="H1616" t="s">
        <v>478</v>
      </c>
      <c r="I1616" t="s">
        <v>481</v>
      </c>
      <c r="J1616" t="s">
        <v>486</v>
      </c>
      <c r="K1616" t="s">
        <v>550</v>
      </c>
      <c r="L1616" t="s">
        <v>582</v>
      </c>
      <c r="M1616" t="s">
        <v>588</v>
      </c>
      <c r="N1616" t="s">
        <v>601</v>
      </c>
    </row>
    <row r="1617" spans="1:14" x14ac:dyDescent="0.25">
      <c r="A1617" t="s">
        <v>51</v>
      </c>
      <c r="B1617" t="s">
        <v>175</v>
      </c>
      <c r="C1617" t="s">
        <v>325</v>
      </c>
      <c r="D1617" t="s">
        <v>425</v>
      </c>
      <c r="F1617" t="s">
        <v>443</v>
      </c>
      <c r="G1617" t="str">
        <f>HYPERLINK("https://ca.linkedin.com/jobs/view/senior-data-analyst-analytics-insights-toronto-on-at-ssense-3369558722?refId=HgomCS11e%2B4mPhpTBcQrww%3D%3D&amp;trackingId=7OAKZa%2BvZEHmM%2BC853JIvA%3D%3D&amp;position=19&amp;pageNum=0&amp;trk=public_jobs_jserp-result_search-card", "Job Link")</f>
        <v>Job Link</v>
      </c>
      <c r="H1617" t="s">
        <v>478</v>
      </c>
      <c r="I1617" t="s">
        <v>481</v>
      </c>
      <c r="J1617" t="s">
        <v>491</v>
      </c>
      <c r="K1617" t="s">
        <v>550</v>
      </c>
      <c r="L1617" t="s">
        <v>582</v>
      </c>
      <c r="M1617" t="s">
        <v>588</v>
      </c>
      <c r="N1617" t="s">
        <v>601</v>
      </c>
    </row>
    <row r="1618" spans="1:14" x14ac:dyDescent="0.25">
      <c r="A1618" t="s">
        <v>51</v>
      </c>
      <c r="B1618" t="s">
        <v>175</v>
      </c>
      <c r="C1618" t="s">
        <v>325</v>
      </c>
      <c r="D1618" t="s">
        <v>425</v>
      </c>
      <c r="F1618" t="s">
        <v>443</v>
      </c>
      <c r="G1618" t="str">
        <f>HYPERLINK("https://ca.linkedin.com/jobs/view/senior-data-analyst-analytics-insights-toronto-on-at-ssense-3369560180?refId=HgomCS11e%2B4mPhpTBcQrww%3D%3D&amp;trackingId=SgLuxKjwbFbgzAHs87KoKQ%3D%3D&amp;position=20&amp;pageNum=0&amp;trk=public_jobs_jserp-result_search-card", "Job Link")</f>
        <v>Job Link</v>
      </c>
      <c r="H1618" t="s">
        <v>478</v>
      </c>
      <c r="I1618" t="s">
        <v>481</v>
      </c>
      <c r="J1618" t="s">
        <v>491</v>
      </c>
      <c r="K1618" t="s">
        <v>550</v>
      </c>
      <c r="L1618" t="s">
        <v>582</v>
      </c>
      <c r="M1618" t="s">
        <v>588</v>
      </c>
      <c r="N1618" t="s">
        <v>601</v>
      </c>
    </row>
    <row r="1619" spans="1:14" x14ac:dyDescent="0.25">
      <c r="A1619" t="s">
        <v>27</v>
      </c>
      <c r="B1619" t="s">
        <v>176</v>
      </c>
      <c r="C1619" t="s">
        <v>326</v>
      </c>
      <c r="D1619" t="s">
        <v>425</v>
      </c>
      <c r="F1619" t="s">
        <v>441</v>
      </c>
      <c r="G1619" t="str">
        <f>HYPERLINK("https://ca.linkedin.com/jobs/view/sr-data-analyst-at-telus-international-digital-solutions-3331944226?refId=HgomCS11e%2B4mPhpTBcQrww%3D%3D&amp;trackingId=2Vq6yyYX0N7k1kypWWG7pw%3D%3D&amp;position=21&amp;pageNum=0&amp;trk=public_jobs_jserp-result_search-card", "Job Link")</f>
        <v>Job Link</v>
      </c>
      <c r="H1619" t="s">
        <v>478</v>
      </c>
      <c r="I1619" t="s">
        <v>481</v>
      </c>
      <c r="J1619" t="s">
        <v>498</v>
      </c>
      <c r="K1619" t="s">
        <v>521</v>
      </c>
      <c r="L1619" t="s">
        <v>604</v>
      </c>
      <c r="M1619" t="s">
        <v>618</v>
      </c>
      <c r="N1619" t="s">
        <v>601</v>
      </c>
    </row>
    <row r="1620" spans="1:14" x14ac:dyDescent="0.25">
      <c r="A1620" t="s">
        <v>20</v>
      </c>
      <c r="B1620" t="s">
        <v>175</v>
      </c>
      <c r="C1620" t="s">
        <v>324</v>
      </c>
      <c r="D1620" t="s">
        <v>425</v>
      </c>
      <c r="F1620" t="s">
        <v>446</v>
      </c>
      <c r="G1620" t="str">
        <f>HYPERLINK("https://ca.linkedin.com/jobs/view/senior-data-analyst-at-ssense-3342165774?refId=HgomCS11e%2B4mPhpTBcQrww%3D%3D&amp;trackingId=Wg0BW5R7T0PnVPAguf0Pow%3D%3D&amp;position=22&amp;pageNum=0&amp;trk=public_jobs_jserp-result_search-card", "Job Link")</f>
        <v>Job Link</v>
      </c>
      <c r="H1620" t="s">
        <v>478</v>
      </c>
      <c r="I1620" t="s">
        <v>481</v>
      </c>
      <c r="J1620" t="s">
        <v>486</v>
      </c>
      <c r="K1620" t="s">
        <v>550</v>
      </c>
      <c r="L1620" t="s">
        <v>605</v>
      </c>
      <c r="M1620" t="s">
        <v>617</v>
      </c>
      <c r="N1620" t="s">
        <v>601</v>
      </c>
    </row>
    <row r="1621" spans="1:14" x14ac:dyDescent="0.25">
      <c r="A1621" t="s">
        <v>14</v>
      </c>
      <c r="B1621" t="s">
        <v>158</v>
      </c>
      <c r="C1621" t="s">
        <v>307</v>
      </c>
      <c r="D1621" t="s">
        <v>425</v>
      </c>
      <c r="F1621" t="s">
        <v>430</v>
      </c>
      <c r="G1621" t="str">
        <f>HYPERLINK("https://ca.linkedin.com/jobs/view/data-analyst-at-empire-life-3324608289?refId=uizao09sTLyLTzsHP6519Q%3D%3D&amp;trackingId=6Aa7fSfucSDLDQ%2BwdpPllw%3D%3D&amp;position=1&amp;pageNum=0&amp;trk=public_jobs_jserp-result_search-card", "Job Link")</f>
        <v>Job Link</v>
      </c>
      <c r="H1621" t="s">
        <v>476</v>
      </c>
      <c r="I1621" t="s">
        <v>481</v>
      </c>
      <c r="J1621" t="s">
        <v>485</v>
      </c>
      <c r="K1621" t="s">
        <v>523</v>
      </c>
      <c r="L1621" t="s">
        <v>601</v>
      </c>
    </row>
    <row r="1622" spans="1:14" x14ac:dyDescent="0.25">
      <c r="A1622" t="s">
        <v>40</v>
      </c>
      <c r="B1622" t="s">
        <v>159</v>
      </c>
      <c r="C1622" t="s">
        <v>308</v>
      </c>
      <c r="D1622" t="s">
        <v>425</v>
      </c>
      <c r="F1622" t="s">
        <v>435</v>
      </c>
      <c r="G1622" t="str">
        <f>HYPERLINK("https://ca.linkedin.com/jobs/view/data-visualization-developer-analyst-at-blue-boat-data-3335318133?refId=uizao09sTLyLTzsHP6519Q%3D%3D&amp;trackingId=M8LtHM6BeXh3QjICzvXafg%3D%3D&amp;position=2&amp;pageNum=0&amp;trk=public_jobs_jserp-result_search-card", "Job Link")</f>
        <v>Job Link</v>
      </c>
      <c r="I1622" t="s">
        <v>483</v>
      </c>
      <c r="L1622" t="s">
        <v>601</v>
      </c>
    </row>
    <row r="1623" spans="1:14" x14ac:dyDescent="0.25">
      <c r="A1623" t="s">
        <v>14</v>
      </c>
      <c r="B1623" t="s">
        <v>160</v>
      </c>
      <c r="C1623" t="s">
        <v>309</v>
      </c>
      <c r="D1623" t="s">
        <v>425</v>
      </c>
      <c r="E1623" t="s">
        <v>427</v>
      </c>
      <c r="F1623" t="s">
        <v>458</v>
      </c>
      <c r="G1623" t="str">
        <f>HYPERLINK("https://ca.linkedin.com/jobs/view/data-analyst-at-libitzky-property-companies-3314494593?refId=uizao09sTLyLTzsHP6519Q%3D%3D&amp;trackingId=i%2FV2tnvM2bi0LgKc%2F3xVnw%3D%3D&amp;position=3&amp;pageNum=0&amp;trk=public_jobs_jserp-result_search-card", "Job Link")</f>
        <v>Job Link</v>
      </c>
      <c r="H1623" t="s">
        <v>476</v>
      </c>
      <c r="I1623" t="s">
        <v>481</v>
      </c>
      <c r="J1623" t="s">
        <v>486</v>
      </c>
      <c r="K1623" t="s">
        <v>516</v>
      </c>
      <c r="L1623" t="s">
        <v>601</v>
      </c>
    </row>
    <row r="1624" spans="1:14" x14ac:dyDescent="0.25">
      <c r="A1624" t="s">
        <v>14</v>
      </c>
      <c r="B1624" t="s">
        <v>161</v>
      </c>
      <c r="C1624" t="s">
        <v>310</v>
      </c>
      <c r="D1624" t="s">
        <v>425</v>
      </c>
      <c r="F1624" t="s">
        <v>435</v>
      </c>
      <c r="G1624" t="str">
        <f>HYPERLINK("https://ca.linkedin.com/jobs/view/data-analyst-at-spire-3340696458?refId=uizao09sTLyLTzsHP6519Q%3D%3D&amp;trackingId=tYLkCjLchzytGeP%2B4bb3og%3D%3D&amp;position=4&amp;pageNum=0&amp;trk=public_jobs_jserp-result_search-card", "Job Link")</f>
        <v>Job Link</v>
      </c>
      <c r="H1624" t="s">
        <v>476</v>
      </c>
      <c r="I1624" t="s">
        <v>481</v>
      </c>
      <c r="J1624" t="s">
        <v>486</v>
      </c>
      <c r="K1624" t="s">
        <v>517</v>
      </c>
      <c r="L1624" t="s">
        <v>602</v>
      </c>
      <c r="M1624" t="s">
        <v>588</v>
      </c>
      <c r="N1624" t="s">
        <v>601</v>
      </c>
    </row>
    <row r="1625" spans="1:14" x14ac:dyDescent="0.25">
      <c r="A1625" t="s">
        <v>14</v>
      </c>
      <c r="B1625" t="s">
        <v>163</v>
      </c>
      <c r="C1625" t="s">
        <v>312</v>
      </c>
      <c r="D1625" t="s">
        <v>425</v>
      </c>
      <c r="F1625" t="s">
        <v>443</v>
      </c>
      <c r="G1625" t="str">
        <f>HYPERLINK("https://ca.linkedin.com/jobs/view/data-analyst-at-mojio-3363472062?refId=uizao09sTLyLTzsHP6519Q%3D%3D&amp;trackingId=OXHIIQdiG1EjTJ66mtYoaQ%3D%3D&amp;position=5&amp;pageNum=0&amp;trk=public_jobs_jserp-result_search-card", "Job Link")</f>
        <v>Job Link</v>
      </c>
      <c r="H1625" t="s">
        <v>478</v>
      </c>
      <c r="I1625" t="s">
        <v>481</v>
      </c>
      <c r="J1625" t="s">
        <v>493</v>
      </c>
      <c r="K1625" t="s">
        <v>544</v>
      </c>
      <c r="L1625" t="s">
        <v>601</v>
      </c>
    </row>
    <row r="1626" spans="1:14" x14ac:dyDescent="0.25">
      <c r="A1626" t="s">
        <v>41</v>
      </c>
      <c r="B1626" t="s">
        <v>164</v>
      </c>
      <c r="C1626" t="s">
        <v>313</v>
      </c>
      <c r="D1626" t="s">
        <v>425</v>
      </c>
      <c r="F1626" t="s">
        <v>444</v>
      </c>
      <c r="G1626" t="str">
        <f>HYPERLINK("https://ca.linkedin.com/jobs/view/product-data-analyst-at-pdftron-systems-inc-3322845144?refId=uizao09sTLyLTzsHP6519Q%3D%3D&amp;trackingId=E5JWZefHKDwXxG%2F0%2BaR8sA%3D%3D&amp;position=6&amp;pageNum=0&amp;trk=public_jobs_jserp-result_search-card", "Job Link")</f>
        <v>Job Link</v>
      </c>
      <c r="H1626" t="s">
        <v>479</v>
      </c>
      <c r="I1626" t="s">
        <v>481</v>
      </c>
      <c r="J1626" t="s">
        <v>487</v>
      </c>
      <c r="K1626" t="s">
        <v>538</v>
      </c>
      <c r="L1626" t="s">
        <v>590</v>
      </c>
      <c r="M1626" t="s">
        <v>618</v>
      </c>
      <c r="N1626" t="s">
        <v>601</v>
      </c>
    </row>
    <row r="1627" spans="1:14" x14ac:dyDescent="0.25">
      <c r="A1627" t="s">
        <v>42</v>
      </c>
      <c r="B1627" t="s">
        <v>165</v>
      </c>
      <c r="C1627" t="s">
        <v>314</v>
      </c>
      <c r="D1627" t="s">
        <v>425</v>
      </c>
      <c r="F1627" t="s">
        <v>459</v>
      </c>
      <c r="G1627" t="str">
        <f>HYPERLINK("https://ca.linkedin.com/jobs/view/cognitive-data-analyst-at-wysdom-ai-3333087497?refId=uizao09sTLyLTzsHP6519Q%3D%3D&amp;trackingId=uCcsRCjAU6SSuXf58cEIkA%3D%3D&amp;position=7&amp;pageNum=0&amp;trk=public_jobs_jserp-result_search-card", "Job Link")</f>
        <v>Job Link</v>
      </c>
      <c r="H1627" t="s">
        <v>478</v>
      </c>
      <c r="I1627" t="s">
        <v>481</v>
      </c>
      <c r="J1627" t="s">
        <v>486</v>
      </c>
      <c r="K1627" t="s">
        <v>516</v>
      </c>
      <c r="L1627" t="s">
        <v>601</v>
      </c>
    </row>
    <row r="1628" spans="1:14" x14ac:dyDescent="0.25">
      <c r="A1628" t="s">
        <v>14</v>
      </c>
      <c r="B1628" t="s">
        <v>162</v>
      </c>
      <c r="C1628" t="s">
        <v>311</v>
      </c>
      <c r="D1628" t="s">
        <v>425</v>
      </c>
      <c r="F1628" t="s">
        <v>434</v>
      </c>
      <c r="G1628" t="str">
        <f>HYPERLINK("https://ca.linkedin.com/jobs/view/data-analyst-at-money-mart-financial-services-3361528052?refId=uizao09sTLyLTzsHP6519Q%3D%3D&amp;trackingId=TM4NMUPA%2Bqd91n0FmCYn6w%3D%3D&amp;position=8&amp;pageNum=0&amp;trk=public_jobs_jserp-result_search-card", "Job Link")</f>
        <v>Job Link</v>
      </c>
      <c r="H1628" t="s">
        <v>477</v>
      </c>
      <c r="I1628" t="s">
        <v>481</v>
      </c>
      <c r="J1628" t="s">
        <v>488</v>
      </c>
      <c r="K1628" t="s">
        <v>527</v>
      </c>
      <c r="L1628" t="s">
        <v>582</v>
      </c>
      <c r="M1628" t="s">
        <v>588</v>
      </c>
      <c r="N1628" t="s">
        <v>601</v>
      </c>
    </row>
    <row r="1629" spans="1:14" x14ac:dyDescent="0.25">
      <c r="A1629" t="s">
        <v>44</v>
      </c>
      <c r="B1629" t="s">
        <v>167</v>
      </c>
      <c r="C1629" t="s">
        <v>316</v>
      </c>
      <c r="D1629" t="s">
        <v>425</v>
      </c>
      <c r="F1629" t="s">
        <v>460</v>
      </c>
      <c r="G1629" t="str">
        <f>HYPERLINK("https://ca.linkedin.com/jobs/view/data-analyst-marketing-at-thescore-3272474942?refId=uizao09sTLyLTzsHP6519Q%3D%3D&amp;trackingId=tx2ZthWdrHf8epjzedmxlQ%3D%3D&amp;position=9&amp;pageNum=0&amp;trk=public_jobs_jserp-result_search-card", "Job Link")</f>
        <v>Job Link</v>
      </c>
      <c r="H1629" t="s">
        <v>476</v>
      </c>
      <c r="I1629" t="s">
        <v>481</v>
      </c>
      <c r="J1629" t="s">
        <v>486</v>
      </c>
      <c r="K1629" t="s">
        <v>545</v>
      </c>
      <c r="L1629" t="s">
        <v>582</v>
      </c>
      <c r="M1629" t="s">
        <v>588</v>
      </c>
      <c r="N1629" t="s">
        <v>601</v>
      </c>
    </row>
    <row r="1630" spans="1:14" x14ac:dyDescent="0.25">
      <c r="A1630" t="s">
        <v>45</v>
      </c>
      <c r="B1630" t="s">
        <v>168</v>
      </c>
      <c r="C1630" t="s">
        <v>317</v>
      </c>
      <c r="D1630" t="s">
        <v>425</v>
      </c>
      <c r="F1630" t="s">
        <v>443</v>
      </c>
      <c r="G1630" t="str">
        <f>HYPERLINK("https://ca.linkedin.com/jobs/view/senior-data-analyst-apac-marketplace-at-hopper-3363404929?refId=uizao09sTLyLTzsHP6519Q%3D%3D&amp;trackingId=NkQ27LyCFx1MaGIFJeoAzg%3D%3D&amp;position=10&amp;pageNum=0&amp;trk=public_jobs_jserp-result_search-card", "Job Link")</f>
        <v>Job Link</v>
      </c>
      <c r="H1630" t="s">
        <v>478</v>
      </c>
      <c r="I1630" t="s">
        <v>485</v>
      </c>
      <c r="J1630" t="s">
        <v>486</v>
      </c>
      <c r="K1630" t="s">
        <v>538</v>
      </c>
      <c r="L1630" t="s">
        <v>601</v>
      </c>
    </row>
    <row r="1631" spans="1:14" x14ac:dyDescent="0.25">
      <c r="A1631" t="s">
        <v>46</v>
      </c>
      <c r="B1631" t="s">
        <v>169</v>
      </c>
      <c r="C1631" t="s">
        <v>318</v>
      </c>
      <c r="D1631" t="s">
        <v>425</v>
      </c>
      <c r="F1631" t="s">
        <v>461</v>
      </c>
      <c r="G1631" t="str">
        <f>HYPERLINK("https://ca.linkedin.com/jobs/view/senior-data-analyst-remote-at-insurance-supermarket-international-usa-3347334252?refId=uizao09sTLyLTzsHP6519Q%3D%3D&amp;trackingId=Bwwf%2F5XMcO4lGEn4PhVHPw%3D%3D&amp;position=11&amp;pageNum=0&amp;trk=public_jobs_jserp-result_search-card", "Job Link")</f>
        <v>Job Link</v>
      </c>
      <c r="H1631" t="s">
        <v>478</v>
      </c>
      <c r="I1631" t="s">
        <v>481</v>
      </c>
      <c r="J1631" t="s">
        <v>494</v>
      </c>
      <c r="K1631" t="s">
        <v>546</v>
      </c>
      <c r="L1631" t="s">
        <v>601</v>
      </c>
    </row>
    <row r="1632" spans="1:14" x14ac:dyDescent="0.25">
      <c r="A1632" t="s">
        <v>20</v>
      </c>
      <c r="B1632" t="s">
        <v>170</v>
      </c>
      <c r="C1632" t="s">
        <v>319</v>
      </c>
      <c r="D1632" t="s">
        <v>425</v>
      </c>
      <c r="F1632" t="s">
        <v>450</v>
      </c>
      <c r="G1632" t="str">
        <f>HYPERLINK("https://ca.linkedin.com/jobs/view/senior-data-analyst-at-thinkific-3333572538?refId=uizao09sTLyLTzsHP6519Q%3D%3D&amp;trackingId=ACvQ0111yCmiFOVHsHPfLw%3D%3D&amp;position=12&amp;pageNum=0&amp;trk=public_jobs_jserp-result_search-card", "Job Link")</f>
        <v>Job Link</v>
      </c>
      <c r="H1632" t="s">
        <v>478</v>
      </c>
      <c r="I1632" t="s">
        <v>481</v>
      </c>
      <c r="J1632" t="s">
        <v>495</v>
      </c>
      <c r="K1632" t="s">
        <v>547</v>
      </c>
      <c r="L1632" t="s">
        <v>601</v>
      </c>
    </row>
    <row r="1633" spans="1:14" x14ac:dyDescent="0.25">
      <c r="A1633" t="s">
        <v>47</v>
      </c>
      <c r="B1633" t="s">
        <v>171</v>
      </c>
      <c r="C1633" t="s">
        <v>320</v>
      </c>
      <c r="D1633" t="s">
        <v>425</v>
      </c>
      <c r="F1633" t="s">
        <v>447</v>
      </c>
      <c r="G1633" t="str">
        <f>HYPERLINK("https://ca.linkedin.com/jobs/view/insights-analyst-at-flashfood-3312876343?refId=uizao09sTLyLTzsHP6519Q%3D%3D&amp;trackingId=%2Bcg5s%2BXygYclZlV3OA5cQw%3D%3D&amp;position=13&amp;pageNum=0&amp;trk=public_jobs_jserp-result_search-card", "Job Link")</f>
        <v>Job Link</v>
      </c>
      <c r="I1633" t="s">
        <v>481</v>
      </c>
      <c r="L1633" t="s">
        <v>601</v>
      </c>
    </row>
    <row r="1634" spans="1:14" x14ac:dyDescent="0.25">
      <c r="A1634" t="s">
        <v>20</v>
      </c>
      <c r="B1634" t="s">
        <v>172</v>
      </c>
      <c r="C1634" t="s">
        <v>321</v>
      </c>
      <c r="D1634" t="s">
        <v>425</v>
      </c>
      <c r="F1634" t="s">
        <v>438</v>
      </c>
      <c r="G1634" t="str">
        <f>HYPERLINK("https://ca.linkedin.com/jobs/view/senior-data-analyst-at-system1-3324728130?refId=uizao09sTLyLTzsHP6519Q%3D%3D&amp;trackingId=FjsTFs%2BxlzS3g3VP%2Fj87rQ%3D%3D&amp;position=14&amp;pageNum=0&amp;trk=public_jobs_jserp-result_search-card", "Job Link")</f>
        <v>Job Link</v>
      </c>
      <c r="H1634" t="s">
        <v>478</v>
      </c>
      <c r="I1634" t="s">
        <v>481</v>
      </c>
      <c r="J1634" t="s">
        <v>486</v>
      </c>
      <c r="K1634" t="s">
        <v>548</v>
      </c>
      <c r="L1634" t="s">
        <v>587</v>
      </c>
      <c r="M1634" t="s">
        <v>588</v>
      </c>
      <c r="N1634" t="s">
        <v>601</v>
      </c>
    </row>
    <row r="1635" spans="1:14" x14ac:dyDescent="0.25">
      <c r="A1635" t="s">
        <v>48</v>
      </c>
      <c r="B1635" t="s">
        <v>173</v>
      </c>
      <c r="C1635" t="s">
        <v>322</v>
      </c>
      <c r="D1635" t="s">
        <v>425</v>
      </c>
      <c r="F1635" t="s">
        <v>462</v>
      </c>
      <c r="G1635" t="str">
        <f>HYPERLINK("https://ca.linkedin.com/jobs/view/data-analyst-trilogy-remote-%2460-000-year-usd-at-crossover-3367086698?refId=uizao09sTLyLTzsHP6519Q%3D%3D&amp;trackingId=oy0Rp1a%2Fs4AIxyXj1wMEGQ%3D%3D&amp;position=15&amp;pageNum=0&amp;trk=public_jobs_jserp-result_search-card", "Job Link")</f>
        <v>Job Link</v>
      </c>
      <c r="H1635" t="s">
        <v>477</v>
      </c>
      <c r="I1635" t="s">
        <v>481</v>
      </c>
      <c r="J1635" t="s">
        <v>496</v>
      </c>
      <c r="K1635" t="s">
        <v>549</v>
      </c>
      <c r="L1635" t="s">
        <v>582</v>
      </c>
      <c r="M1635" t="s">
        <v>588</v>
      </c>
      <c r="N1635" t="s">
        <v>601</v>
      </c>
    </row>
    <row r="1636" spans="1:14" x14ac:dyDescent="0.25">
      <c r="A1636" t="s">
        <v>49</v>
      </c>
      <c r="B1636" t="s">
        <v>174</v>
      </c>
      <c r="C1636" t="s">
        <v>323</v>
      </c>
      <c r="D1636" t="s">
        <v>425</v>
      </c>
      <c r="F1636" t="s">
        <v>433</v>
      </c>
      <c r="G1636" t="str">
        <f>HYPERLINK("https://ca.linkedin.com/jobs/view/product-data-analyst-wtfast-at-blankslate-partners-3350561493?refId=uizao09sTLyLTzsHP6519Q%3D%3D&amp;trackingId=VvqiLYmTGTTWxrNT1pygTw%3D%3D&amp;position=16&amp;pageNum=0&amp;trk=public_jobs_jserp-result_search-card", "Job Link")</f>
        <v>Job Link</v>
      </c>
      <c r="H1636" t="s">
        <v>479</v>
      </c>
      <c r="I1636" t="s">
        <v>481</v>
      </c>
      <c r="J1636" t="s">
        <v>497</v>
      </c>
      <c r="K1636" t="s">
        <v>538</v>
      </c>
      <c r="L1636" t="s">
        <v>603</v>
      </c>
      <c r="M1636" t="s">
        <v>618</v>
      </c>
      <c r="N1636" t="s">
        <v>601</v>
      </c>
    </row>
    <row r="1637" spans="1:14" x14ac:dyDescent="0.25">
      <c r="A1637" t="s">
        <v>50</v>
      </c>
      <c r="B1637" t="s">
        <v>175</v>
      </c>
      <c r="C1637" t="s">
        <v>324</v>
      </c>
      <c r="D1637" t="s">
        <v>425</v>
      </c>
      <c r="F1637" t="s">
        <v>443</v>
      </c>
      <c r="G1637" t="str">
        <f>HYPERLINK("https://ca.linkedin.com/jobs/view/senior-data-analyst-toronto-on-at-ssense-3369567279?refId=uizao09sTLyLTzsHP6519Q%3D%3D&amp;trackingId=y9pn0DjoPdkuPWU8iNE%2FbQ%3D%3D&amp;position=17&amp;pageNum=0&amp;trk=public_jobs_jserp-result_search-card", "Job Link")</f>
        <v>Job Link</v>
      </c>
      <c r="H1637" t="s">
        <v>478</v>
      </c>
      <c r="I1637" t="s">
        <v>481</v>
      </c>
      <c r="J1637" t="s">
        <v>486</v>
      </c>
      <c r="K1637" t="s">
        <v>550</v>
      </c>
      <c r="L1637" t="s">
        <v>582</v>
      </c>
      <c r="M1637" t="s">
        <v>588</v>
      </c>
      <c r="N1637" t="s">
        <v>601</v>
      </c>
    </row>
    <row r="1638" spans="1:14" x14ac:dyDescent="0.25">
      <c r="A1638" t="s">
        <v>51</v>
      </c>
      <c r="B1638" t="s">
        <v>175</v>
      </c>
      <c r="C1638" t="s">
        <v>325</v>
      </c>
      <c r="D1638" t="s">
        <v>425</v>
      </c>
      <c r="F1638" t="s">
        <v>443</v>
      </c>
      <c r="G1638" t="str">
        <f>HYPERLINK("https://ca.linkedin.com/jobs/view/senior-data-analyst-analytics-insights-toronto-on-at-ssense-3369558722?refId=uizao09sTLyLTzsHP6519Q%3D%3D&amp;trackingId=XYo%2FX8c14Co7Zy0G%2BZmHkg%3D%3D&amp;position=18&amp;pageNum=0&amp;trk=public_jobs_jserp-result_search-card", "Job Link")</f>
        <v>Job Link</v>
      </c>
      <c r="H1638" t="s">
        <v>478</v>
      </c>
      <c r="I1638" t="s">
        <v>481</v>
      </c>
      <c r="J1638" t="s">
        <v>491</v>
      </c>
      <c r="K1638" t="s">
        <v>550</v>
      </c>
      <c r="L1638" t="s">
        <v>582</v>
      </c>
      <c r="M1638" t="s">
        <v>588</v>
      </c>
      <c r="N1638" t="s">
        <v>601</v>
      </c>
    </row>
    <row r="1639" spans="1:14" x14ac:dyDescent="0.25">
      <c r="A1639" t="s">
        <v>51</v>
      </c>
      <c r="B1639" t="s">
        <v>175</v>
      </c>
      <c r="C1639" t="s">
        <v>325</v>
      </c>
      <c r="D1639" t="s">
        <v>425</v>
      </c>
      <c r="F1639" t="s">
        <v>443</v>
      </c>
      <c r="G1639" t="str">
        <f>HYPERLINK("https://ca.linkedin.com/jobs/view/senior-data-analyst-analytics-insights-toronto-on-at-ssense-3369560180?refId=uizao09sTLyLTzsHP6519Q%3D%3D&amp;trackingId=eU3KGN5q1j9xDAx1py4eyQ%3D%3D&amp;position=19&amp;pageNum=0&amp;trk=public_jobs_jserp-result_search-card", "Job Link")</f>
        <v>Job Link</v>
      </c>
      <c r="H1639" t="s">
        <v>478</v>
      </c>
      <c r="I1639" t="s">
        <v>481</v>
      </c>
      <c r="J1639" t="s">
        <v>491</v>
      </c>
      <c r="K1639" t="s">
        <v>550</v>
      </c>
      <c r="L1639" t="s">
        <v>582</v>
      </c>
      <c r="M1639" t="s">
        <v>588</v>
      </c>
      <c r="N1639" t="s">
        <v>601</v>
      </c>
    </row>
    <row r="1640" spans="1:14" x14ac:dyDescent="0.25">
      <c r="A1640" t="s">
        <v>27</v>
      </c>
      <c r="B1640" t="s">
        <v>176</v>
      </c>
      <c r="C1640" t="s">
        <v>326</v>
      </c>
      <c r="D1640" t="s">
        <v>425</v>
      </c>
      <c r="F1640" t="s">
        <v>441</v>
      </c>
      <c r="G1640" t="str">
        <f>HYPERLINK("https://ca.linkedin.com/jobs/view/sr-data-analyst-at-telus-international-digital-solutions-3331944226?refId=uizao09sTLyLTzsHP6519Q%3D%3D&amp;trackingId=ZlgAjdFhfP%2FXR38rwlf35g%3D%3D&amp;position=20&amp;pageNum=0&amp;trk=public_jobs_jserp-result_search-card", "Job Link")</f>
        <v>Job Link</v>
      </c>
      <c r="H1640" t="s">
        <v>478</v>
      </c>
      <c r="I1640" t="s">
        <v>481</v>
      </c>
      <c r="J1640" t="s">
        <v>498</v>
      </c>
      <c r="K1640" t="s">
        <v>521</v>
      </c>
      <c r="L1640" t="s">
        <v>604</v>
      </c>
      <c r="M1640" t="s">
        <v>618</v>
      </c>
      <c r="N1640" t="s">
        <v>601</v>
      </c>
    </row>
    <row r="1641" spans="1:14" x14ac:dyDescent="0.25">
      <c r="A1641" t="s">
        <v>20</v>
      </c>
      <c r="B1641" t="s">
        <v>175</v>
      </c>
      <c r="C1641" t="s">
        <v>324</v>
      </c>
      <c r="D1641" t="s">
        <v>425</v>
      </c>
      <c r="F1641" t="s">
        <v>446</v>
      </c>
      <c r="G1641" t="str">
        <f>HYPERLINK("https://ca.linkedin.com/jobs/view/senior-data-analyst-at-ssense-3342165774?refId=uizao09sTLyLTzsHP6519Q%3D%3D&amp;trackingId=ebauDraZdJAwyBOD3AI6%2BQ%3D%3D&amp;position=21&amp;pageNum=0&amp;trk=public_jobs_jserp-result_search-card", "Job Link")</f>
        <v>Job Link</v>
      </c>
      <c r="H1641" t="s">
        <v>478</v>
      </c>
      <c r="I1641" t="s">
        <v>481</v>
      </c>
      <c r="J1641" t="s">
        <v>486</v>
      </c>
      <c r="K1641" t="s">
        <v>550</v>
      </c>
      <c r="L1641" t="s">
        <v>605</v>
      </c>
      <c r="M1641" t="s">
        <v>617</v>
      </c>
      <c r="N1641" t="s">
        <v>601</v>
      </c>
    </row>
    <row r="1642" spans="1:14" x14ac:dyDescent="0.25">
      <c r="A1642" t="s">
        <v>71</v>
      </c>
      <c r="B1642" t="s">
        <v>195</v>
      </c>
      <c r="C1642" t="s">
        <v>348</v>
      </c>
      <c r="D1642" t="s">
        <v>425</v>
      </c>
      <c r="F1642" t="s">
        <v>440</v>
      </c>
      <c r="G1642" t="str">
        <f>HYPERLINK("https://ca.linkedin.com/jobs/view/data-analyst-forecasting-specialist-at-coradix-technology-consulting-ltd-3370911681?refId=uizao09sTLyLTzsHP6519Q%3D%3D&amp;trackingId=HBXzmry8CCtcOArCLT0nFg%3D%3D&amp;position=22&amp;pageNum=0&amp;trk=public_jobs_jserp-result_search-card", "Job Link")</f>
        <v>Job Link</v>
      </c>
      <c r="H1642" t="s">
        <v>478</v>
      </c>
      <c r="I1642" t="s">
        <v>481</v>
      </c>
      <c r="J1642" t="s">
        <v>504</v>
      </c>
      <c r="K1642" t="s">
        <v>521</v>
      </c>
      <c r="L1642" t="s">
        <v>594</v>
      </c>
      <c r="M1642" t="s">
        <v>588</v>
      </c>
      <c r="N1642" t="s">
        <v>601</v>
      </c>
    </row>
    <row r="1643" spans="1:14" x14ac:dyDescent="0.25">
      <c r="A1643" t="s">
        <v>14</v>
      </c>
      <c r="B1643" t="s">
        <v>158</v>
      </c>
      <c r="C1643" t="s">
        <v>307</v>
      </c>
      <c r="D1643" t="s">
        <v>425</v>
      </c>
      <c r="F1643" t="s">
        <v>430</v>
      </c>
      <c r="G1643" t="str">
        <f>HYPERLINK("https://ca.linkedin.com/jobs/view/data-analyst-at-empire-life-3324608289?refId=QuUPmw0fJtQ4%2FOQi7oeEvA%3D%3D&amp;trackingId=%2FhHlmI1fd8Xm9LX6EUtf9Q%3D%3D&amp;position=1&amp;pageNum=0&amp;trk=public_jobs_jserp-result_search-card", "Job Link")</f>
        <v>Job Link</v>
      </c>
      <c r="H1643" t="s">
        <v>476</v>
      </c>
      <c r="I1643" t="s">
        <v>481</v>
      </c>
      <c r="J1643" t="s">
        <v>485</v>
      </c>
      <c r="K1643" t="s">
        <v>523</v>
      </c>
      <c r="L1643" t="s">
        <v>601</v>
      </c>
    </row>
    <row r="1644" spans="1:14" x14ac:dyDescent="0.25">
      <c r="A1644" t="s">
        <v>40</v>
      </c>
      <c r="B1644" t="s">
        <v>159</v>
      </c>
      <c r="C1644" t="s">
        <v>308</v>
      </c>
      <c r="D1644" t="s">
        <v>425</v>
      </c>
      <c r="F1644" t="s">
        <v>435</v>
      </c>
      <c r="G1644" t="str">
        <f>HYPERLINK("https://ca.linkedin.com/jobs/view/data-visualization-developer-analyst-at-blue-boat-data-3335318133?refId=QuUPmw0fJtQ4%2FOQi7oeEvA%3D%3D&amp;trackingId=hPE8ooDwKDrJXamOaA1d%2Fg%3D%3D&amp;position=2&amp;pageNum=0&amp;trk=public_jobs_jserp-result_search-card", "Job Link")</f>
        <v>Job Link</v>
      </c>
      <c r="I1644" t="s">
        <v>483</v>
      </c>
      <c r="L1644" t="s">
        <v>601</v>
      </c>
    </row>
    <row r="1645" spans="1:14" x14ac:dyDescent="0.25">
      <c r="A1645" t="s">
        <v>14</v>
      </c>
      <c r="B1645" t="s">
        <v>160</v>
      </c>
      <c r="C1645" t="s">
        <v>309</v>
      </c>
      <c r="D1645" t="s">
        <v>425</v>
      </c>
      <c r="E1645" t="s">
        <v>427</v>
      </c>
      <c r="F1645" t="s">
        <v>458</v>
      </c>
      <c r="G1645" t="str">
        <f>HYPERLINK("https://ca.linkedin.com/jobs/view/data-analyst-at-libitzky-property-companies-3314494593?refId=QuUPmw0fJtQ4%2FOQi7oeEvA%3D%3D&amp;trackingId=IHfgRKlJ8lstiEmgJ0Eeng%3D%3D&amp;position=3&amp;pageNum=0&amp;trk=public_jobs_jserp-result_search-card", "Job Link")</f>
        <v>Job Link</v>
      </c>
      <c r="H1645" t="s">
        <v>476</v>
      </c>
      <c r="I1645" t="s">
        <v>481</v>
      </c>
      <c r="J1645" t="s">
        <v>486</v>
      </c>
      <c r="K1645" t="s">
        <v>516</v>
      </c>
      <c r="L1645" t="s">
        <v>601</v>
      </c>
    </row>
    <row r="1646" spans="1:14" x14ac:dyDescent="0.25">
      <c r="A1646" t="s">
        <v>14</v>
      </c>
      <c r="B1646" t="s">
        <v>161</v>
      </c>
      <c r="C1646" t="s">
        <v>310</v>
      </c>
      <c r="D1646" t="s">
        <v>425</v>
      </c>
      <c r="F1646" t="s">
        <v>435</v>
      </c>
      <c r="G1646" t="str">
        <f>HYPERLINK("https://ca.linkedin.com/jobs/view/data-analyst-at-spire-3340696458?refId=QuUPmw0fJtQ4%2FOQi7oeEvA%3D%3D&amp;trackingId=pxfcbH0Gah1%2BWa0IEbWmAQ%3D%3D&amp;position=4&amp;pageNum=0&amp;trk=public_jobs_jserp-result_search-card", "Job Link")</f>
        <v>Job Link</v>
      </c>
      <c r="H1646" t="s">
        <v>476</v>
      </c>
      <c r="I1646" t="s">
        <v>481</v>
      </c>
      <c r="J1646" t="s">
        <v>486</v>
      </c>
      <c r="K1646" t="s">
        <v>517</v>
      </c>
      <c r="L1646" t="s">
        <v>602</v>
      </c>
      <c r="M1646" t="s">
        <v>588</v>
      </c>
      <c r="N1646" t="s">
        <v>601</v>
      </c>
    </row>
    <row r="1647" spans="1:14" x14ac:dyDescent="0.25">
      <c r="A1647" t="s">
        <v>14</v>
      </c>
      <c r="B1647" t="s">
        <v>163</v>
      </c>
      <c r="C1647" t="s">
        <v>312</v>
      </c>
      <c r="D1647" t="s">
        <v>425</v>
      </c>
      <c r="F1647" t="s">
        <v>443</v>
      </c>
      <c r="G1647" t="str">
        <f>HYPERLINK("https://ca.linkedin.com/jobs/view/data-analyst-at-mojio-3363472062?refId=QuUPmw0fJtQ4%2FOQi7oeEvA%3D%3D&amp;trackingId=t%2F68LnKrsLw9YurV%2Bm5FkA%3D%3D&amp;position=5&amp;pageNum=0&amp;trk=public_jobs_jserp-result_search-card", "Job Link")</f>
        <v>Job Link</v>
      </c>
      <c r="H1647" t="s">
        <v>478</v>
      </c>
      <c r="I1647" t="s">
        <v>481</v>
      </c>
      <c r="J1647" t="s">
        <v>493</v>
      </c>
      <c r="K1647" t="s">
        <v>544</v>
      </c>
      <c r="L1647" t="s">
        <v>601</v>
      </c>
    </row>
    <row r="1648" spans="1:14" x14ac:dyDescent="0.25">
      <c r="A1648" t="s">
        <v>41</v>
      </c>
      <c r="B1648" t="s">
        <v>164</v>
      </c>
      <c r="C1648" t="s">
        <v>313</v>
      </c>
      <c r="D1648" t="s">
        <v>425</v>
      </c>
      <c r="F1648" t="s">
        <v>444</v>
      </c>
      <c r="G1648" t="str">
        <f>HYPERLINK("https://ca.linkedin.com/jobs/view/product-data-analyst-at-pdftron-systems-inc-3322845144?refId=QuUPmw0fJtQ4%2FOQi7oeEvA%3D%3D&amp;trackingId=nl6VcdnnyKmUlrXxcXLDUQ%3D%3D&amp;position=6&amp;pageNum=0&amp;trk=public_jobs_jserp-result_search-card", "Job Link")</f>
        <v>Job Link</v>
      </c>
      <c r="H1648" t="s">
        <v>479</v>
      </c>
      <c r="I1648" t="s">
        <v>481</v>
      </c>
      <c r="J1648" t="s">
        <v>487</v>
      </c>
      <c r="K1648" t="s">
        <v>538</v>
      </c>
      <c r="L1648" t="s">
        <v>590</v>
      </c>
      <c r="M1648" t="s">
        <v>618</v>
      </c>
      <c r="N1648" t="s">
        <v>601</v>
      </c>
    </row>
    <row r="1649" spans="1:14" x14ac:dyDescent="0.25">
      <c r="A1649" t="s">
        <v>42</v>
      </c>
      <c r="B1649" t="s">
        <v>165</v>
      </c>
      <c r="C1649" t="s">
        <v>314</v>
      </c>
      <c r="D1649" t="s">
        <v>425</v>
      </c>
      <c r="F1649" t="s">
        <v>459</v>
      </c>
      <c r="G1649" t="str">
        <f>HYPERLINK("https://ca.linkedin.com/jobs/view/cognitive-data-analyst-at-wysdom-ai-3333087497?refId=QuUPmw0fJtQ4%2FOQi7oeEvA%3D%3D&amp;trackingId=%2Bt0%2B7dk07WreLiIVC4%2F4wQ%3D%3D&amp;position=7&amp;pageNum=0&amp;trk=public_jobs_jserp-result_search-card", "Job Link")</f>
        <v>Job Link</v>
      </c>
      <c r="H1649" t="s">
        <v>478</v>
      </c>
      <c r="I1649" t="s">
        <v>481</v>
      </c>
      <c r="J1649" t="s">
        <v>486</v>
      </c>
      <c r="K1649" t="s">
        <v>516</v>
      </c>
      <c r="L1649" t="s">
        <v>601</v>
      </c>
    </row>
    <row r="1650" spans="1:14" x14ac:dyDescent="0.25">
      <c r="A1650" t="s">
        <v>14</v>
      </c>
      <c r="B1650" t="s">
        <v>162</v>
      </c>
      <c r="C1650" t="s">
        <v>311</v>
      </c>
      <c r="D1650" t="s">
        <v>425</v>
      </c>
      <c r="F1650" t="s">
        <v>434</v>
      </c>
      <c r="G1650" t="str">
        <f>HYPERLINK("https://ca.linkedin.com/jobs/view/data-analyst-at-money-mart-financial-services-3361528052?refId=QuUPmw0fJtQ4%2FOQi7oeEvA%3D%3D&amp;trackingId=mKc0MKvVncB9pus%2BpIBVnA%3D%3D&amp;position=8&amp;pageNum=0&amp;trk=public_jobs_jserp-result_search-card", "Job Link")</f>
        <v>Job Link</v>
      </c>
      <c r="H1650" t="s">
        <v>477</v>
      </c>
      <c r="I1650" t="s">
        <v>481</v>
      </c>
      <c r="J1650" t="s">
        <v>488</v>
      </c>
      <c r="K1650" t="s">
        <v>527</v>
      </c>
      <c r="L1650" t="s">
        <v>582</v>
      </c>
      <c r="M1650" t="s">
        <v>588</v>
      </c>
      <c r="N1650" t="s">
        <v>601</v>
      </c>
    </row>
    <row r="1651" spans="1:14" x14ac:dyDescent="0.25">
      <c r="A1651" t="s">
        <v>44</v>
      </c>
      <c r="B1651" t="s">
        <v>167</v>
      </c>
      <c r="C1651" t="s">
        <v>316</v>
      </c>
      <c r="D1651" t="s">
        <v>425</v>
      </c>
      <c r="F1651" t="s">
        <v>460</v>
      </c>
      <c r="G1651" t="str">
        <f>HYPERLINK("https://ca.linkedin.com/jobs/view/data-analyst-marketing-at-thescore-3272474942?refId=QuUPmw0fJtQ4%2FOQi7oeEvA%3D%3D&amp;trackingId=n0zPxCXmPXxOOse2wvW0og%3D%3D&amp;position=9&amp;pageNum=0&amp;trk=public_jobs_jserp-result_search-card", "Job Link")</f>
        <v>Job Link</v>
      </c>
      <c r="H1651" t="s">
        <v>476</v>
      </c>
      <c r="I1651" t="s">
        <v>481</v>
      </c>
      <c r="J1651" t="s">
        <v>486</v>
      </c>
      <c r="K1651" t="s">
        <v>545</v>
      </c>
      <c r="L1651" t="s">
        <v>582</v>
      </c>
      <c r="M1651" t="s">
        <v>588</v>
      </c>
      <c r="N1651" t="s">
        <v>601</v>
      </c>
    </row>
    <row r="1652" spans="1:14" x14ac:dyDescent="0.25">
      <c r="A1652" t="s">
        <v>45</v>
      </c>
      <c r="B1652" t="s">
        <v>168</v>
      </c>
      <c r="C1652" t="s">
        <v>317</v>
      </c>
      <c r="D1652" t="s">
        <v>425</v>
      </c>
      <c r="F1652" t="s">
        <v>443</v>
      </c>
      <c r="G1652" t="str">
        <f>HYPERLINK("https://ca.linkedin.com/jobs/view/senior-data-analyst-apac-marketplace-at-hopper-3363404929?refId=QuUPmw0fJtQ4%2FOQi7oeEvA%3D%3D&amp;trackingId=zHy8vPHkNVPAb5XvpkHKSg%3D%3D&amp;position=10&amp;pageNum=0&amp;trk=public_jobs_jserp-result_search-card", "Job Link")</f>
        <v>Job Link</v>
      </c>
      <c r="H1652" t="s">
        <v>478</v>
      </c>
      <c r="I1652" t="s">
        <v>485</v>
      </c>
      <c r="J1652" t="s">
        <v>486</v>
      </c>
      <c r="K1652" t="s">
        <v>538</v>
      </c>
      <c r="L1652" t="s">
        <v>601</v>
      </c>
    </row>
    <row r="1653" spans="1:14" x14ac:dyDescent="0.25">
      <c r="A1653" t="s">
        <v>46</v>
      </c>
      <c r="B1653" t="s">
        <v>169</v>
      </c>
      <c r="C1653" t="s">
        <v>318</v>
      </c>
      <c r="D1653" t="s">
        <v>425</v>
      </c>
      <c r="F1653" t="s">
        <v>461</v>
      </c>
      <c r="G1653">
        <v>0</v>
      </c>
      <c r="H1653" t="s">
        <v>478</v>
      </c>
      <c r="I1653" t="s">
        <v>481</v>
      </c>
      <c r="J1653" t="s">
        <v>494</v>
      </c>
      <c r="K1653" t="s">
        <v>546</v>
      </c>
      <c r="L1653" t="s">
        <v>601</v>
      </c>
    </row>
    <row r="1654" spans="1:14" x14ac:dyDescent="0.25">
      <c r="A1654" t="s">
        <v>20</v>
      </c>
      <c r="B1654" t="s">
        <v>170</v>
      </c>
      <c r="C1654" t="s">
        <v>319</v>
      </c>
      <c r="D1654" t="s">
        <v>425</v>
      </c>
      <c r="F1654" t="s">
        <v>450</v>
      </c>
      <c r="G1654" t="str">
        <f>HYPERLINK("https://ca.linkedin.com/jobs/view/senior-data-analyst-at-thinkific-3333572538?refId=QuUPmw0fJtQ4%2FOQi7oeEvA%3D%3D&amp;trackingId=kjjWSpf0xSY43dfjnstH3w%3D%3D&amp;position=12&amp;pageNum=0&amp;trk=public_jobs_jserp-result_search-card", "Job Link")</f>
        <v>Job Link</v>
      </c>
      <c r="H1654" t="s">
        <v>478</v>
      </c>
      <c r="I1654" t="s">
        <v>481</v>
      </c>
      <c r="J1654" t="s">
        <v>495</v>
      </c>
      <c r="K1654" t="s">
        <v>547</v>
      </c>
      <c r="L1654" t="s">
        <v>601</v>
      </c>
    </row>
    <row r="1655" spans="1:14" x14ac:dyDescent="0.25">
      <c r="A1655" t="s">
        <v>47</v>
      </c>
      <c r="B1655" t="s">
        <v>171</v>
      </c>
      <c r="C1655" t="s">
        <v>320</v>
      </c>
      <c r="D1655" t="s">
        <v>425</v>
      </c>
      <c r="F1655" t="s">
        <v>447</v>
      </c>
      <c r="G1655" t="str">
        <f>HYPERLINK("https://ca.linkedin.com/jobs/view/insights-analyst-at-flashfood-3312876343?refId=QuUPmw0fJtQ4%2FOQi7oeEvA%3D%3D&amp;trackingId=Ya0%2BzdzqOt7DdDl27%2BeXwA%3D%3D&amp;position=13&amp;pageNum=0&amp;trk=public_jobs_jserp-result_search-card", "Job Link")</f>
        <v>Job Link</v>
      </c>
      <c r="I1655" t="s">
        <v>481</v>
      </c>
      <c r="L1655" t="s">
        <v>601</v>
      </c>
    </row>
    <row r="1656" spans="1:14" x14ac:dyDescent="0.25">
      <c r="A1656" t="s">
        <v>20</v>
      </c>
      <c r="B1656" t="s">
        <v>172</v>
      </c>
      <c r="C1656" t="s">
        <v>321</v>
      </c>
      <c r="D1656" t="s">
        <v>425</v>
      </c>
      <c r="F1656" t="s">
        <v>438</v>
      </c>
      <c r="G1656" t="str">
        <f>HYPERLINK("https://ca.linkedin.com/jobs/view/senior-data-analyst-at-system1-3324728130?refId=QuUPmw0fJtQ4%2FOQi7oeEvA%3D%3D&amp;trackingId=QqcA1m1JRFwvHwhNLJsoCA%3D%3D&amp;position=14&amp;pageNum=0&amp;trk=public_jobs_jserp-result_search-card", "Job Link")</f>
        <v>Job Link</v>
      </c>
      <c r="H1656" t="s">
        <v>478</v>
      </c>
      <c r="I1656" t="s">
        <v>481</v>
      </c>
      <c r="J1656" t="s">
        <v>486</v>
      </c>
      <c r="K1656" t="s">
        <v>548</v>
      </c>
      <c r="L1656" t="s">
        <v>587</v>
      </c>
      <c r="M1656" t="s">
        <v>588</v>
      </c>
      <c r="N1656" t="s">
        <v>601</v>
      </c>
    </row>
    <row r="1657" spans="1:14" x14ac:dyDescent="0.25">
      <c r="A1657" t="s">
        <v>48</v>
      </c>
      <c r="B1657" t="s">
        <v>173</v>
      </c>
      <c r="C1657" t="s">
        <v>322</v>
      </c>
      <c r="D1657" t="s">
        <v>425</v>
      </c>
      <c r="F1657" t="s">
        <v>462</v>
      </c>
      <c r="G1657" t="str">
        <f>HYPERLINK("https://ca.linkedin.com/jobs/view/data-analyst-trilogy-remote-%2460-000-year-usd-at-crossover-3367086698?refId=QuUPmw0fJtQ4%2FOQi7oeEvA%3D%3D&amp;trackingId=EghLPIfgYyGkrlqnR8txUQ%3D%3D&amp;position=15&amp;pageNum=0&amp;trk=public_jobs_jserp-result_search-card", "Job Link")</f>
        <v>Job Link</v>
      </c>
      <c r="H1657" t="s">
        <v>477</v>
      </c>
      <c r="I1657" t="s">
        <v>481</v>
      </c>
      <c r="J1657" t="s">
        <v>496</v>
      </c>
      <c r="K1657" t="s">
        <v>549</v>
      </c>
      <c r="L1657" t="s">
        <v>582</v>
      </c>
      <c r="M1657" t="s">
        <v>588</v>
      </c>
      <c r="N1657" t="s">
        <v>601</v>
      </c>
    </row>
    <row r="1658" spans="1:14" x14ac:dyDescent="0.25">
      <c r="A1658" t="s">
        <v>49</v>
      </c>
      <c r="B1658" t="s">
        <v>174</v>
      </c>
      <c r="C1658" t="s">
        <v>323</v>
      </c>
      <c r="D1658" t="s">
        <v>425</v>
      </c>
      <c r="F1658" t="s">
        <v>433</v>
      </c>
      <c r="G1658" t="str">
        <f>HYPERLINK("https://ca.linkedin.com/jobs/view/product-data-analyst-wtfast-at-blankslate-partners-3350561493?refId=QuUPmw0fJtQ4%2FOQi7oeEvA%3D%3D&amp;trackingId=bDuTixueB82hhG7sA72E8w%3D%3D&amp;position=16&amp;pageNum=0&amp;trk=public_jobs_jserp-result_search-card", "Job Link")</f>
        <v>Job Link</v>
      </c>
      <c r="H1658" t="s">
        <v>479</v>
      </c>
      <c r="I1658" t="s">
        <v>481</v>
      </c>
      <c r="J1658" t="s">
        <v>497</v>
      </c>
      <c r="K1658" t="s">
        <v>538</v>
      </c>
      <c r="L1658" t="s">
        <v>603</v>
      </c>
      <c r="M1658" t="s">
        <v>618</v>
      </c>
      <c r="N1658" t="s">
        <v>601</v>
      </c>
    </row>
    <row r="1659" spans="1:14" x14ac:dyDescent="0.25">
      <c r="A1659" t="s">
        <v>50</v>
      </c>
      <c r="B1659" t="s">
        <v>175</v>
      </c>
      <c r="C1659" t="s">
        <v>324</v>
      </c>
      <c r="D1659" t="s">
        <v>425</v>
      </c>
      <c r="F1659" t="s">
        <v>443</v>
      </c>
      <c r="G1659" t="str">
        <f>HYPERLINK("https://ca.linkedin.com/jobs/view/senior-data-analyst-toronto-on-at-ssense-3369567279?refId=QuUPmw0fJtQ4%2FOQi7oeEvA%3D%3D&amp;trackingId=NcWstC%2BD7mh6%2FRtbxAJbLg%3D%3D&amp;position=17&amp;pageNum=0&amp;trk=public_jobs_jserp-result_search-card", "Job Link")</f>
        <v>Job Link</v>
      </c>
      <c r="H1659" t="s">
        <v>478</v>
      </c>
      <c r="I1659" t="s">
        <v>481</v>
      </c>
      <c r="J1659" t="s">
        <v>486</v>
      </c>
      <c r="K1659" t="s">
        <v>550</v>
      </c>
      <c r="L1659" t="s">
        <v>582</v>
      </c>
      <c r="M1659" t="s">
        <v>588</v>
      </c>
      <c r="N1659" t="s">
        <v>601</v>
      </c>
    </row>
    <row r="1660" spans="1:14" x14ac:dyDescent="0.25">
      <c r="A1660" t="s">
        <v>51</v>
      </c>
      <c r="B1660" t="s">
        <v>175</v>
      </c>
      <c r="C1660" t="s">
        <v>325</v>
      </c>
      <c r="D1660" t="s">
        <v>425</v>
      </c>
      <c r="F1660" t="s">
        <v>443</v>
      </c>
      <c r="G1660" t="str">
        <f>HYPERLINK("https://ca.linkedin.com/jobs/view/senior-data-analyst-analytics-insights-toronto-on-at-ssense-3369558722?refId=QuUPmw0fJtQ4%2FOQi7oeEvA%3D%3D&amp;trackingId=nQUjU2kcu5yJ2T3n%2FY4IpQ%3D%3D&amp;position=18&amp;pageNum=0&amp;trk=public_jobs_jserp-result_search-card", "Job Link")</f>
        <v>Job Link</v>
      </c>
      <c r="H1660" t="s">
        <v>478</v>
      </c>
      <c r="I1660" t="s">
        <v>481</v>
      </c>
      <c r="J1660" t="s">
        <v>491</v>
      </c>
      <c r="K1660" t="s">
        <v>550</v>
      </c>
      <c r="L1660" t="s">
        <v>582</v>
      </c>
      <c r="M1660" t="s">
        <v>588</v>
      </c>
      <c r="N1660" t="s">
        <v>601</v>
      </c>
    </row>
    <row r="1661" spans="1:14" x14ac:dyDescent="0.25">
      <c r="A1661" t="s">
        <v>51</v>
      </c>
      <c r="B1661" t="s">
        <v>175</v>
      </c>
      <c r="C1661" t="s">
        <v>325</v>
      </c>
      <c r="D1661" t="s">
        <v>425</v>
      </c>
      <c r="F1661" t="s">
        <v>443</v>
      </c>
      <c r="G1661" t="str">
        <f>HYPERLINK("https://ca.linkedin.com/jobs/view/senior-data-analyst-analytics-insights-toronto-on-at-ssense-3369560180?refId=QuUPmw0fJtQ4%2FOQi7oeEvA%3D%3D&amp;trackingId=9wygJJTudmoDCmwBLCxlWg%3D%3D&amp;position=19&amp;pageNum=0&amp;trk=public_jobs_jserp-result_search-card", "Job Link")</f>
        <v>Job Link</v>
      </c>
      <c r="H1661" t="s">
        <v>478</v>
      </c>
      <c r="I1661" t="s">
        <v>481</v>
      </c>
      <c r="J1661" t="s">
        <v>491</v>
      </c>
      <c r="K1661" t="s">
        <v>550</v>
      </c>
      <c r="L1661" t="s">
        <v>582</v>
      </c>
      <c r="M1661" t="s">
        <v>588</v>
      </c>
      <c r="N1661" t="s">
        <v>601</v>
      </c>
    </row>
    <row r="1662" spans="1:14" x14ac:dyDescent="0.25">
      <c r="A1662" t="s">
        <v>27</v>
      </c>
      <c r="B1662" t="s">
        <v>176</v>
      </c>
      <c r="C1662" t="s">
        <v>326</v>
      </c>
      <c r="D1662" t="s">
        <v>425</v>
      </c>
      <c r="F1662" t="s">
        <v>441</v>
      </c>
      <c r="G1662" t="str">
        <f>HYPERLINK("https://ca.linkedin.com/jobs/view/sr-data-analyst-at-telus-international-digital-solutions-3331944226?refId=QuUPmw0fJtQ4%2FOQi7oeEvA%3D%3D&amp;trackingId=rT0OcvXwh9w5NcPTJDWczg%3D%3D&amp;position=20&amp;pageNum=0&amp;trk=public_jobs_jserp-result_search-card", "Job Link")</f>
        <v>Job Link</v>
      </c>
      <c r="H1662" t="s">
        <v>478</v>
      </c>
      <c r="I1662" t="s">
        <v>481</v>
      </c>
      <c r="J1662" t="s">
        <v>498</v>
      </c>
      <c r="K1662" t="s">
        <v>521</v>
      </c>
      <c r="L1662" t="s">
        <v>604</v>
      </c>
      <c r="M1662" t="s">
        <v>618</v>
      </c>
      <c r="N1662" t="s">
        <v>601</v>
      </c>
    </row>
    <row r="1663" spans="1:14" x14ac:dyDescent="0.25">
      <c r="A1663" t="s">
        <v>20</v>
      </c>
      <c r="B1663" t="s">
        <v>175</v>
      </c>
      <c r="C1663" t="s">
        <v>324</v>
      </c>
      <c r="D1663" t="s">
        <v>425</v>
      </c>
      <c r="F1663" t="s">
        <v>446</v>
      </c>
      <c r="G1663" t="str">
        <f>HYPERLINK("https://ca.linkedin.com/jobs/view/senior-data-analyst-at-ssense-3342165774?refId=QuUPmw0fJtQ4%2FOQi7oeEvA%3D%3D&amp;trackingId=w3VEtf03biwTD8mzByZysg%3D%3D&amp;position=21&amp;pageNum=0&amp;trk=public_jobs_jserp-result_search-card", "Job Link")</f>
        <v>Job Link</v>
      </c>
      <c r="H1663" t="s">
        <v>478</v>
      </c>
      <c r="I1663" t="s">
        <v>481</v>
      </c>
      <c r="J1663" t="s">
        <v>486</v>
      </c>
      <c r="K1663" t="s">
        <v>550</v>
      </c>
      <c r="L1663" t="s">
        <v>605</v>
      </c>
      <c r="M1663" t="s">
        <v>617</v>
      </c>
      <c r="N1663" t="s">
        <v>601</v>
      </c>
    </row>
    <row r="1664" spans="1:14" x14ac:dyDescent="0.25">
      <c r="A1664" t="s">
        <v>71</v>
      </c>
      <c r="B1664" t="s">
        <v>195</v>
      </c>
      <c r="C1664" t="s">
        <v>348</v>
      </c>
      <c r="D1664" t="s">
        <v>425</v>
      </c>
      <c r="F1664" t="s">
        <v>440</v>
      </c>
      <c r="G1664">
        <v>0</v>
      </c>
      <c r="H1664" t="s">
        <v>478</v>
      </c>
      <c r="I1664" t="s">
        <v>481</v>
      </c>
      <c r="J1664" t="s">
        <v>504</v>
      </c>
      <c r="K1664" t="s">
        <v>521</v>
      </c>
      <c r="L1664" t="s">
        <v>594</v>
      </c>
      <c r="M1664" t="s">
        <v>588</v>
      </c>
      <c r="N1664" t="s">
        <v>601</v>
      </c>
    </row>
    <row r="1665" spans="1:14" x14ac:dyDescent="0.25">
      <c r="A1665" t="s">
        <v>14</v>
      </c>
      <c r="B1665" t="s">
        <v>158</v>
      </c>
      <c r="C1665" t="s">
        <v>307</v>
      </c>
      <c r="D1665" t="s">
        <v>425</v>
      </c>
      <c r="F1665" t="s">
        <v>430</v>
      </c>
      <c r="G1665" t="str">
        <f>HYPERLINK("https://ca.linkedin.com/jobs/view/data-analyst-at-empire-life-3324608289?refId=GZicwqatqkSD%2BGlCwACwdg%3D%3D&amp;trackingId=%2BG42Bru7GsdmT2RcjHq%2BYQ%3D%3D&amp;position=1&amp;pageNum=0&amp;trk=public_jobs_jserp-result_search-card", "Job Link")</f>
        <v>Job Link</v>
      </c>
      <c r="H1665" t="s">
        <v>476</v>
      </c>
      <c r="I1665" t="s">
        <v>481</v>
      </c>
      <c r="J1665" t="s">
        <v>485</v>
      </c>
      <c r="K1665" t="s">
        <v>523</v>
      </c>
      <c r="L1665" t="s">
        <v>601</v>
      </c>
    </row>
    <row r="1666" spans="1:14" x14ac:dyDescent="0.25">
      <c r="A1666" t="s">
        <v>40</v>
      </c>
      <c r="B1666" t="s">
        <v>159</v>
      </c>
      <c r="C1666" t="s">
        <v>308</v>
      </c>
      <c r="D1666" t="s">
        <v>425</v>
      </c>
      <c r="F1666" t="s">
        <v>435</v>
      </c>
      <c r="G1666" t="str">
        <f>HYPERLINK("https://ca.linkedin.com/jobs/view/data-visualization-developer-analyst-at-blue-boat-data-3335318133?refId=GZicwqatqkSD%2BGlCwACwdg%3D%3D&amp;trackingId=5Hq9yFGeR7vCUrJyHfAGvw%3D%3D&amp;position=2&amp;pageNum=0&amp;trk=public_jobs_jserp-result_search-card", "Job Link")</f>
        <v>Job Link</v>
      </c>
      <c r="I1666" t="s">
        <v>483</v>
      </c>
      <c r="L1666" t="s">
        <v>601</v>
      </c>
    </row>
    <row r="1667" spans="1:14" x14ac:dyDescent="0.25">
      <c r="A1667" t="s">
        <v>14</v>
      </c>
      <c r="B1667" t="s">
        <v>160</v>
      </c>
      <c r="C1667" t="s">
        <v>309</v>
      </c>
      <c r="D1667" t="s">
        <v>425</v>
      </c>
      <c r="E1667" t="s">
        <v>427</v>
      </c>
      <c r="F1667" t="s">
        <v>458</v>
      </c>
      <c r="G1667" t="str">
        <f>HYPERLINK("https://ca.linkedin.com/jobs/view/data-analyst-at-libitzky-property-companies-3314494593?refId=GZicwqatqkSD%2BGlCwACwdg%3D%3D&amp;trackingId=ZTvtBRUyBt%2FbIuqvBy7zcA%3D%3D&amp;position=3&amp;pageNum=0&amp;trk=public_jobs_jserp-result_search-card", "Job Link")</f>
        <v>Job Link</v>
      </c>
      <c r="H1667" t="s">
        <v>476</v>
      </c>
      <c r="I1667" t="s">
        <v>481</v>
      </c>
      <c r="J1667" t="s">
        <v>486</v>
      </c>
      <c r="K1667" t="s">
        <v>516</v>
      </c>
      <c r="L1667" t="s">
        <v>601</v>
      </c>
    </row>
    <row r="1668" spans="1:14" x14ac:dyDescent="0.25">
      <c r="A1668" t="s">
        <v>14</v>
      </c>
      <c r="B1668" t="s">
        <v>161</v>
      </c>
      <c r="C1668" t="s">
        <v>310</v>
      </c>
      <c r="D1668" t="s">
        <v>425</v>
      </c>
      <c r="F1668" t="s">
        <v>435</v>
      </c>
      <c r="G1668" t="str">
        <f>HYPERLINK("https://ca.linkedin.com/jobs/view/data-analyst-at-spire-3340696458?refId=GZicwqatqkSD%2BGlCwACwdg%3D%3D&amp;trackingId=z3KEn5DO7%2Fcz7PlVdbp5ew%3D%3D&amp;position=4&amp;pageNum=0&amp;trk=public_jobs_jserp-result_search-card", "Job Link")</f>
        <v>Job Link</v>
      </c>
      <c r="H1668" t="s">
        <v>476</v>
      </c>
      <c r="I1668" t="s">
        <v>481</v>
      </c>
      <c r="J1668" t="s">
        <v>486</v>
      </c>
      <c r="K1668" t="s">
        <v>517</v>
      </c>
      <c r="L1668" t="s">
        <v>602</v>
      </c>
      <c r="M1668" t="s">
        <v>588</v>
      </c>
      <c r="N1668" t="s">
        <v>601</v>
      </c>
    </row>
    <row r="1669" spans="1:14" x14ac:dyDescent="0.25">
      <c r="A1669" t="s">
        <v>14</v>
      </c>
      <c r="B1669" t="s">
        <v>163</v>
      </c>
      <c r="C1669" t="s">
        <v>312</v>
      </c>
      <c r="D1669" t="s">
        <v>425</v>
      </c>
      <c r="F1669" t="s">
        <v>443</v>
      </c>
      <c r="G1669" t="str">
        <f>HYPERLINK("https://ca.linkedin.com/jobs/view/data-analyst-at-mojio-3363472062?refId=GZicwqatqkSD%2BGlCwACwdg%3D%3D&amp;trackingId=ZjpLJ5OEvY2GLeShUmdqNQ%3D%3D&amp;position=5&amp;pageNum=0&amp;trk=public_jobs_jserp-result_search-card", "Job Link")</f>
        <v>Job Link</v>
      </c>
      <c r="H1669" t="s">
        <v>478</v>
      </c>
      <c r="I1669" t="s">
        <v>481</v>
      </c>
      <c r="J1669" t="s">
        <v>493</v>
      </c>
      <c r="K1669" t="s">
        <v>544</v>
      </c>
      <c r="L1669" t="s">
        <v>601</v>
      </c>
    </row>
    <row r="1670" spans="1:14" x14ac:dyDescent="0.25">
      <c r="A1670" t="s">
        <v>41</v>
      </c>
      <c r="B1670" t="s">
        <v>164</v>
      </c>
      <c r="C1670" t="s">
        <v>313</v>
      </c>
      <c r="D1670" t="s">
        <v>425</v>
      </c>
      <c r="F1670" t="s">
        <v>444</v>
      </c>
      <c r="G1670" t="str">
        <f>HYPERLINK("https://ca.linkedin.com/jobs/view/product-data-analyst-at-pdftron-systems-inc-3322845144?refId=GZicwqatqkSD%2BGlCwACwdg%3D%3D&amp;trackingId=Q3UrPIeJM66syfktxTOAww%3D%3D&amp;position=6&amp;pageNum=0&amp;trk=public_jobs_jserp-result_search-card", "Job Link")</f>
        <v>Job Link</v>
      </c>
      <c r="H1670" t="s">
        <v>479</v>
      </c>
      <c r="I1670" t="s">
        <v>481</v>
      </c>
      <c r="J1670" t="s">
        <v>487</v>
      </c>
      <c r="K1670" t="s">
        <v>538</v>
      </c>
      <c r="L1670" t="s">
        <v>590</v>
      </c>
      <c r="M1670" t="s">
        <v>618</v>
      </c>
      <c r="N1670" t="s">
        <v>601</v>
      </c>
    </row>
    <row r="1671" spans="1:14" x14ac:dyDescent="0.25">
      <c r="A1671" t="s">
        <v>42</v>
      </c>
      <c r="B1671" t="s">
        <v>165</v>
      </c>
      <c r="C1671" t="s">
        <v>314</v>
      </c>
      <c r="D1671" t="s">
        <v>425</v>
      </c>
      <c r="F1671" t="s">
        <v>459</v>
      </c>
      <c r="G1671" t="str">
        <f>HYPERLINK("https://ca.linkedin.com/jobs/view/cognitive-data-analyst-at-wysdom-ai-3333087497?refId=GZicwqatqkSD%2BGlCwACwdg%3D%3D&amp;trackingId=TFEW3hzqFyKeOOiOJAM7uA%3D%3D&amp;position=7&amp;pageNum=0&amp;trk=public_jobs_jserp-result_search-card", "Job Link")</f>
        <v>Job Link</v>
      </c>
      <c r="H1671" t="s">
        <v>478</v>
      </c>
      <c r="I1671" t="s">
        <v>481</v>
      </c>
      <c r="J1671" t="s">
        <v>486</v>
      </c>
      <c r="K1671" t="s">
        <v>516</v>
      </c>
      <c r="L1671" t="s">
        <v>601</v>
      </c>
    </row>
    <row r="1672" spans="1:14" x14ac:dyDescent="0.25">
      <c r="A1672" t="s">
        <v>14</v>
      </c>
      <c r="B1672" t="s">
        <v>162</v>
      </c>
      <c r="C1672" t="s">
        <v>311</v>
      </c>
      <c r="D1672" t="s">
        <v>425</v>
      </c>
      <c r="F1672" t="s">
        <v>434</v>
      </c>
      <c r="G1672" t="str">
        <f>HYPERLINK("https://ca.linkedin.com/jobs/view/data-analyst-at-money-mart-financial-services-3361528052?refId=GZicwqatqkSD%2BGlCwACwdg%3D%3D&amp;trackingId=rdLwlpFoq32uosTMh12GCg%3D%3D&amp;position=8&amp;pageNum=0&amp;trk=public_jobs_jserp-result_search-card", "Job Link")</f>
        <v>Job Link</v>
      </c>
      <c r="H1672" t="s">
        <v>477</v>
      </c>
      <c r="I1672" t="s">
        <v>481</v>
      </c>
      <c r="J1672" t="s">
        <v>488</v>
      </c>
      <c r="K1672" t="s">
        <v>527</v>
      </c>
      <c r="L1672" t="s">
        <v>582</v>
      </c>
      <c r="M1672" t="s">
        <v>588</v>
      </c>
      <c r="N1672" t="s">
        <v>601</v>
      </c>
    </row>
    <row r="1673" spans="1:14" x14ac:dyDescent="0.25">
      <c r="A1673" t="s">
        <v>44</v>
      </c>
      <c r="B1673" t="s">
        <v>167</v>
      </c>
      <c r="C1673" t="s">
        <v>316</v>
      </c>
      <c r="D1673" t="s">
        <v>425</v>
      </c>
      <c r="F1673" t="s">
        <v>460</v>
      </c>
      <c r="G1673" t="str">
        <f>HYPERLINK("https://ca.linkedin.com/jobs/view/data-analyst-marketing-at-thescore-3272474942?refId=GZicwqatqkSD%2BGlCwACwdg%3D%3D&amp;trackingId=%2B0%2F4vYJuwlJUGWFwRZB8PA%3D%3D&amp;position=9&amp;pageNum=0&amp;trk=public_jobs_jserp-result_search-card", "Job Link")</f>
        <v>Job Link</v>
      </c>
      <c r="H1673" t="s">
        <v>476</v>
      </c>
      <c r="I1673" t="s">
        <v>481</v>
      </c>
      <c r="J1673" t="s">
        <v>486</v>
      </c>
      <c r="K1673" t="s">
        <v>545</v>
      </c>
      <c r="L1673" t="s">
        <v>582</v>
      </c>
      <c r="M1673" t="s">
        <v>588</v>
      </c>
      <c r="N1673" t="s">
        <v>601</v>
      </c>
    </row>
    <row r="1674" spans="1:14" x14ac:dyDescent="0.25">
      <c r="A1674" t="s">
        <v>45</v>
      </c>
      <c r="B1674" t="s">
        <v>168</v>
      </c>
      <c r="C1674" t="s">
        <v>317</v>
      </c>
      <c r="D1674" t="s">
        <v>425</v>
      </c>
      <c r="F1674" t="s">
        <v>443</v>
      </c>
      <c r="G1674" t="str">
        <f>HYPERLINK("https://ca.linkedin.com/jobs/view/senior-data-analyst-apac-marketplace-at-hopper-3363404929?refId=GZicwqatqkSD%2BGlCwACwdg%3D%3D&amp;trackingId=ZVamOr0LAGZPestW%2F5jpEw%3D%3D&amp;position=10&amp;pageNum=0&amp;trk=public_jobs_jserp-result_search-card", "Job Link")</f>
        <v>Job Link</v>
      </c>
      <c r="H1674" t="s">
        <v>478</v>
      </c>
      <c r="I1674" t="s">
        <v>485</v>
      </c>
      <c r="J1674" t="s">
        <v>486</v>
      </c>
      <c r="K1674" t="s">
        <v>538</v>
      </c>
      <c r="L1674" t="s">
        <v>601</v>
      </c>
    </row>
    <row r="1675" spans="1:14" x14ac:dyDescent="0.25">
      <c r="A1675" t="s">
        <v>46</v>
      </c>
      <c r="B1675" t="s">
        <v>169</v>
      </c>
      <c r="C1675" t="s">
        <v>318</v>
      </c>
      <c r="D1675" t="s">
        <v>425</v>
      </c>
      <c r="F1675" t="s">
        <v>461</v>
      </c>
      <c r="G1675" t="str">
        <f>HYPERLINK("https://ca.linkedin.com/jobs/view/senior-data-analyst-remote-at-insurance-supermarket-international-usa-3347334252?refId=GZicwqatqkSD%2BGlCwACwdg%3D%3D&amp;trackingId=x46UFrZIkbvFfDTbhwiGmw%3D%3D&amp;position=11&amp;pageNum=0&amp;trk=public_jobs_jserp-result_search-card", "Job Link")</f>
        <v>Job Link</v>
      </c>
      <c r="H1675" t="s">
        <v>478</v>
      </c>
      <c r="I1675" t="s">
        <v>481</v>
      </c>
      <c r="J1675" t="s">
        <v>494</v>
      </c>
      <c r="K1675" t="s">
        <v>546</v>
      </c>
      <c r="L1675" t="s">
        <v>601</v>
      </c>
    </row>
    <row r="1676" spans="1:14" x14ac:dyDescent="0.25">
      <c r="A1676" t="s">
        <v>20</v>
      </c>
      <c r="B1676" t="s">
        <v>170</v>
      </c>
      <c r="C1676" t="s">
        <v>319</v>
      </c>
      <c r="D1676" t="s">
        <v>425</v>
      </c>
      <c r="F1676" t="s">
        <v>450</v>
      </c>
      <c r="G1676" t="str">
        <f>HYPERLINK("https://ca.linkedin.com/jobs/view/senior-data-analyst-at-thinkific-3333572538?refId=GZicwqatqkSD%2BGlCwACwdg%3D%3D&amp;trackingId=rf19BRPIFm9DKjNGrFon8g%3D%3D&amp;position=12&amp;pageNum=0&amp;trk=public_jobs_jserp-result_search-card", "Job Link")</f>
        <v>Job Link</v>
      </c>
      <c r="H1676" t="s">
        <v>478</v>
      </c>
      <c r="I1676" t="s">
        <v>481</v>
      </c>
      <c r="J1676" t="s">
        <v>495</v>
      </c>
      <c r="K1676" t="s">
        <v>547</v>
      </c>
      <c r="L1676" t="s">
        <v>601</v>
      </c>
    </row>
    <row r="1677" spans="1:14" x14ac:dyDescent="0.25">
      <c r="A1677" t="s">
        <v>47</v>
      </c>
      <c r="B1677" t="s">
        <v>171</v>
      </c>
      <c r="C1677" t="s">
        <v>320</v>
      </c>
      <c r="D1677" t="s">
        <v>425</v>
      </c>
      <c r="F1677" t="s">
        <v>447</v>
      </c>
      <c r="G1677" t="str">
        <f>HYPERLINK("https://ca.linkedin.com/jobs/view/insights-analyst-at-flashfood-3312876343?refId=GZicwqatqkSD%2BGlCwACwdg%3D%3D&amp;trackingId=fLsCDNjZ%2BozyqjgDrKvJuA%3D%3D&amp;position=13&amp;pageNum=0&amp;trk=public_jobs_jserp-result_search-card", "Job Link")</f>
        <v>Job Link</v>
      </c>
      <c r="I1677" t="s">
        <v>481</v>
      </c>
      <c r="L1677" t="s">
        <v>601</v>
      </c>
    </row>
    <row r="1678" spans="1:14" x14ac:dyDescent="0.25">
      <c r="A1678" t="s">
        <v>20</v>
      </c>
      <c r="B1678" t="s">
        <v>172</v>
      </c>
      <c r="C1678" t="s">
        <v>321</v>
      </c>
      <c r="D1678" t="s">
        <v>425</v>
      </c>
      <c r="F1678" t="s">
        <v>438</v>
      </c>
      <c r="G1678" t="str">
        <f>HYPERLINK("https://ca.linkedin.com/jobs/view/senior-data-analyst-at-system1-3324728130?refId=GZicwqatqkSD%2BGlCwACwdg%3D%3D&amp;trackingId=KKqw1GnvRLhSS4MP8ZJ5dA%3D%3D&amp;position=14&amp;pageNum=0&amp;trk=public_jobs_jserp-result_search-card", "Job Link")</f>
        <v>Job Link</v>
      </c>
      <c r="H1678" t="s">
        <v>478</v>
      </c>
      <c r="I1678" t="s">
        <v>481</v>
      </c>
      <c r="J1678" t="s">
        <v>486</v>
      </c>
      <c r="K1678" t="s">
        <v>548</v>
      </c>
      <c r="L1678" t="s">
        <v>587</v>
      </c>
      <c r="M1678" t="s">
        <v>588</v>
      </c>
      <c r="N1678" t="s">
        <v>601</v>
      </c>
    </row>
    <row r="1679" spans="1:14" x14ac:dyDescent="0.25">
      <c r="A1679" t="s">
        <v>48</v>
      </c>
      <c r="B1679" t="s">
        <v>173</v>
      </c>
      <c r="C1679" t="s">
        <v>322</v>
      </c>
      <c r="D1679" t="s">
        <v>425</v>
      </c>
      <c r="F1679" t="s">
        <v>462</v>
      </c>
      <c r="G1679" t="str">
        <f>HYPERLINK("https://ca.linkedin.com/jobs/view/data-analyst-trilogy-remote-%2460-000-year-usd-at-crossover-3367086698?refId=GZicwqatqkSD%2BGlCwACwdg%3D%3D&amp;trackingId=sE0bp5BzqMkkvktbMS7SXw%3D%3D&amp;position=15&amp;pageNum=0&amp;trk=public_jobs_jserp-result_search-card", "Job Link")</f>
        <v>Job Link</v>
      </c>
      <c r="H1679" t="s">
        <v>477</v>
      </c>
      <c r="I1679" t="s">
        <v>481</v>
      </c>
      <c r="J1679" t="s">
        <v>496</v>
      </c>
      <c r="K1679" t="s">
        <v>549</v>
      </c>
      <c r="L1679" t="s">
        <v>582</v>
      </c>
      <c r="M1679" t="s">
        <v>588</v>
      </c>
      <c r="N1679" t="s">
        <v>601</v>
      </c>
    </row>
    <row r="1680" spans="1:14" x14ac:dyDescent="0.25">
      <c r="A1680" t="s">
        <v>49</v>
      </c>
      <c r="B1680" t="s">
        <v>174</v>
      </c>
      <c r="C1680" t="s">
        <v>323</v>
      </c>
      <c r="D1680" t="s">
        <v>425</v>
      </c>
      <c r="F1680" t="s">
        <v>433</v>
      </c>
      <c r="G1680" t="str">
        <f>HYPERLINK("https://ca.linkedin.com/jobs/view/product-data-analyst-wtfast-at-blankslate-partners-3350561493?refId=GZicwqatqkSD%2BGlCwACwdg%3D%3D&amp;trackingId=7S76OS8ZSOL%2BV50HNZylSg%3D%3D&amp;position=16&amp;pageNum=0&amp;trk=public_jobs_jserp-result_search-card", "Job Link")</f>
        <v>Job Link</v>
      </c>
      <c r="H1680" t="s">
        <v>479</v>
      </c>
      <c r="I1680" t="s">
        <v>481</v>
      </c>
      <c r="J1680" t="s">
        <v>497</v>
      </c>
      <c r="K1680" t="s">
        <v>538</v>
      </c>
      <c r="L1680" t="s">
        <v>603</v>
      </c>
      <c r="M1680" t="s">
        <v>618</v>
      </c>
      <c r="N1680" t="s">
        <v>601</v>
      </c>
    </row>
    <row r="1681" spans="1:14" x14ac:dyDescent="0.25">
      <c r="A1681" t="s">
        <v>50</v>
      </c>
      <c r="B1681" t="s">
        <v>175</v>
      </c>
      <c r="C1681" t="s">
        <v>324</v>
      </c>
      <c r="D1681" t="s">
        <v>425</v>
      </c>
      <c r="F1681" t="s">
        <v>443</v>
      </c>
      <c r="G1681" t="str">
        <f>HYPERLINK("https://ca.linkedin.com/jobs/view/senior-data-analyst-toronto-on-at-ssense-3369567279?refId=GZicwqatqkSD%2BGlCwACwdg%3D%3D&amp;trackingId=ByLjM6fyys9k3h2Vm4AYSQ%3D%3D&amp;position=17&amp;pageNum=0&amp;trk=public_jobs_jserp-result_search-card", "Job Link")</f>
        <v>Job Link</v>
      </c>
      <c r="H1681" t="s">
        <v>478</v>
      </c>
      <c r="I1681" t="s">
        <v>481</v>
      </c>
      <c r="J1681" t="s">
        <v>486</v>
      </c>
      <c r="K1681" t="s">
        <v>550</v>
      </c>
      <c r="L1681" t="s">
        <v>582</v>
      </c>
      <c r="M1681" t="s">
        <v>588</v>
      </c>
      <c r="N1681" t="s">
        <v>601</v>
      </c>
    </row>
    <row r="1682" spans="1:14" x14ac:dyDescent="0.25">
      <c r="A1682" t="s">
        <v>51</v>
      </c>
      <c r="B1682" t="s">
        <v>175</v>
      </c>
      <c r="C1682" t="s">
        <v>325</v>
      </c>
      <c r="D1682" t="s">
        <v>425</v>
      </c>
      <c r="F1682" t="s">
        <v>443</v>
      </c>
      <c r="G1682" t="str">
        <f>HYPERLINK("https://ca.linkedin.com/jobs/view/senior-data-analyst-analytics-insights-toronto-on-at-ssense-3369558722?refId=GZicwqatqkSD%2BGlCwACwdg%3D%3D&amp;trackingId=%2B7oqA%2F%2BN9NC0%2FwvxAPl3Gg%3D%3D&amp;position=18&amp;pageNum=0&amp;trk=public_jobs_jserp-result_search-card", "Job Link")</f>
        <v>Job Link</v>
      </c>
      <c r="H1682" t="s">
        <v>478</v>
      </c>
      <c r="I1682" t="s">
        <v>481</v>
      </c>
      <c r="J1682" t="s">
        <v>491</v>
      </c>
      <c r="K1682" t="s">
        <v>550</v>
      </c>
      <c r="L1682" t="s">
        <v>582</v>
      </c>
      <c r="M1682" t="s">
        <v>588</v>
      </c>
      <c r="N1682" t="s">
        <v>601</v>
      </c>
    </row>
    <row r="1683" spans="1:14" x14ac:dyDescent="0.25">
      <c r="A1683" t="s">
        <v>51</v>
      </c>
      <c r="B1683" t="s">
        <v>175</v>
      </c>
      <c r="C1683" t="s">
        <v>325</v>
      </c>
      <c r="D1683" t="s">
        <v>425</v>
      </c>
      <c r="F1683" t="s">
        <v>443</v>
      </c>
      <c r="G1683" t="str">
        <f>HYPERLINK("https://ca.linkedin.com/jobs/view/senior-data-analyst-analytics-insights-toronto-on-at-ssense-3369560180?refId=GZicwqatqkSD%2BGlCwACwdg%3D%3D&amp;trackingId=QanV%2Fe9%2FpmArxRxg920apA%3D%3D&amp;position=19&amp;pageNum=0&amp;trk=public_jobs_jserp-result_search-card", "Job Link")</f>
        <v>Job Link</v>
      </c>
      <c r="H1683" t="s">
        <v>478</v>
      </c>
      <c r="I1683" t="s">
        <v>481</v>
      </c>
      <c r="J1683" t="s">
        <v>491</v>
      </c>
      <c r="K1683" t="s">
        <v>550</v>
      </c>
      <c r="L1683" t="s">
        <v>582</v>
      </c>
      <c r="M1683" t="s">
        <v>588</v>
      </c>
      <c r="N1683" t="s">
        <v>601</v>
      </c>
    </row>
    <row r="1684" spans="1:14" x14ac:dyDescent="0.25">
      <c r="A1684" t="s">
        <v>27</v>
      </c>
      <c r="B1684" t="s">
        <v>176</v>
      </c>
      <c r="C1684" t="s">
        <v>326</v>
      </c>
      <c r="D1684" t="s">
        <v>425</v>
      </c>
      <c r="F1684" t="s">
        <v>441</v>
      </c>
      <c r="G1684" t="str">
        <f>HYPERLINK("https://ca.linkedin.com/jobs/view/sr-data-analyst-at-telus-international-digital-solutions-3331944226?refId=GZicwqatqkSD%2BGlCwACwdg%3D%3D&amp;trackingId=dwE5w%2FBMqLibycEAdClKNA%3D%3D&amp;position=20&amp;pageNum=0&amp;trk=public_jobs_jserp-result_search-card", "Job Link")</f>
        <v>Job Link</v>
      </c>
      <c r="H1684" t="s">
        <v>478</v>
      </c>
      <c r="I1684" t="s">
        <v>481</v>
      </c>
      <c r="J1684" t="s">
        <v>498</v>
      </c>
      <c r="K1684" t="s">
        <v>521</v>
      </c>
      <c r="L1684" t="s">
        <v>604</v>
      </c>
      <c r="M1684" t="s">
        <v>618</v>
      </c>
      <c r="N1684" t="s">
        <v>601</v>
      </c>
    </row>
    <row r="1685" spans="1:14" x14ac:dyDescent="0.25">
      <c r="A1685" t="s">
        <v>20</v>
      </c>
      <c r="B1685" t="s">
        <v>175</v>
      </c>
      <c r="C1685" t="s">
        <v>324</v>
      </c>
      <c r="D1685" t="s">
        <v>425</v>
      </c>
      <c r="F1685" t="s">
        <v>446</v>
      </c>
      <c r="G1685" t="str">
        <f>HYPERLINK("https://ca.linkedin.com/jobs/view/senior-data-analyst-at-ssense-3342165774?refId=GZicwqatqkSD%2BGlCwACwdg%3D%3D&amp;trackingId=kOl1ApMj6l%2FDl%2BiO8eimyA%3D%3D&amp;position=21&amp;pageNum=0&amp;trk=public_jobs_jserp-result_search-card", "Job Link")</f>
        <v>Job Link</v>
      </c>
      <c r="H1685" t="s">
        <v>478</v>
      </c>
      <c r="I1685" t="s">
        <v>481</v>
      </c>
      <c r="J1685" t="s">
        <v>486</v>
      </c>
      <c r="K1685" t="s">
        <v>550</v>
      </c>
      <c r="L1685" t="s">
        <v>605</v>
      </c>
      <c r="M1685" t="s">
        <v>617</v>
      </c>
      <c r="N1685" t="s">
        <v>601</v>
      </c>
    </row>
    <row r="1686" spans="1:14" x14ac:dyDescent="0.25">
      <c r="A1686" t="s">
        <v>71</v>
      </c>
      <c r="B1686" t="s">
        <v>195</v>
      </c>
      <c r="C1686" t="s">
        <v>348</v>
      </c>
      <c r="D1686" t="s">
        <v>425</v>
      </c>
      <c r="F1686" t="s">
        <v>440</v>
      </c>
      <c r="G1686">
        <v>0</v>
      </c>
      <c r="H1686" t="s">
        <v>478</v>
      </c>
      <c r="I1686" t="s">
        <v>481</v>
      </c>
      <c r="J1686" t="s">
        <v>504</v>
      </c>
      <c r="K1686" t="s">
        <v>521</v>
      </c>
      <c r="L1686" t="s">
        <v>594</v>
      </c>
      <c r="M1686" t="s">
        <v>588</v>
      </c>
      <c r="N1686" t="s">
        <v>601</v>
      </c>
    </row>
    <row r="1687" spans="1:14" x14ac:dyDescent="0.25">
      <c r="A1687" t="s">
        <v>14</v>
      </c>
      <c r="B1687" t="s">
        <v>158</v>
      </c>
      <c r="C1687" t="s">
        <v>307</v>
      </c>
      <c r="D1687" t="s">
        <v>425</v>
      </c>
      <c r="F1687" t="s">
        <v>430</v>
      </c>
      <c r="G1687" t="str">
        <f>HYPERLINK("https://ca.linkedin.com/jobs/view/data-analyst-at-empire-life-3324608289?refId=ym2S88xW3bRQk1LtdRSAqw%3D%3D&amp;trackingId=9r7n5CmuSkdjQVTrVFWuBQ%3D%3D&amp;position=1&amp;pageNum=0&amp;trk=public_jobs_jserp-result_search-card", "Job Link")</f>
        <v>Job Link</v>
      </c>
      <c r="H1687" t="s">
        <v>476</v>
      </c>
      <c r="I1687" t="s">
        <v>481</v>
      </c>
      <c r="J1687" t="s">
        <v>485</v>
      </c>
      <c r="K1687" t="s">
        <v>523</v>
      </c>
      <c r="L1687" t="s">
        <v>601</v>
      </c>
    </row>
    <row r="1688" spans="1:14" x14ac:dyDescent="0.25">
      <c r="A1688" t="s">
        <v>40</v>
      </c>
      <c r="B1688" t="s">
        <v>159</v>
      </c>
      <c r="C1688" t="s">
        <v>308</v>
      </c>
      <c r="D1688" t="s">
        <v>425</v>
      </c>
      <c r="F1688" t="s">
        <v>435</v>
      </c>
      <c r="G1688" t="str">
        <f>HYPERLINK("https://ca.linkedin.com/jobs/view/data-visualization-developer-analyst-at-blue-boat-data-3335318133?refId=ym2S88xW3bRQk1LtdRSAqw%3D%3D&amp;trackingId=%2BOFSaCvMx%2BFm97Yl3CJtBQ%3D%3D&amp;position=2&amp;pageNum=0&amp;trk=public_jobs_jserp-result_search-card", "Job Link")</f>
        <v>Job Link</v>
      </c>
      <c r="I1688" t="s">
        <v>483</v>
      </c>
      <c r="L1688" t="s">
        <v>601</v>
      </c>
    </row>
    <row r="1689" spans="1:14" x14ac:dyDescent="0.25">
      <c r="A1689" t="s">
        <v>14</v>
      </c>
      <c r="B1689" t="s">
        <v>160</v>
      </c>
      <c r="C1689" t="s">
        <v>309</v>
      </c>
      <c r="D1689" t="s">
        <v>425</v>
      </c>
      <c r="E1689" t="s">
        <v>427</v>
      </c>
      <c r="F1689" t="s">
        <v>458</v>
      </c>
      <c r="G1689" t="str">
        <f>HYPERLINK("https://ca.linkedin.com/jobs/view/data-analyst-at-libitzky-property-companies-3314494593?refId=ym2S88xW3bRQk1LtdRSAqw%3D%3D&amp;trackingId=Iw%2BFnoMFRb6JJ2eFrC6YVA%3D%3D&amp;position=3&amp;pageNum=0&amp;trk=public_jobs_jserp-result_search-card", "Job Link")</f>
        <v>Job Link</v>
      </c>
      <c r="H1689" t="s">
        <v>476</v>
      </c>
      <c r="I1689" t="s">
        <v>481</v>
      </c>
      <c r="J1689" t="s">
        <v>486</v>
      </c>
      <c r="K1689" t="s">
        <v>516</v>
      </c>
      <c r="L1689" t="s">
        <v>601</v>
      </c>
    </row>
    <row r="1690" spans="1:14" x14ac:dyDescent="0.25">
      <c r="A1690" t="s">
        <v>14</v>
      </c>
      <c r="B1690" t="s">
        <v>161</v>
      </c>
      <c r="C1690" t="s">
        <v>310</v>
      </c>
      <c r="D1690" t="s">
        <v>425</v>
      </c>
      <c r="F1690" t="s">
        <v>435</v>
      </c>
      <c r="G1690" t="str">
        <f>HYPERLINK("https://ca.linkedin.com/jobs/view/data-analyst-at-spire-3340696458?refId=ym2S88xW3bRQk1LtdRSAqw%3D%3D&amp;trackingId=QuZ6fX%2BrwIRXLu0bOiRfiQ%3D%3D&amp;position=4&amp;pageNum=0&amp;trk=public_jobs_jserp-result_search-card", "Job Link")</f>
        <v>Job Link</v>
      </c>
      <c r="H1690" t="s">
        <v>476</v>
      </c>
      <c r="I1690" t="s">
        <v>481</v>
      </c>
      <c r="J1690" t="s">
        <v>486</v>
      </c>
      <c r="K1690" t="s">
        <v>517</v>
      </c>
      <c r="L1690" t="s">
        <v>602</v>
      </c>
      <c r="M1690" t="s">
        <v>588</v>
      </c>
      <c r="N1690" t="s">
        <v>601</v>
      </c>
    </row>
    <row r="1691" spans="1:14" x14ac:dyDescent="0.25">
      <c r="A1691" t="s">
        <v>14</v>
      </c>
      <c r="B1691" t="s">
        <v>163</v>
      </c>
      <c r="C1691" t="s">
        <v>312</v>
      </c>
      <c r="D1691" t="s">
        <v>425</v>
      </c>
      <c r="F1691" t="s">
        <v>443</v>
      </c>
      <c r="G1691" t="str">
        <f>HYPERLINK("https://ca.linkedin.com/jobs/view/data-analyst-at-mojio-3363472062?refId=ym2S88xW3bRQk1LtdRSAqw%3D%3D&amp;trackingId=ww%2FwSdrrYEdty6H4sfFZWg%3D%3D&amp;position=5&amp;pageNum=0&amp;trk=public_jobs_jserp-result_search-card", "Job Link")</f>
        <v>Job Link</v>
      </c>
      <c r="H1691" t="s">
        <v>478</v>
      </c>
      <c r="I1691" t="s">
        <v>481</v>
      </c>
      <c r="J1691" t="s">
        <v>493</v>
      </c>
      <c r="K1691" t="s">
        <v>544</v>
      </c>
      <c r="L1691" t="s">
        <v>601</v>
      </c>
    </row>
    <row r="1692" spans="1:14" x14ac:dyDescent="0.25">
      <c r="A1692" t="s">
        <v>41</v>
      </c>
      <c r="B1692" t="s">
        <v>164</v>
      </c>
      <c r="C1692" t="s">
        <v>313</v>
      </c>
      <c r="D1692" t="s">
        <v>425</v>
      </c>
      <c r="F1692" t="s">
        <v>444</v>
      </c>
      <c r="G1692" t="str">
        <f>HYPERLINK("https://ca.linkedin.com/jobs/view/product-data-analyst-at-pdftron-systems-inc-3322845144?refId=ym2S88xW3bRQk1LtdRSAqw%3D%3D&amp;trackingId=z0WL6q3asqVhv602F0RfSg%3D%3D&amp;position=6&amp;pageNum=0&amp;trk=public_jobs_jserp-result_search-card", "Job Link")</f>
        <v>Job Link</v>
      </c>
      <c r="H1692" t="s">
        <v>479</v>
      </c>
      <c r="I1692" t="s">
        <v>481</v>
      </c>
      <c r="J1692" t="s">
        <v>487</v>
      </c>
      <c r="K1692" t="s">
        <v>538</v>
      </c>
      <c r="L1692" t="s">
        <v>590</v>
      </c>
      <c r="M1692" t="s">
        <v>618</v>
      </c>
      <c r="N1692" t="s">
        <v>601</v>
      </c>
    </row>
    <row r="1693" spans="1:14" x14ac:dyDescent="0.25">
      <c r="A1693" t="s">
        <v>42</v>
      </c>
      <c r="B1693" t="s">
        <v>165</v>
      </c>
      <c r="C1693" t="s">
        <v>314</v>
      </c>
      <c r="D1693" t="s">
        <v>425</v>
      </c>
      <c r="F1693" t="s">
        <v>459</v>
      </c>
      <c r="G1693" t="str">
        <f>HYPERLINK("https://ca.linkedin.com/jobs/view/cognitive-data-analyst-at-wysdom-ai-3333087497?refId=ym2S88xW3bRQk1LtdRSAqw%3D%3D&amp;trackingId=Fa1ojXQTMX98s0tiGyLeyg%3D%3D&amp;position=7&amp;pageNum=0&amp;trk=public_jobs_jserp-result_search-card", "Job Link")</f>
        <v>Job Link</v>
      </c>
      <c r="H1693" t="s">
        <v>478</v>
      </c>
      <c r="I1693" t="s">
        <v>481</v>
      </c>
      <c r="J1693" t="s">
        <v>486</v>
      </c>
      <c r="K1693" t="s">
        <v>516</v>
      </c>
      <c r="L1693" t="s">
        <v>601</v>
      </c>
    </row>
    <row r="1694" spans="1:14" x14ac:dyDescent="0.25">
      <c r="A1694" t="s">
        <v>14</v>
      </c>
      <c r="B1694" t="s">
        <v>162</v>
      </c>
      <c r="C1694" t="s">
        <v>311</v>
      </c>
      <c r="D1694" t="s">
        <v>425</v>
      </c>
      <c r="F1694" t="s">
        <v>434</v>
      </c>
      <c r="G1694" t="str">
        <f>HYPERLINK("https://ca.linkedin.com/jobs/view/data-analyst-at-money-mart-financial-services-3361528052?refId=ym2S88xW3bRQk1LtdRSAqw%3D%3D&amp;trackingId=pck%2FDbLENUi8z%2FugSkVE5A%3D%3D&amp;position=8&amp;pageNum=0&amp;trk=public_jobs_jserp-result_search-card", "Job Link")</f>
        <v>Job Link</v>
      </c>
      <c r="H1694" t="s">
        <v>477</v>
      </c>
      <c r="I1694" t="s">
        <v>481</v>
      </c>
      <c r="J1694" t="s">
        <v>488</v>
      </c>
      <c r="K1694" t="s">
        <v>527</v>
      </c>
      <c r="L1694" t="s">
        <v>582</v>
      </c>
      <c r="M1694" t="s">
        <v>588</v>
      </c>
      <c r="N1694" t="s">
        <v>601</v>
      </c>
    </row>
    <row r="1695" spans="1:14" x14ac:dyDescent="0.25">
      <c r="A1695" t="s">
        <v>44</v>
      </c>
      <c r="B1695" t="s">
        <v>167</v>
      </c>
      <c r="C1695" t="s">
        <v>316</v>
      </c>
      <c r="D1695" t="s">
        <v>425</v>
      </c>
      <c r="F1695" t="s">
        <v>460</v>
      </c>
      <c r="G1695" t="str">
        <f>HYPERLINK("https://ca.linkedin.com/jobs/view/data-analyst-marketing-at-thescore-3272474942?refId=ym2S88xW3bRQk1LtdRSAqw%3D%3D&amp;trackingId=baS0ouoad%2FaYI9NCJbAZOg%3D%3D&amp;position=9&amp;pageNum=0&amp;trk=public_jobs_jserp-result_search-card", "Job Link")</f>
        <v>Job Link</v>
      </c>
      <c r="H1695" t="s">
        <v>476</v>
      </c>
      <c r="I1695" t="s">
        <v>481</v>
      </c>
      <c r="J1695" t="s">
        <v>486</v>
      </c>
      <c r="K1695" t="s">
        <v>545</v>
      </c>
      <c r="L1695" t="s">
        <v>582</v>
      </c>
      <c r="M1695" t="s">
        <v>588</v>
      </c>
      <c r="N1695" t="s">
        <v>601</v>
      </c>
    </row>
    <row r="1696" spans="1:14" x14ac:dyDescent="0.25">
      <c r="A1696" t="s">
        <v>45</v>
      </c>
      <c r="B1696" t="s">
        <v>168</v>
      </c>
      <c r="C1696" t="s">
        <v>317</v>
      </c>
      <c r="D1696" t="s">
        <v>425</v>
      </c>
      <c r="F1696" t="s">
        <v>443</v>
      </c>
      <c r="G1696" t="str">
        <f>HYPERLINK("https://ca.linkedin.com/jobs/view/senior-data-analyst-apac-marketplace-at-hopper-3363404929?refId=ym2S88xW3bRQk1LtdRSAqw%3D%3D&amp;trackingId=8yyKQBrmQW8wkBD5%2BSdT0w%3D%3D&amp;position=10&amp;pageNum=0&amp;trk=public_jobs_jserp-result_search-card", "Job Link")</f>
        <v>Job Link</v>
      </c>
      <c r="H1696" t="s">
        <v>478</v>
      </c>
      <c r="I1696" t="s">
        <v>485</v>
      </c>
      <c r="J1696" t="s">
        <v>486</v>
      </c>
      <c r="K1696" t="s">
        <v>538</v>
      </c>
      <c r="L1696" t="s">
        <v>601</v>
      </c>
    </row>
    <row r="1697" spans="1:14" x14ac:dyDescent="0.25">
      <c r="A1697" t="s">
        <v>46</v>
      </c>
      <c r="B1697" t="s">
        <v>169</v>
      </c>
      <c r="C1697" t="s">
        <v>318</v>
      </c>
      <c r="D1697" t="s">
        <v>425</v>
      </c>
      <c r="F1697" t="s">
        <v>461</v>
      </c>
      <c r="G1697" t="str">
        <f>HYPERLINK("https://ca.linkedin.com/jobs/view/senior-data-analyst-remote-at-insurance-supermarket-international-usa-3347334252?refId=ym2S88xW3bRQk1LtdRSAqw%3D%3D&amp;trackingId=smlgWwDFCCekBcXDFcqm5w%3D%3D&amp;position=11&amp;pageNum=0&amp;trk=public_jobs_jserp-result_search-card", "Job Link")</f>
        <v>Job Link</v>
      </c>
      <c r="H1697" t="s">
        <v>478</v>
      </c>
      <c r="I1697" t="s">
        <v>481</v>
      </c>
      <c r="J1697" t="s">
        <v>494</v>
      </c>
      <c r="K1697" t="s">
        <v>546</v>
      </c>
      <c r="L1697" t="s">
        <v>601</v>
      </c>
    </row>
    <row r="1698" spans="1:14" x14ac:dyDescent="0.25">
      <c r="A1698" t="s">
        <v>20</v>
      </c>
      <c r="B1698" t="s">
        <v>170</v>
      </c>
      <c r="C1698" t="s">
        <v>319</v>
      </c>
      <c r="D1698" t="s">
        <v>425</v>
      </c>
      <c r="F1698" t="s">
        <v>450</v>
      </c>
      <c r="G1698" t="str">
        <f>HYPERLINK("https://ca.linkedin.com/jobs/view/senior-data-analyst-at-thinkific-3333572538?refId=ym2S88xW3bRQk1LtdRSAqw%3D%3D&amp;trackingId=CqB8oCwE5TuvRZqr7kZLXA%3D%3D&amp;position=12&amp;pageNum=0&amp;trk=public_jobs_jserp-result_search-card", "Job Link")</f>
        <v>Job Link</v>
      </c>
      <c r="H1698" t="s">
        <v>478</v>
      </c>
      <c r="I1698" t="s">
        <v>481</v>
      </c>
      <c r="J1698" t="s">
        <v>495</v>
      </c>
      <c r="K1698" t="s">
        <v>547</v>
      </c>
      <c r="L1698" t="s">
        <v>601</v>
      </c>
    </row>
    <row r="1699" spans="1:14" x14ac:dyDescent="0.25">
      <c r="A1699" t="s">
        <v>47</v>
      </c>
      <c r="B1699" t="s">
        <v>171</v>
      </c>
      <c r="C1699" t="s">
        <v>320</v>
      </c>
      <c r="D1699" t="s">
        <v>425</v>
      </c>
      <c r="F1699" t="s">
        <v>447</v>
      </c>
      <c r="G1699" t="str">
        <f>HYPERLINK("https://ca.linkedin.com/jobs/view/insights-analyst-at-flashfood-3312876343?refId=ym2S88xW3bRQk1LtdRSAqw%3D%3D&amp;trackingId=8swUDR94fgZKuudz3xnTXQ%3D%3D&amp;position=13&amp;pageNum=0&amp;trk=public_jobs_jserp-result_search-card", "Job Link")</f>
        <v>Job Link</v>
      </c>
      <c r="I1699" t="s">
        <v>481</v>
      </c>
      <c r="L1699" t="s">
        <v>601</v>
      </c>
    </row>
    <row r="1700" spans="1:14" x14ac:dyDescent="0.25">
      <c r="A1700" t="s">
        <v>20</v>
      </c>
      <c r="B1700" t="s">
        <v>172</v>
      </c>
      <c r="C1700" t="s">
        <v>321</v>
      </c>
      <c r="D1700" t="s">
        <v>425</v>
      </c>
      <c r="F1700" t="s">
        <v>438</v>
      </c>
      <c r="G1700" t="str">
        <f>HYPERLINK("https://ca.linkedin.com/jobs/view/senior-data-analyst-at-system1-3324728130?refId=ym2S88xW3bRQk1LtdRSAqw%3D%3D&amp;trackingId=eFcalB7tgyo%2Fsgu493SumA%3D%3D&amp;position=14&amp;pageNum=0&amp;trk=public_jobs_jserp-result_search-card", "Job Link")</f>
        <v>Job Link</v>
      </c>
      <c r="H1700" t="s">
        <v>478</v>
      </c>
      <c r="I1700" t="s">
        <v>481</v>
      </c>
      <c r="J1700" t="s">
        <v>486</v>
      </c>
      <c r="K1700" t="s">
        <v>548</v>
      </c>
      <c r="L1700" t="s">
        <v>587</v>
      </c>
      <c r="M1700" t="s">
        <v>588</v>
      </c>
      <c r="N1700" t="s">
        <v>601</v>
      </c>
    </row>
    <row r="1701" spans="1:14" x14ac:dyDescent="0.25">
      <c r="A1701" t="s">
        <v>48</v>
      </c>
      <c r="B1701" t="s">
        <v>173</v>
      </c>
      <c r="C1701" t="s">
        <v>322</v>
      </c>
      <c r="D1701" t="s">
        <v>425</v>
      </c>
      <c r="F1701" t="s">
        <v>462</v>
      </c>
      <c r="G1701" t="str">
        <f>HYPERLINK("https://ca.linkedin.com/jobs/view/data-analyst-trilogy-remote-%2460-000-year-usd-at-crossover-3367086698?refId=ym2S88xW3bRQk1LtdRSAqw%3D%3D&amp;trackingId=OqXui4rm8MkoyMbw9MUvJA%3D%3D&amp;position=15&amp;pageNum=0&amp;trk=public_jobs_jserp-result_search-card", "Job Link")</f>
        <v>Job Link</v>
      </c>
      <c r="H1701" t="s">
        <v>477</v>
      </c>
      <c r="I1701" t="s">
        <v>481</v>
      </c>
      <c r="J1701" t="s">
        <v>496</v>
      </c>
      <c r="K1701" t="s">
        <v>549</v>
      </c>
      <c r="L1701" t="s">
        <v>582</v>
      </c>
      <c r="M1701" t="s">
        <v>588</v>
      </c>
      <c r="N1701" t="s">
        <v>601</v>
      </c>
    </row>
    <row r="1702" spans="1:14" x14ac:dyDescent="0.25">
      <c r="A1702" t="s">
        <v>49</v>
      </c>
      <c r="B1702" t="s">
        <v>174</v>
      </c>
      <c r="C1702" t="s">
        <v>323</v>
      </c>
      <c r="D1702" t="s">
        <v>425</v>
      </c>
      <c r="F1702" t="s">
        <v>433</v>
      </c>
      <c r="G1702" t="str">
        <f>HYPERLINK("https://ca.linkedin.com/jobs/view/product-data-analyst-wtfast-at-blankslate-partners-3350561493?refId=ym2S88xW3bRQk1LtdRSAqw%3D%3D&amp;trackingId=Co%2Fto544CWepfM8Prc5fwQ%3D%3D&amp;position=16&amp;pageNum=0&amp;trk=public_jobs_jserp-result_search-card", "Job Link")</f>
        <v>Job Link</v>
      </c>
      <c r="H1702" t="s">
        <v>479</v>
      </c>
      <c r="I1702" t="s">
        <v>481</v>
      </c>
      <c r="J1702" t="s">
        <v>497</v>
      </c>
      <c r="K1702" t="s">
        <v>538</v>
      </c>
      <c r="L1702" t="s">
        <v>603</v>
      </c>
      <c r="M1702" t="s">
        <v>618</v>
      </c>
      <c r="N1702" t="s">
        <v>601</v>
      </c>
    </row>
    <row r="1703" spans="1:14" x14ac:dyDescent="0.25">
      <c r="A1703" t="s">
        <v>50</v>
      </c>
      <c r="B1703" t="s">
        <v>175</v>
      </c>
      <c r="C1703" t="s">
        <v>324</v>
      </c>
      <c r="D1703" t="s">
        <v>425</v>
      </c>
      <c r="F1703" t="s">
        <v>443</v>
      </c>
      <c r="G1703" t="str">
        <f>HYPERLINK("https://ca.linkedin.com/jobs/view/senior-data-analyst-toronto-on-at-ssense-3369567279?refId=ym2S88xW3bRQk1LtdRSAqw%3D%3D&amp;trackingId=4V%2FO0oq3b%2FVUr7CXl%2FDvsw%3D%3D&amp;position=17&amp;pageNum=0&amp;trk=public_jobs_jserp-result_search-card", "Job Link")</f>
        <v>Job Link</v>
      </c>
      <c r="H1703" t="s">
        <v>478</v>
      </c>
      <c r="I1703" t="s">
        <v>481</v>
      </c>
      <c r="J1703" t="s">
        <v>486</v>
      </c>
      <c r="K1703" t="s">
        <v>550</v>
      </c>
      <c r="L1703" t="s">
        <v>582</v>
      </c>
      <c r="M1703" t="s">
        <v>588</v>
      </c>
      <c r="N1703" t="s">
        <v>601</v>
      </c>
    </row>
    <row r="1704" spans="1:14" x14ac:dyDescent="0.25">
      <c r="A1704" t="s">
        <v>51</v>
      </c>
      <c r="B1704" t="s">
        <v>175</v>
      </c>
      <c r="C1704" t="s">
        <v>325</v>
      </c>
      <c r="D1704" t="s">
        <v>425</v>
      </c>
      <c r="F1704" t="s">
        <v>443</v>
      </c>
      <c r="G1704" t="str">
        <f>HYPERLINK("https://ca.linkedin.com/jobs/view/senior-data-analyst-analytics-insights-toronto-on-at-ssense-3369558722?refId=ym2S88xW3bRQk1LtdRSAqw%3D%3D&amp;trackingId=6J8rmZqqhHDybr5eDOXlfg%3D%3D&amp;position=18&amp;pageNum=0&amp;trk=public_jobs_jserp-result_search-card", "Job Link")</f>
        <v>Job Link</v>
      </c>
      <c r="H1704" t="s">
        <v>478</v>
      </c>
      <c r="I1704" t="s">
        <v>481</v>
      </c>
      <c r="J1704" t="s">
        <v>491</v>
      </c>
      <c r="K1704" t="s">
        <v>550</v>
      </c>
      <c r="L1704" t="s">
        <v>582</v>
      </c>
      <c r="M1704" t="s">
        <v>588</v>
      </c>
      <c r="N1704" t="s">
        <v>601</v>
      </c>
    </row>
    <row r="1705" spans="1:14" x14ac:dyDescent="0.25">
      <c r="A1705" t="s">
        <v>51</v>
      </c>
      <c r="B1705" t="s">
        <v>175</v>
      </c>
      <c r="C1705" t="s">
        <v>325</v>
      </c>
      <c r="D1705" t="s">
        <v>425</v>
      </c>
      <c r="F1705" t="s">
        <v>443</v>
      </c>
      <c r="G1705" t="str">
        <f>HYPERLINK("https://ca.linkedin.com/jobs/view/senior-data-analyst-analytics-insights-toronto-on-at-ssense-3369560180?refId=ym2S88xW3bRQk1LtdRSAqw%3D%3D&amp;trackingId=ofDgxFoJ9QKh%2FffH4DSYLg%3D%3D&amp;position=19&amp;pageNum=0&amp;trk=public_jobs_jserp-result_search-card", "Job Link")</f>
        <v>Job Link</v>
      </c>
      <c r="H1705" t="s">
        <v>478</v>
      </c>
      <c r="I1705" t="s">
        <v>481</v>
      </c>
      <c r="J1705" t="s">
        <v>491</v>
      </c>
      <c r="K1705" t="s">
        <v>550</v>
      </c>
      <c r="L1705" t="s">
        <v>582</v>
      </c>
      <c r="M1705" t="s">
        <v>588</v>
      </c>
      <c r="N1705" t="s">
        <v>601</v>
      </c>
    </row>
    <row r="1706" spans="1:14" x14ac:dyDescent="0.25">
      <c r="A1706" t="s">
        <v>27</v>
      </c>
      <c r="B1706" t="s">
        <v>176</v>
      </c>
      <c r="C1706" t="s">
        <v>326</v>
      </c>
      <c r="D1706" t="s">
        <v>425</v>
      </c>
      <c r="F1706" t="s">
        <v>441</v>
      </c>
      <c r="G1706" t="str">
        <f>HYPERLINK("https://ca.linkedin.com/jobs/view/sr-data-analyst-at-telus-international-digital-solutions-3331944226?refId=ym2S88xW3bRQk1LtdRSAqw%3D%3D&amp;trackingId=996cMqmD6xGQU%2FR0vpgEwg%3D%3D&amp;position=20&amp;pageNum=0&amp;trk=public_jobs_jserp-result_search-card", "Job Link")</f>
        <v>Job Link</v>
      </c>
      <c r="H1706" t="s">
        <v>478</v>
      </c>
      <c r="I1706" t="s">
        <v>481</v>
      </c>
      <c r="J1706" t="s">
        <v>498</v>
      </c>
      <c r="K1706" t="s">
        <v>521</v>
      </c>
      <c r="L1706" t="s">
        <v>604</v>
      </c>
      <c r="M1706" t="s">
        <v>618</v>
      </c>
      <c r="N1706" t="s">
        <v>601</v>
      </c>
    </row>
    <row r="1707" spans="1:14" x14ac:dyDescent="0.25">
      <c r="A1707" t="s">
        <v>20</v>
      </c>
      <c r="B1707" t="s">
        <v>175</v>
      </c>
      <c r="C1707" t="s">
        <v>324</v>
      </c>
      <c r="D1707" t="s">
        <v>425</v>
      </c>
      <c r="F1707" t="s">
        <v>446</v>
      </c>
      <c r="G1707" t="str">
        <f>HYPERLINK("https://ca.linkedin.com/jobs/view/senior-data-analyst-at-ssense-3342165774?refId=ym2S88xW3bRQk1LtdRSAqw%3D%3D&amp;trackingId=6IKnZjE%2Bry%2FzOic0DeF5iQ%3D%3D&amp;position=21&amp;pageNum=0&amp;trk=public_jobs_jserp-result_search-card", "Job Link")</f>
        <v>Job Link</v>
      </c>
      <c r="H1707" t="s">
        <v>478</v>
      </c>
      <c r="I1707" t="s">
        <v>481</v>
      </c>
      <c r="J1707" t="s">
        <v>486</v>
      </c>
      <c r="K1707" t="s">
        <v>550</v>
      </c>
      <c r="L1707" t="s">
        <v>605</v>
      </c>
      <c r="M1707" t="s">
        <v>617</v>
      </c>
      <c r="N1707" t="s">
        <v>601</v>
      </c>
    </row>
    <row r="1708" spans="1:14" x14ac:dyDescent="0.25">
      <c r="A1708" t="s">
        <v>71</v>
      </c>
      <c r="B1708" t="s">
        <v>195</v>
      </c>
      <c r="C1708" t="s">
        <v>348</v>
      </c>
      <c r="D1708" t="s">
        <v>425</v>
      </c>
      <c r="F1708" t="s">
        <v>440</v>
      </c>
      <c r="G1708" t="str">
        <f>HYPERLINK("https://ca.linkedin.com/jobs/view/data-analyst-forecasting-specialist-at-coradix-technology-consulting-ltd-3370911681?refId=ym2S88xW3bRQk1LtdRSAqw%3D%3D&amp;trackingId=ipIcPD0u87V7FXdHmVMNsg%3D%3D&amp;position=22&amp;pageNum=0&amp;trk=public_jobs_jserp-result_search-card", "Job Link")</f>
        <v>Job Link</v>
      </c>
      <c r="H1708" t="s">
        <v>478</v>
      </c>
      <c r="I1708" t="s">
        <v>481</v>
      </c>
      <c r="J1708" t="s">
        <v>504</v>
      </c>
      <c r="K1708" t="s">
        <v>521</v>
      </c>
      <c r="L1708" t="s">
        <v>594</v>
      </c>
      <c r="M1708" t="s">
        <v>588</v>
      </c>
      <c r="N1708" t="s">
        <v>601</v>
      </c>
    </row>
    <row r="1709" spans="1:14" x14ac:dyDescent="0.25">
      <c r="A1709" t="s">
        <v>54</v>
      </c>
      <c r="B1709" t="s">
        <v>178</v>
      </c>
      <c r="C1709" t="s">
        <v>329</v>
      </c>
      <c r="D1709" t="s">
        <v>425</v>
      </c>
      <c r="F1709" t="s">
        <v>430</v>
      </c>
      <c r="G1709">
        <v>0</v>
      </c>
      <c r="H1709" t="s">
        <v>476</v>
      </c>
      <c r="I1709" t="s">
        <v>481</v>
      </c>
      <c r="J1709" t="s">
        <v>486</v>
      </c>
      <c r="K1709" t="s">
        <v>521</v>
      </c>
      <c r="L1709" t="s">
        <v>583</v>
      </c>
      <c r="M1709" t="s">
        <v>610</v>
      </c>
      <c r="N1709" t="s">
        <v>601</v>
      </c>
    </row>
    <row r="1710" spans="1:14" x14ac:dyDescent="0.25">
      <c r="A1710" t="s">
        <v>54</v>
      </c>
      <c r="B1710" t="s">
        <v>178</v>
      </c>
      <c r="C1710" t="s">
        <v>329</v>
      </c>
      <c r="D1710" t="s">
        <v>425</v>
      </c>
      <c r="F1710" t="s">
        <v>430</v>
      </c>
      <c r="G1710">
        <v>0</v>
      </c>
      <c r="H1710" t="s">
        <v>476</v>
      </c>
      <c r="I1710" t="s">
        <v>481</v>
      </c>
      <c r="J1710" t="s">
        <v>486</v>
      </c>
      <c r="K1710" t="s">
        <v>521</v>
      </c>
      <c r="L1710" t="s">
        <v>606</v>
      </c>
      <c r="M1710" t="s">
        <v>618</v>
      </c>
      <c r="N1710" t="s">
        <v>601</v>
      </c>
    </row>
    <row r="1711" spans="1:14" x14ac:dyDescent="0.25">
      <c r="A1711" t="s">
        <v>47</v>
      </c>
      <c r="B1711" t="s">
        <v>171</v>
      </c>
      <c r="C1711" t="s">
        <v>320</v>
      </c>
      <c r="D1711" t="s">
        <v>425</v>
      </c>
      <c r="F1711" t="s">
        <v>447</v>
      </c>
      <c r="G1711" t="str">
        <f>HYPERLINK("https://ca.linkedin.com/jobs/view/insights-analyst-at-flashfood-3312876343?refId=Rg9ktfPqBgDbNIHG4ne9VA%3D%3D&amp;trackingId=fWbswOGf7NUJf9aqIB%2B%2FFg%3D%3D&amp;position=3&amp;pageNum=0&amp;trk=public_jobs_jserp-result_search-card", "Job Link")</f>
        <v>Job Link</v>
      </c>
      <c r="I1711" t="s">
        <v>481</v>
      </c>
      <c r="L1711" t="s">
        <v>601</v>
      </c>
    </row>
    <row r="1712" spans="1:14" x14ac:dyDescent="0.25">
      <c r="A1712" t="s">
        <v>20</v>
      </c>
      <c r="B1712" t="s">
        <v>172</v>
      </c>
      <c r="C1712" t="s">
        <v>321</v>
      </c>
      <c r="D1712" t="s">
        <v>425</v>
      </c>
      <c r="F1712" t="s">
        <v>438</v>
      </c>
      <c r="G1712" t="str">
        <f>HYPERLINK("https://ca.linkedin.com/jobs/view/senior-data-analyst-at-system1-3324728130?refId=Rg9ktfPqBgDbNIHG4ne9VA%3D%3D&amp;trackingId=2OZvVhd5HpIouYJYiS33xQ%3D%3D&amp;position=4&amp;pageNum=0&amp;trk=public_jobs_jserp-result_search-card", "Job Link")</f>
        <v>Job Link</v>
      </c>
      <c r="H1712" t="s">
        <v>478</v>
      </c>
      <c r="I1712" t="s">
        <v>481</v>
      </c>
      <c r="J1712" t="s">
        <v>486</v>
      </c>
      <c r="K1712" t="s">
        <v>548</v>
      </c>
      <c r="L1712" t="s">
        <v>587</v>
      </c>
      <c r="M1712" t="s">
        <v>588</v>
      </c>
      <c r="N1712" t="s">
        <v>601</v>
      </c>
    </row>
    <row r="1713" spans="1:14" x14ac:dyDescent="0.25">
      <c r="A1713" t="s">
        <v>55</v>
      </c>
      <c r="B1713" t="s">
        <v>179</v>
      </c>
      <c r="C1713" t="s">
        <v>330</v>
      </c>
      <c r="D1713" t="s">
        <v>425</v>
      </c>
      <c r="F1713" t="s">
        <v>442</v>
      </c>
      <c r="G1713" t="str">
        <f>HYPERLINK("https://ca.linkedin.com/jobs/view/data-engineer-big-data-engineer-at-capgemini-3346598176?refId=Rg9ktfPqBgDbNIHG4ne9VA%3D%3D&amp;trackingId=zewg9jJGzfJ1g9YwDJh65A%3D%3D&amp;position=5&amp;pageNum=0&amp;trk=public_jobs_jserp-result_search-card", "Job Link")</f>
        <v>Job Link</v>
      </c>
      <c r="H1713" t="s">
        <v>478</v>
      </c>
      <c r="I1713" t="s">
        <v>481</v>
      </c>
      <c r="J1713" t="s">
        <v>486</v>
      </c>
      <c r="K1713" t="s">
        <v>521</v>
      </c>
      <c r="L1713" t="s">
        <v>582</v>
      </c>
      <c r="M1713" t="s">
        <v>588</v>
      </c>
      <c r="N1713" t="s">
        <v>601</v>
      </c>
    </row>
    <row r="1714" spans="1:14" x14ac:dyDescent="0.25">
      <c r="A1714" t="s">
        <v>20</v>
      </c>
      <c r="B1714" t="s">
        <v>180</v>
      </c>
      <c r="C1714" t="s">
        <v>331</v>
      </c>
      <c r="D1714" t="s">
        <v>425</v>
      </c>
      <c r="F1714" t="s">
        <v>439</v>
      </c>
      <c r="G1714" t="str">
        <f>HYPERLINK("https://ca.linkedin.com/jobs/view/senior-data-analyst-at-recollective-3325462969?refId=Rg9ktfPqBgDbNIHG4ne9VA%3D%3D&amp;trackingId=ns9XuNCteoJW73fOW2UWMQ%3D%3D&amp;position=6&amp;pageNum=0&amp;trk=public_jobs_jserp-result_search-card", "Job Link")</f>
        <v>Job Link</v>
      </c>
      <c r="H1714" t="s">
        <v>477</v>
      </c>
      <c r="I1714" t="s">
        <v>481</v>
      </c>
      <c r="J1714" t="s">
        <v>487</v>
      </c>
      <c r="K1714" t="s">
        <v>551</v>
      </c>
      <c r="L1714" t="s">
        <v>601</v>
      </c>
    </row>
    <row r="1715" spans="1:14" x14ac:dyDescent="0.25">
      <c r="A1715" t="s">
        <v>56</v>
      </c>
      <c r="B1715" t="s">
        <v>173</v>
      </c>
      <c r="C1715" t="s">
        <v>332</v>
      </c>
      <c r="D1715" t="s">
        <v>425</v>
      </c>
      <c r="F1715" t="s">
        <v>462</v>
      </c>
      <c r="G1715" t="str">
        <f>HYPERLINK("https://ca.linkedin.com/jobs/view/data-engineer-totogi-remote-%2460-000-year-usd-at-crossover-3367082925?refId=Rg9ktfPqBgDbNIHG4ne9VA%3D%3D&amp;trackingId=cfghpv%2FWIXM4u5MDDhFhUQ%3D%3D&amp;position=7&amp;pageNum=0&amp;trk=public_jobs_jserp-result_search-card", "Job Link")</f>
        <v>Job Link</v>
      </c>
      <c r="H1715" t="s">
        <v>477</v>
      </c>
      <c r="I1715" t="s">
        <v>481</v>
      </c>
      <c r="J1715" t="s">
        <v>496</v>
      </c>
      <c r="K1715" t="s">
        <v>552</v>
      </c>
      <c r="L1715" t="s">
        <v>582</v>
      </c>
      <c r="M1715" t="s">
        <v>588</v>
      </c>
      <c r="N1715" t="s">
        <v>601</v>
      </c>
    </row>
    <row r="1716" spans="1:14" x14ac:dyDescent="0.25">
      <c r="A1716" t="s">
        <v>57</v>
      </c>
      <c r="B1716" t="s">
        <v>181</v>
      </c>
      <c r="C1716" t="s">
        <v>333</v>
      </c>
      <c r="D1716" t="s">
        <v>425</v>
      </c>
      <c r="F1716" t="s">
        <v>463</v>
      </c>
      <c r="G1716" t="str">
        <f>HYPERLINK("https://ca.linkedin.com/jobs/view/technical-support-analyst-at-jitterbit-3367373466?refId=Rg9ktfPqBgDbNIHG4ne9VA%3D%3D&amp;trackingId=U9oPuqTyuvhmDiXq1wop0Q%3D%3D&amp;position=8&amp;pageNum=0&amp;trk=public_jobs_jserp-result_search-card", "Job Link")</f>
        <v>Job Link</v>
      </c>
      <c r="H1716" t="s">
        <v>477</v>
      </c>
      <c r="I1716" t="s">
        <v>481</v>
      </c>
      <c r="J1716" t="s">
        <v>500</v>
      </c>
      <c r="K1716" t="s">
        <v>516</v>
      </c>
      <c r="L1716" t="s">
        <v>601</v>
      </c>
    </row>
    <row r="1717" spans="1:14" x14ac:dyDescent="0.25">
      <c r="A1717" t="s">
        <v>58</v>
      </c>
      <c r="B1717" t="s">
        <v>182</v>
      </c>
      <c r="C1717" t="s">
        <v>334</v>
      </c>
      <c r="D1717" t="s">
        <v>425</v>
      </c>
      <c r="F1717" t="s">
        <v>464</v>
      </c>
      <c r="G1717" t="str">
        <f>HYPERLINK("https://ca.linkedin.com/jobs/view/data-analyst-with-guidewire-experience-remote-us-canada-at-alybyte-inc-3309546020?refId=Rg9ktfPqBgDbNIHG4ne9VA%3D%3D&amp;trackingId=0QdN2FjprDQV6BgnhMSoYQ%3D%3D&amp;position=9&amp;pageNum=0&amp;trk=public_jobs_jserp-result_search-card", "Job Link")</f>
        <v>Job Link</v>
      </c>
      <c r="H1717" t="s">
        <v>476</v>
      </c>
      <c r="I1717" t="s">
        <v>483</v>
      </c>
      <c r="J1717" t="s">
        <v>485</v>
      </c>
      <c r="K1717" t="s">
        <v>521</v>
      </c>
      <c r="L1717" t="s">
        <v>582</v>
      </c>
      <c r="M1717" t="s">
        <v>588</v>
      </c>
      <c r="N1717" t="s">
        <v>601</v>
      </c>
    </row>
    <row r="1718" spans="1:14" x14ac:dyDescent="0.25">
      <c r="A1718" t="s">
        <v>45</v>
      </c>
      <c r="B1718" t="s">
        <v>168</v>
      </c>
      <c r="C1718" t="s">
        <v>317</v>
      </c>
      <c r="D1718" t="s">
        <v>425</v>
      </c>
      <c r="F1718" t="s">
        <v>443</v>
      </c>
      <c r="G1718" t="str">
        <f>HYPERLINK("https://ca.linkedin.com/jobs/view/senior-data-analyst-apac-marketplace-at-hopper-3363404929?refId=Rg9ktfPqBgDbNIHG4ne9VA%3D%3D&amp;trackingId=aJ3ORftF4Xm%2FflBSqg3Lbg%3D%3D&amp;position=10&amp;pageNum=0&amp;trk=public_jobs_jserp-result_search-card", "Job Link")</f>
        <v>Job Link</v>
      </c>
      <c r="H1718" t="s">
        <v>478</v>
      </c>
      <c r="I1718" t="s">
        <v>485</v>
      </c>
      <c r="J1718" t="s">
        <v>486</v>
      </c>
      <c r="K1718" t="s">
        <v>538</v>
      </c>
      <c r="L1718" t="s">
        <v>601</v>
      </c>
    </row>
    <row r="1719" spans="1:14" x14ac:dyDescent="0.25">
      <c r="A1719" t="s">
        <v>59</v>
      </c>
      <c r="B1719" t="s">
        <v>183</v>
      </c>
      <c r="C1719" t="s">
        <v>335</v>
      </c>
      <c r="D1719" t="s">
        <v>425</v>
      </c>
      <c r="F1719" t="s">
        <v>465</v>
      </c>
      <c r="G1719" t="str">
        <f>HYPERLINK("https://ca.linkedin.com/jobs/view/business-systems-analyst-at-entrust-3299783923?refId=Rg9ktfPqBgDbNIHG4ne9VA%3D%3D&amp;trackingId=iTZLmIfJMbWoQMcGNXHnzA%3D%3D&amp;position=11&amp;pageNum=0&amp;trk=public_jobs_jserp-result_search-card", "Job Link")</f>
        <v>Job Link</v>
      </c>
      <c r="H1719" t="s">
        <v>478</v>
      </c>
      <c r="I1719" t="s">
        <v>481</v>
      </c>
      <c r="J1719" t="s">
        <v>486</v>
      </c>
      <c r="K1719" t="s">
        <v>516</v>
      </c>
      <c r="L1719" t="s">
        <v>607</v>
      </c>
      <c r="M1719" t="s">
        <v>588</v>
      </c>
      <c r="N1719" t="s">
        <v>601</v>
      </c>
    </row>
    <row r="1720" spans="1:14" x14ac:dyDescent="0.25">
      <c r="A1720" t="s">
        <v>60</v>
      </c>
      <c r="B1720" t="s">
        <v>184</v>
      </c>
      <c r="C1720" t="s">
        <v>336</v>
      </c>
      <c r="D1720" t="s">
        <v>425</v>
      </c>
      <c r="F1720" t="s">
        <v>434</v>
      </c>
      <c r="G1720" t="str">
        <f>HYPERLINK("https://ca.linkedin.com/jobs/view/online-data-analyst-at-telus-international-3361280858?refId=Rg9ktfPqBgDbNIHG4ne9VA%3D%3D&amp;trackingId=hzJhCPYX1s3Mbi1XxMNhCQ%3D%3D&amp;position=12&amp;pageNum=0&amp;trk=public_jobs_jserp-result_search-card", "Job Link")</f>
        <v>Job Link</v>
      </c>
      <c r="H1720" t="s">
        <v>476</v>
      </c>
      <c r="I1720" t="s">
        <v>483</v>
      </c>
      <c r="J1720" t="s">
        <v>501</v>
      </c>
      <c r="K1720" t="s">
        <v>521</v>
      </c>
      <c r="L1720" t="s">
        <v>590</v>
      </c>
      <c r="M1720" t="s">
        <v>618</v>
      </c>
      <c r="N1720" t="s">
        <v>601</v>
      </c>
    </row>
    <row r="1721" spans="1:14" x14ac:dyDescent="0.25">
      <c r="A1721" t="s">
        <v>61</v>
      </c>
      <c r="B1721" t="s">
        <v>185</v>
      </c>
      <c r="C1721" t="s">
        <v>337</v>
      </c>
      <c r="D1721" t="s">
        <v>425</v>
      </c>
      <c r="F1721" t="s">
        <v>466</v>
      </c>
      <c r="G1721" t="str">
        <f>HYPERLINK("https://ca.linkedin.com/jobs/view/bi-reporting-analyst-at-trade-x-3338163061?refId=Rg9ktfPqBgDbNIHG4ne9VA%3D%3D&amp;trackingId=qktCAgSq3HV07KO48YJndA%3D%3D&amp;position=13&amp;pageNum=0&amp;trk=public_jobs_jserp-result_search-card", "Job Link")</f>
        <v>Job Link</v>
      </c>
      <c r="H1721" t="s">
        <v>477</v>
      </c>
      <c r="I1721" t="s">
        <v>481</v>
      </c>
      <c r="J1721" t="s">
        <v>486</v>
      </c>
      <c r="K1721" t="s">
        <v>553</v>
      </c>
      <c r="L1721" t="s">
        <v>601</v>
      </c>
    </row>
    <row r="1722" spans="1:14" x14ac:dyDescent="0.25">
      <c r="A1722" t="s">
        <v>62</v>
      </c>
      <c r="B1722" t="s">
        <v>186</v>
      </c>
      <c r="C1722" t="s">
        <v>338</v>
      </c>
      <c r="D1722" t="s">
        <v>425</v>
      </c>
      <c r="F1722" t="s">
        <v>463</v>
      </c>
      <c r="G1722" t="str">
        <f>HYPERLINK("https://ca.linkedin.com/jobs/view/senior-bi-analyst-at-telecon-3329599163?refId=Rg9ktfPqBgDbNIHG4ne9VA%3D%3D&amp;trackingId=RhACbPwUUVwqZEsyQ7L8og%3D%3D&amp;position=14&amp;pageNum=0&amp;trk=public_jobs_jserp-result_search-card", "Job Link")</f>
        <v>Job Link</v>
      </c>
      <c r="H1722" t="s">
        <v>477</v>
      </c>
      <c r="I1722" t="s">
        <v>481</v>
      </c>
      <c r="J1722" t="s">
        <v>486</v>
      </c>
      <c r="K1722" t="s">
        <v>535</v>
      </c>
      <c r="L1722" t="s">
        <v>586</v>
      </c>
      <c r="M1722" t="s">
        <v>617</v>
      </c>
      <c r="N1722" t="s">
        <v>601</v>
      </c>
    </row>
    <row r="1723" spans="1:14" x14ac:dyDescent="0.25">
      <c r="A1723" t="s">
        <v>63</v>
      </c>
      <c r="B1723" t="s">
        <v>187</v>
      </c>
      <c r="C1723" t="s">
        <v>339</v>
      </c>
      <c r="D1723" t="s">
        <v>425</v>
      </c>
      <c r="F1723" t="s">
        <v>442</v>
      </c>
      <c r="G1723" t="str">
        <f>HYPERLINK("https://ca.linkedin.com/jobs/view/senior-analytics-engineer-remote-at-jungle-scout-3347033672?refId=Rg9ktfPqBgDbNIHG4ne9VA%3D%3D&amp;trackingId=SgdLN0hbd%2FUWG8z73dinNQ%3D%3D&amp;position=15&amp;pageNum=0&amp;trk=public_jobs_jserp-result_search-card", "Job Link")</f>
        <v>Job Link</v>
      </c>
      <c r="H1723" t="s">
        <v>478</v>
      </c>
      <c r="I1723" t="s">
        <v>481</v>
      </c>
      <c r="J1723" t="s">
        <v>491</v>
      </c>
      <c r="K1723" t="s">
        <v>538</v>
      </c>
      <c r="L1723" t="s">
        <v>590</v>
      </c>
      <c r="M1723" t="s">
        <v>618</v>
      </c>
      <c r="N1723" t="s">
        <v>601</v>
      </c>
    </row>
    <row r="1724" spans="1:14" x14ac:dyDescent="0.25">
      <c r="A1724" t="s">
        <v>64</v>
      </c>
      <c r="B1724" t="s">
        <v>188</v>
      </c>
      <c r="C1724" t="s">
        <v>340</v>
      </c>
      <c r="D1724" t="s">
        <v>425</v>
      </c>
      <c r="F1724" t="s">
        <v>454</v>
      </c>
      <c r="G1724" t="str">
        <f>HYPERLINK("https://ca.linkedin.com/jobs/view/senior-data-and-reporting-analyst-at-american-iron-metal-aim-3342112003?refId=Rg9ktfPqBgDbNIHG4ne9VA%3D%3D&amp;trackingId=NO%2Fkmf911Hvv%2F0LQRCBQOA%3D%3D&amp;position=16&amp;pageNum=0&amp;trk=public_jobs_jserp-result_search-card", "Job Link")</f>
        <v>Job Link</v>
      </c>
      <c r="H1724" t="s">
        <v>476</v>
      </c>
      <c r="I1724" t="s">
        <v>481</v>
      </c>
      <c r="J1724" t="s">
        <v>488</v>
      </c>
      <c r="K1724" t="s">
        <v>554</v>
      </c>
      <c r="L1724" t="s">
        <v>608</v>
      </c>
      <c r="M1724" t="s">
        <v>617</v>
      </c>
      <c r="N1724" t="s">
        <v>601</v>
      </c>
    </row>
    <row r="1725" spans="1:14" x14ac:dyDescent="0.25">
      <c r="A1725" t="s">
        <v>37</v>
      </c>
      <c r="B1725" t="s">
        <v>189</v>
      </c>
      <c r="C1725" t="s">
        <v>341</v>
      </c>
      <c r="D1725" t="s">
        <v>425</v>
      </c>
      <c r="F1725" t="s">
        <v>439</v>
      </c>
      <c r="G1725" t="str">
        <f>HYPERLINK("https://ca.linkedin.com/jobs/view/data-engineer-at-medme-health-yc-w21-3358725995?refId=Rg9ktfPqBgDbNIHG4ne9VA%3D%3D&amp;trackingId=gR1Az3maVM8nY52pVMPFfg%3D%3D&amp;position=17&amp;pageNum=0&amp;trk=public_jobs_jserp-result_search-card", "Job Link")</f>
        <v>Job Link</v>
      </c>
      <c r="H1725" t="s">
        <v>476</v>
      </c>
      <c r="I1725" t="s">
        <v>481</v>
      </c>
      <c r="J1725" t="s">
        <v>486</v>
      </c>
      <c r="K1725" t="s">
        <v>516</v>
      </c>
      <c r="L1725" t="s">
        <v>601</v>
      </c>
    </row>
    <row r="1726" spans="1:14" x14ac:dyDescent="0.25">
      <c r="A1726" t="s">
        <v>65</v>
      </c>
      <c r="B1726" t="s">
        <v>190</v>
      </c>
      <c r="C1726" t="s">
        <v>342</v>
      </c>
      <c r="D1726" t="s">
        <v>425</v>
      </c>
      <c r="F1726" t="s">
        <v>467</v>
      </c>
      <c r="G1726" t="str">
        <f>HYPERLINK("https://ca.linkedin.com/jobs/view/data-analyst-consultant-fire-ems-at-darkhorse-analytics-3356852212?refId=Rg9ktfPqBgDbNIHG4ne9VA%3D%3D&amp;trackingId=DW2WVjtMsVXki9utCG%2Be7A%3D%3D&amp;position=18&amp;pageNum=0&amp;trk=public_jobs_jserp-result_search-card", "Job Link")</f>
        <v>Job Link</v>
      </c>
      <c r="H1726" t="s">
        <v>476</v>
      </c>
      <c r="I1726" t="s">
        <v>481</v>
      </c>
      <c r="J1726" t="s">
        <v>486</v>
      </c>
      <c r="K1726" t="s">
        <v>538</v>
      </c>
      <c r="L1726" t="s">
        <v>609</v>
      </c>
      <c r="M1726" t="s">
        <v>610</v>
      </c>
      <c r="N1726" t="s">
        <v>601</v>
      </c>
    </row>
    <row r="1727" spans="1:14" x14ac:dyDescent="0.25">
      <c r="A1727" t="s">
        <v>66</v>
      </c>
      <c r="B1727" t="s">
        <v>191</v>
      </c>
      <c r="C1727" t="s">
        <v>343</v>
      </c>
      <c r="D1727" t="s">
        <v>425</v>
      </c>
      <c r="F1727" t="s">
        <v>463</v>
      </c>
      <c r="G1727">
        <v>0</v>
      </c>
      <c r="H1727" t="s">
        <v>477</v>
      </c>
      <c r="I1727" t="s">
        <v>481</v>
      </c>
      <c r="J1727" t="s">
        <v>502</v>
      </c>
      <c r="K1727" t="s">
        <v>520</v>
      </c>
      <c r="L1727" t="s">
        <v>601</v>
      </c>
    </row>
    <row r="1728" spans="1:14" x14ac:dyDescent="0.25">
      <c r="A1728" t="s">
        <v>37</v>
      </c>
      <c r="B1728" t="s">
        <v>177</v>
      </c>
      <c r="C1728" t="s">
        <v>344</v>
      </c>
      <c r="D1728" t="s">
        <v>425</v>
      </c>
      <c r="F1728" t="s">
        <v>431</v>
      </c>
      <c r="G1728" t="str">
        <f>HYPERLINK("https://ca.linkedin.com/jobs/view/data-engineer-at-insight-global-3360785168?refId=Rg9ktfPqBgDbNIHG4ne9VA%3D%3D&amp;trackingId=%2FmhxPnAzLEfhEvcl%2FCaSgQ%3D%3D&amp;position=20&amp;pageNum=0&amp;trk=public_jobs_jserp-result_search-card", "Job Link")</f>
        <v>Job Link</v>
      </c>
      <c r="H1728" t="s">
        <v>478</v>
      </c>
      <c r="I1728" t="s">
        <v>483</v>
      </c>
      <c r="J1728" t="s">
        <v>503</v>
      </c>
      <c r="K1728" t="s">
        <v>550</v>
      </c>
      <c r="L1728" t="s">
        <v>601</v>
      </c>
    </row>
    <row r="1729" spans="1:14" x14ac:dyDescent="0.25">
      <c r="A1729" t="s">
        <v>67</v>
      </c>
      <c r="B1729" t="s">
        <v>192</v>
      </c>
      <c r="C1729" t="s">
        <v>345</v>
      </c>
      <c r="D1729" t="s">
        <v>425</v>
      </c>
      <c r="F1729" t="s">
        <v>430</v>
      </c>
      <c r="G1729">
        <v>0</v>
      </c>
      <c r="H1729" t="s">
        <v>476</v>
      </c>
      <c r="I1729" t="s">
        <v>481</v>
      </c>
      <c r="J1729" t="s">
        <v>486</v>
      </c>
      <c r="K1729" t="s">
        <v>555</v>
      </c>
      <c r="L1729" t="s">
        <v>582</v>
      </c>
      <c r="M1729" t="s">
        <v>588</v>
      </c>
      <c r="N1729" t="s">
        <v>601</v>
      </c>
    </row>
    <row r="1730" spans="1:14" x14ac:dyDescent="0.25">
      <c r="A1730" t="s">
        <v>68</v>
      </c>
      <c r="B1730" t="s">
        <v>193</v>
      </c>
      <c r="C1730" t="s">
        <v>346</v>
      </c>
      <c r="D1730" t="s">
        <v>425</v>
      </c>
      <c r="F1730" t="s">
        <v>460</v>
      </c>
      <c r="G1730" t="str">
        <f>HYPERLINK("https://ca.linkedin.com/jobs/view/data-science-analyst-remote-at-yelp-2957910288?refId=Rg9ktfPqBgDbNIHG4ne9VA%3D%3D&amp;trackingId=FBHNyiaC5cz4RGkDiBRkhA%3D%3D&amp;position=22&amp;pageNum=0&amp;trk=public_jobs_jserp-result_search-card", "Job Link")</f>
        <v>Job Link</v>
      </c>
      <c r="H1730" t="s">
        <v>476</v>
      </c>
      <c r="I1730" t="s">
        <v>481</v>
      </c>
      <c r="J1730" t="s">
        <v>486</v>
      </c>
      <c r="K1730" t="s">
        <v>556</v>
      </c>
      <c r="L1730" t="s">
        <v>582</v>
      </c>
      <c r="M1730" t="s">
        <v>588</v>
      </c>
      <c r="N1730" t="s">
        <v>601</v>
      </c>
    </row>
    <row r="1731" spans="1:14" x14ac:dyDescent="0.25">
      <c r="A1731" t="s">
        <v>69</v>
      </c>
      <c r="B1731" t="s">
        <v>175</v>
      </c>
      <c r="C1731" t="s">
        <v>324</v>
      </c>
      <c r="D1731" t="s">
        <v>425</v>
      </c>
      <c r="F1731" t="s">
        <v>446</v>
      </c>
      <c r="G1731" t="str">
        <f>HYPERLINK("https://ca.linkedin.com/jobs/view/senior-data-analyst-vancouver-bc-at-ssense-3342171308?refId=Rg9ktfPqBgDbNIHG4ne9VA%3D%3D&amp;trackingId=uqyfXXQepSwbKjGlK3ozcw%3D%3D&amp;position=23&amp;pageNum=0&amp;trk=public_jobs_jserp-result_search-card", "Job Link")</f>
        <v>Job Link</v>
      </c>
      <c r="H1731" t="s">
        <v>478</v>
      </c>
      <c r="I1731" t="s">
        <v>481</v>
      </c>
      <c r="J1731" t="s">
        <v>486</v>
      </c>
      <c r="K1731" t="s">
        <v>550</v>
      </c>
      <c r="L1731" t="s">
        <v>590</v>
      </c>
      <c r="M1731" t="s">
        <v>618</v>
      </c>
      <c r="N1731" t="s">
        <v>601</v>
      </c>
    </row>
    <row r="1732" spans="1:14" x14ac:dyDescent="0.25">
      <c r="A1732" t="s">
        <v>14</v>
      </c>
      <c r="B1732" t="s">
        <v>162</v>
      </c>
      <c r="C1732" t="s">
        <v>311</v>
      </c>
      <c r="D1732" t="s">
        <v>425</v>
      </c>
      <c r="F1732" t="s">
        <v>434</v>
      </c>
      <c r="G1732" t="str">
        <f>HYPERLINK("https://ca.linkedin.com/jobs/view/data-analyst-at-money-mart-financial-services-3361528052?refId=Rg9ktfPqBgDbNIHG4ne9VA%3D%3D&amp;trackingId=ph0%2FUxQTaoASId72AkHJQg%3D%3D&amp;position=24&amp;pageNum=0&amp;trk=public_jobs_jserp-result_search-card", "Job Link")</f>
        <v>Job Link</v>
      </c>
      <c r="H1732" t="s">
        <v>477</v>
      </c>
      <c r="I1732" t="s">
        <v>481</v>
      </c>
      <c r="J1732" t="s">
        <v>488</v>
      </c>
      <c r="K1732" t="s">
        <v>527</v>
      </c>
      <c r="L1732" t="s">
        <v>582</v>
      </c>
      <c r="M1732" t="s">
        <v>588</v>
      </c>
      <c r="N1732" t="s">
        <v>601</v>
      </c>
    </row>
    <row r="1733" spans="1:14" x14ac:dyDescent="0.25">
      <c r="A1733" t="s">
        <v>70</v>
      </c>
      <c r="B1733" t="s">
        <v>194</v>
      </c>
      <c r="C1733" t="s">
        <v>347</v>
      </c>
      <c r="D1733" t="s">
        <v>425</v>
      </c>
      <c r="F1733" t="s">
        <v>462</v>
      </c>
      <c r="G1733" t="str">
        <f>HYPERLINK("https://ca.linkedin.com/jobs/view/data-engineer-remote-at-article-3364468812?refId=Rg9ktfPqBgDbNIHG4ne9VA%3D%3D&amp;trackingId=DdtEPTn2BnGpeJBUL7D1hg%3D%3D&amp;position=25&amp;pageNum=0&amp;trk=public_jobs_jserp-result_search-card", "Job Link")</f>
        <v>Job Link</v>
      </c>
      <c r="H1733" t="s">
        <v>476</v>
      </c>
      <c r="I1733" t="s">
        <v>481</v>
      </c>
      <c r="J1733" t="s">
        <v>486</v>
      </c>
      <c r="K1733" t="s">
        <v>557</v>
      </c>
      <c r="L1733" t="s">
        <v>590</v>
      </c>
      <c r="M1733" t="s">
        <v>618</v>
      </c>
      <c r="N1733" t="s">
        <v>601</v>
      </c>
    </row>
    <row r="1734" spans="1:14" x14ac:dyDescent="0.25">
      <c r="A1734" t="s">
        <v>14</v>
      </c>
      <c r="B1734" t="s">
        <v>158</v>
      </c>
      <c r="C1734" t="s">
        <v>307</v>
      </c>
      <c r="D1734" t="s">
        <v>425</v>
      </c>
      <c r="F1734" t="s">
        <v>430</v>
      </c>
      <c r="G1734" t="str">
        <f>HYPERLINK("https://ca.linkedin.com/jobs/view/data-analyst-at-empire-life-3324608289?refId=R%2BFt1mzF%2BbGjr4DpxYJCtQ%3D%3D&amp;trackingId=HhMuW5K7VP%2B8UeIZ89jn4A%3D%3D&amp;position=1&amp;pageNum=0&amp;trk=public_jobs_jserp-result_search-card", "Job Link")</f>
        <v>Job Link</v>
      </c>
      <c r="H1734" t="s">
        <v>476</v>
      </c>
      <c r="I1734" t="s">
        <v>481</v>
      </c>
      <c r="J1734" t="s">
        <v>485</v>
      </c>
      <c r="K1734" t="s">
        <v>523</v>
      </c>
      <c r="L1734" t="s">
        <v>601</v>
      </c>
    </row>
    <row r="1735" spans="1:14" x14ac:dyDescent="0.25">
      <c r="A1735" t="s">
        <v>40</v>
      </c>
      <c r="B1735" t="s">
        <v>159</v>
      </c>
      <c r="C1735" t="s">
        <v>308</v>
      </c>
      <c r="D1735" t="s">
        <v>425</v>
      </c>
      <c r="F1735" t="s">
        <v>435</v>
      </c>
      <c r="G1735" t="str">
        <f>HYPERLINK("https://ca.linkedin.com/jobs/view/data-visualization-developer-analyst-at-blue-boat-data-3335318133?refId=R%2BFt1mzF%2BbGjr4DpxYJCtQ%3D%3D&amp;trackingId=YMIwugm64MizJxvzNtPZ5w%3D%3D&amp;position=2&amp;pageNum=0&amp;trk=public_jobs_jserp-result_search-card", "Job Link")</f>
        <v>Job Link</v>
      </c>
      <c r="I1735" t="s">
        <v>483</v>
      </c>
      <c r="L1735" t="s">
        <v>601</v>
      </c>
    </row>
    <row r="1736" spans="1:14" x14ac:dyDescent="0.25">
      <c r="A1736" t="s">
        <v>14</v>
      </c>
      <c r="B1736" t="s">
        <v>160</v>
      </c>
      <c r="C1736" t="s">
        <v>309</v>
      </c>
      <c r="D1736" t="s">
        <v>425</v>
      </c>
      <c r="E1736" t="s">
        <v>427</v>
      </c>
      <c r="F1736" t="s">
        <v>458</v>
      </c>
      <c r="G1736" t="str">
        <f>HYPERLINK("https://ca.linkedin.com/jobs/view/data-analyst-at-libitzky-property-companies-3314494593?refId=R%2BFt1mzF%2BbGjr4DpxYJCtQ%3D%3D&amp;trackingId=fxbyIRlnwX0%2FxaubUO7%2B2w%3D%3D&amp;position=3&amp;pageNum=0&amp;trk=public_jobs_jserp-result_search-card", "Job Link")</f>
        <v>Job Link</v>
      </c>
      <c r="H1736" t="s">
        <v>476</v>
      </c>
      <c r="I1736" t="s">
        <v>481</v>
      </c>
      <c r="J1736" t="s">
        <v>486</v>
      </c>
      <c r="K1736" t="s">
        <v>516</v>
      </c>
      <c r="L1736" t="s">
        <v>601</v>
      </c>
    </row>
    <row r="1737" spans="1:14" x14ac:dyDescent="0.25">
      <c r="A1737" t="s">
        <v>14</v>
      </c>
      <c r="B1737" t="s">
        <v>161</v>
      </c>
      <c r="C1737" t="s">
        <v>310</v>
      </c>
      <c r="D1737" t="s">
        <v>425</v>
      </c>
      <c r="F1737" t="s">
        <v>435</v>
      </c>
      <c r="G1737" t="str">
        <f>HYPERLINK("https://ca.linkedin.com/jobs/view/data-analyst-at-spire-3340696458?refId=R%2BFt1mzF%2BbGjr4DpxYJCtQ%3D%3D&amp;trackingId=ZJpQG%2Fubf%2BSPGmFfq0%2BjJg%3D%3D&amp;position=4&amp;pageNum=0&amp;trk=public_jobs_jserp-result_search-card", "Job Link")</f>
        <v>Job Link</v>
      </c>
      <c r="H1737" t="s">
        <v>476</v>
      </c>
      <c r="I1737" t="s">
        <v>481</v>
      </c>
      <c r="J1737" t="s">
        <v>486</v>
      </c>
      <c r="K1737" t="s">
        <v>517</v>
      </c>
      <c r="L1737" t="s">
        <v>602</v>
      </c>
      <c r="M1737" t="s">
        <v>588</v>
      </c>
      <c r="N1737" t="s">
        <v>601</v>
      </c>
    </row>
    <row r="1738" spans="1:14" x14ac:dyDescent="0.25">
      <c r="A1738" t="s">
        <v>14</v>
      </c>
      <c r="B1738" t="s">
        <v>163</v>
      </c>
      <c r="C1738" t="s">
        <v>312</v>
      </c>
      <c r="D1738" t="s">
        <v>425</v>
      </c>
      <c r="F1738" t="s">
        <v>443</v>
      </c>
      <c r="G1738" t="str">
        <f>HYPERLINK("https://ca.linkedin.com/jobs/view/data-analyst-at-mojio-3363472062?refId=R%2BFt1mzF%2BbGjr4DpxYJCtQ%3D%3D&amp;trackingId=pYHDSInPMPhnC2vF%2B83How%3D%3D&amp;position=5&amp;pageNum=0&amp;trk=public_jobs_jserp-result_search-card", "Job Link")</f>
        <v>Job Link</v>
      </c>
      <c r="H1738" t="s">
        <v>478</v>
      </c>
      <c r="I1738" t="s">
        <v>481</v>
      </c>
      <c r="J1738" t="s">
        <v>493</v>
      </c>
      <c r="K1738" t="s">
        <v>544</v>
      </c>
      <c r="L1738" t="s">
        <v>601</v>
      </c>
    </row>
    <row r="1739" spans="1:14" x14ac:dyDescent="0.25">
      <c r="A1739" t="s">
        <v>41</v>
      </c>
      <c r="B1739" t="s">
        <v>164</v>
      </c>
      <c r="C1739" t="s">
        <v>313</v>
      </c>
      <c r="D1739" t="s">
        <v>425</v>
      </c>
      <c r="F1739" t="s">
        <v>444</v>
      </c>
      <c r="G1739" t="str">
        <f>HYPERLINK("https://ca.linkedin.com/jobs/view/product-data-analyst-at-pdftron-systems-inc-3322845144?refId=R%2BFt1mzF%2BbGjr4DpxYJCtQ%3D%3D&amp;trackingId=1i%2F8T%2Bzhl6GSxShn4jgHYA%3D%3D&amp;position=6&amp;pageNum=0&amp;trk=public_jobs_jserp-result_search-card", "Job Link")</f>
        <v>Job Link</v>
      </c>
      <c r="H1739" t="s">
        <v>479</v>
      </c>
      <c r="I1739" t="s">
        <v>481</v>
      </c>
      <c r="J1739" t="s">
        <v>487</v>
      </c>
      <c r="K1739" t="s">
        <v>538</v>
      </c>
      <c r="L1739" t="s">
        <v>590</v>
      </c>
      <c r="M1739" t="s">
        <v>618</v>
      </c>
      <c r="N1739" t="s">
        <v>601</v>
      </c>
    </row>
    <row r="1740" spans="1:14" x14ac:dyDescent="0.25">
      <c r="A1740" t="s">
        <v>42</v>
      </c>
      <c r="B1740" t="s">
        <v>165</v>
      </c>
      <c r="C1740" t="s">
        <v>314</v>
      </c>
      <c r="D1740" t="s">
        <v>425</v>
      </c>
      <c r="F1740" t="s">
        <v>459</v>
      </c>
      <c r="G1740" t="str">
        <f>HYPERLINK("https://ca.linkedin.com/jobs/view/cognitive-data-analyst-at-wysdom-ai-3333087497?refId=R%2BFt1mzF%2BbGjr4DpxYJCtQ%3D%3D&amp;trackingId=vd2Dj2EJk%2FwKAnHaEW2VnQ%3D%3D&amp;position=7&amp;pageNum=0&amp;trk=public_jobs_jserp-result_search-card", "Job Link")</f>
        <v>Job Link</v>
      </c>
      <c r="H1740" t="s">
        <v>478</v>
      </c>
      <c r="I1740" t="s">
        <v>481</v>
      </c>
      <c r="J1740" t="s">
        <v>486</v>
      </c>
      <c r="K1740" t="s">
        <v>516</v>
      </c>
      <c r="L1740" t="s">
        <v>601</v>
      </c>
    </row>
    <row r="1741" spans="1:14" x14ac:dyDescent="0.25">
      <c r="A1741" t="s">
        <v>43</v>
      </c>
      <c r="B1741" t="s">
        <v>166</v>
      </c>
      <c r="C1741" t="s">
        <v>315</v>
      </c>
      <c r="D1741" t="s">
        <v>425</v>
      </c>
      <c r="F1741" t="s">
        <v>432</v>
      </c>
      <c r="G1741" t="str">
        <f>HYPERLINK("https://ca.linkedin.com/jobs/view/data-analyst-operations-at-felix-3360946633?refId=R%2BFt1mzF%2BbGjr4DpxYJCtQ%3D%3D&amp;trackingId=IR2fq5qrqst8JdJivxeyYA%3D%3D&amp;position=8&amp;pageNum=0&amp;trk=public_jobs_jserp-result_search-card", "Job Link")</f>
        <v>Job Link</v>
      </c>
      <c r="I1741" t="s">
        <v>481</v>
      </c>
      <c r="L1741" t="s">
        <v>601</v>
      </c>
    </row>
    <row r="1742" spans="1:14" x14ac:dyDescent="0.25">
      <c r="A1742" t="s">
        <v>14</v>
      </c>
      <c r="B1742" t="s">
        <v>162</v>
      </c>
      <c r="C1742" t="s">
        <v>311</v>
      </c>
      <c r="D1742" t="s">
        <v>425</v>
      </c>
      <c r="F1742" t="s">
        <v>434</v>
      </c>
      <c r="G1742" t="str">
        <f>HYPERLINK("https://ca.linkedin.com/jobs/view/data-analyst-at-money-mart-financial-services-3361528052?refId=R%2BFt1mzF%2BbGjr4DpxYJCtQ%3D%3D&amp;trackingId=Tb%2F679jkNiW7bKVNv9NGhg%3D%3D&amp;position=9&amp;pageNum=0&amp;trk=public_jobs_jserp-result_search-card", "Job Link")</f>
        <v>Job Link</v>
      </c>
      <c r="H1742" t="s">
        <v>477</v>
      </c>
      <c r="I1742" t="s">
        <v>481</v>
      </c>
      <c r="J1742" t="s">
        <v>488</v>
      </c>
      <c r="K1742" t="s">
        <v>527</v>
      </c>
      <c r="L1742" t="s">
        <v>582</v>
      </c>
      <c r="M1742" t="s">
        <v>588</v>
      </c>
      <c r="N1742" t="s">
        <v>601</v>
      </c>
    </row>
    <row r="1743" spans="1:14" x14ac:dyDescent="0.25">
      <c r="A1743" t="s">
        <v>44</v>
      </c>
      <c r="B1743" t="s">
        <v>167</v>
      </c>
      <c r="C1743" t="s">
        <v>284</v>
      </c>
      <c r="D1743" t="s">
        <v>425</v>
      </c>
      <c r="F1743" t="s">
        <v>460</v>
      </c>
      <c r="G1743" t="str">
        <f>HYPERLINK("https://ca.linkedin.com/jobs/view/data-analyst-marketing-at-thescore-3272474942?refId=R%2BFt1mzF%2BbGjr4DpxYJCtQ%3D%3D&amp;trackingId=I%2Fawrae%2BhTxJpEXZX9VY8w%3D%3D&amp;position=10&amp;pageNum=0&amp;trk=public_jobs_jserp-result_search-card", "Job Link")</f>
        <v>Job Link</v>
      </c>
      <c r="L1743" t="s">
        <v>582</v>
      </c>
      <c r="M1743" t="s">
        <v>588</v>
      </c>
      <c r="N1743" t="s">
        <v>601</v>
      </c>
    </row>
    <row r="1744" spans="1:14" x14ac:dyDescent="0.25">
      <c r="A1744" t="s">
        <v>45</v>
      </c>
      <c r="B1744" t="s">
        <v>168</v>
      </c>
      <c r="C1744" t="s">
        <v>317</v>
      </c>
      <c r="D1744" t="s">
        <v>425</v>
      </c>
      <c r="F1744" t="s">
        <v>443</v>
      </c>
      <c r="G1744" t="str">
        <f>HYPERLINK("https://ca.linkedin.com/jobs/view/senior-data-analyst-apac-marketplace-at-hopper-3363404929?refId=R%2BFt1mzF%2BbGjr4DpxYJCtQ%3D%3D&amp;trackingId=aWNEERQ1S8EdyXYAvQXv7A%3D%3D&amp;position=11&amp;pageNum=0&amp;trk=public_jobs_jserp-result_search-card", "Job Link")</f>
        <v>Job Link</v>
      </c>
      <c r="H1744" t="s">
        <v>478</v>
      </c>
      <c r="I1744" t="s">
        <v>485</v>
      </c>
      <c r="J1744" t="s">
        <v>486</v>
      </c>
      <c r="K1744" t="s">
        <v>538</v>
      </c>
      <c r="L1744" t="s">
        <v>601</v>
      </c>
    </row>
    <row r="1745" spans="1:14" x14ac:dyDescent="0.25">
      <c r="A1745" t="s">
        <v>48</v>
      </c>
      <c r="B1745" t="s">
        <v>173</v>
      </c>
      <c r="C1745" t="s">
        <v>284</v>
      </c>
      <c r="D1745" t="s">
        <v>425</v>
      </c>
      <c r="F1745" t="s">
        <v>462</v>
      </c>
      <c r="G1745" t="str">
        <f>HYPERLINK("https://ca.linkedin.com/jobs/view/data-analyst-trilogy-remote-%2460-000-year-usd-at-crossover-3367086698?refId=R%2BFt1mzF%2BbGjr4DpxYJCtQ%3D%3D&amp;trackingId=edyajJtwXfwP4isYZnNCmQ%3D%3D&amp;position=12&amp;pageNum=0&amp;trk=public_jobs_jserp-result_search-card", "Job Link")</f>
        <v>Job Link</v>
      </c>
      <c r="L1745" t="s">
        <v>582</v>
      </c>
      <c r="M1745" t="s">
        <v>588</v>
      </c>
      <c r="N1745" t="s">
        <v>601</v>
      </c>
    </row>
    <row r="1746" spans="1:14" x14ac:dyDescent="0.25">
      <c r="A1746" t="s">
        <v>46</v>
      </c>
      <c r="B1746" t="s">
        <v>169</v>
      </c>
      <c r="C1746" t="s">
        <v>318</v>
      </c>
      <c r="D1746" t="s">
        <v>425</v>
      </c>
      <c r="F1746" t="s">
        <v>461</v>
      </c>
      <c r="G1746">
        <v>0</v>
      </c>
      <c r="H1746" t="s">
        <v>478</v>
      </c>
      <c r="I1746" t="s">
        <v>481</v>
      </c>
      <c r="J1746" t="s">
        <v>494</v>
      </c>
      <c r="K1746" t="s">
        <v>546</v>
      </c>
      <c r="L1746" t="s">
        <v>601</v>
      </c>
    </row>
    <row r="1747" spans="1:14" x14ac:dyDescent="0.25">
      <c r="A1747" t="s">
        <v>20</v>
      </c>
      <c r="B1747" t="s">
        <v>170</v>
      </c>
      <c r="C1747" t="s">
        <v>319</v>
      </c>
      <c r="D1747" t="s">
        <v>425</v>
      </c>
      <c r="F1747" t="s">
        <v>450</v>
      </c>
      <c r="G1747" t="str">
        <f>HYPERLINK("https://ca.linkedin.com/jobs/view/senior-data-analyst-at-thinkific-3333572538?refId=R%2BFt1mzF%2BbGjr4DpxYJCtQ%3D%3D&amp;trackingId=x%2F9AFu98awNQehJjWmi3mA%3D%3D&amp;position=14&amp;pageNum=0&amp;trk=public_jobs_jserp-result_search-card", "Job Link")</f>
        <v>Job Link</v>
      </c>
      <c r="H1747" t="s">
        <v>478</v>
      </c>
      <c r="I1747" t="s">
        <v>481</v>
      </c>
      <c r="J1747" t="s">
        <v>495</v>
      </c>
      <c r="K1747" t="s">
        <v>547</v>
      </c>
      <c r="L1747" t="s">
        <v>601</v>
      </c>
    </row>
    <row r="1748" spans="1:14" x14ac:dyDescent="0.25">
      <c r="A1748" t="s">
        <v>47</v>
      </c>
      <c r="B1748" t="s">
        <v>171</v>
      </c>
      <c r="C1748" t="s">
        <v>320</v>
      </c>
      <c r="D1748" t="s">
        <v>425</v>
      </c>
      <c r="F1748" t="s">
        <v>447</v>
      </c>
      <c r="G1748" t="str">
        <f>HYPERLINK("https://ca.linkedin.com/jobs/view/insights-analyst-at-flashfood-3312876343?refId=R%2BFt1mzF%2BbGjr4DpxYJCtQ%3D%3D&amp;trackingId=9Csqj%2FEg7MSpeDpBaOQgvA%3D%3D&amp;position=15&amp;pageNum=0&amp;trk=public_jobs_jserp-result_search-card", "Job Link")</f>
        <v>Job Link</v>
      </c>
      <c r="I1748" t="s">
        <v>481</v>
      </c>
      <c r="L1748" t="s">
        <v>601</v>
      </c>
    </row>
    <row r="1749" spans="1:14" x14ac:dyDescent="0.25">
      <c r="A1749" t="s">
        <v>20</v>
      </c>
      <c r="B1749" t="s">
        <v>172</v>
      </c>
      <c r="C1749" t="s">
        <v>321</v>
      </c>
      <c r="D1749" t="s">
        <v>425</v>
      </c>
      <c r="F1749" t="s">
        <v>438</v>
      </c>
      <c r="G1749" t="str">
        <f>HYPERLINK("https://ca.linkedin.com/jobs/view/senior-data-analyst-at-system1-3324728130?refId=R%2BFt1mzF%2BbGjr4DpxYJCtQ%3D%3D&amp;trackingId=rV5fRG26ws6XKJp1%2BKkO6w%3D%3D&amp;position=16&amp;pageNum=0&amp;trk=public_jobs_jserp-result_search-card", "Job Link")</f>
        <v>Job Link</v>
      </c>
      <c r="H1749" t="s">
        <v>478</v>
      </c>
      <c r="I1749" t="s">
        <v>481</v>
      </c>
      <c r="J1749" t="s">
        <v>486</v>
      </c>
      <c r="K1749" t="s">
        <v>548</v>
      </c>
      <c r="L1749" t="s">
        <v>587</v>
      </c>
      <c r="M1749" t="s">
        <v>588</v>
      </c>
      <c r="N1749" t="s">
        <v>601</v>
      </c>
    </row>
    <row r="1750" spans="1:14" x14ac:dyDescent="0.25">
      <c r="A1750" t="s">
        <v>49</v>
      </c>
      <c r="B1750" t="s">
        <v>174</v>
      </c>
      <c r="C1750" t="s">
        <v>323</v>
      </c>
      <c r="D1750" t="s">
        <v>425</v>
      </c>
      <c r="F1750" t="s">
        <v>433</v>
      </c>
      <c r="G1750" t="str">
        <f>HYPERLINK("https://ca.linkedin.com/jobs/view/product-data-analyst-wtfast-at-blankslate-partners-3350561493?refId=R%2BFt1mzF%2BbGjr4DpxYJCtQ%3D%3D&amp;trackingId=2919z%2B3p6WgJmK5A3xJ6XA%3D%3D&amp;position=17&amp;pageNum=0&amp;trk=public_jobs_jserp-result_search-card", "Job Link")</f>
        <v>Job Link</v>
      </c>
      <c r="H1750" t="s">
        <v>479</v>
      </c>
      <c r="I1750" t="s">
        <v>481</v>
      </c>
      <c r="J1750" t="s">
        <v>497</v>
      </c>
      <c r="K1750" t="s">
        <v>538</v>
      </c>
      <c r="L1750" t="s">
        <v>603</v>
      </c>
      <c r="M1750" t="s">
        <v>618</v>
      </c>
      <c r="N1750" t="s">
        <v>601</v>
      </c>
    </row>
    <row r="1751" spans="1:14" x14ac:dyDescent="0.25">
      <c r="A1751" t="s">
        <v>50</v>
      </c>
      <c r="B1751" t="s">
        <v>175</v>
      </c>
      <c r="C1751" t="s">
        <v>324</v>
      </c>
      <c r="D1751" t="s">
        <v>425</v>
      </c>
      <c r="F1751" t="s">
        <v>443</v>
      </c>
      <c r="G1751" t="str">
        <f>HYPERLINK("https://ca.linkedin.com/jobs/view/senior-data-analyst-toronto-on-at-ssense-3369567279?refId=R%2BFt1mzF%2BbGjr4DpxYJCtQ%3D%3D&amp;trackingId=NX7WQI7ciekuA7gAaqQ8Vg%3D%3D&amp;position=18&amp;pageNum=0&amp;trk=public_jobs_jserp-result_search-card", "Job Link")</f>
        <v>Job Link</v>
      </c>
      <c r="H1751" t="s">
        <v>478</v>
      </c>
      <c r="I1751" t="s">
        <v>481</v>
      </c>
      <c r="J1751" t="s">
        <v>486</v>
      </c>
      <c r="K1751" t="s">
        <v>550</v>
      </c>
      <c r="L1751" t="s">
        <v>582</v>
      </c>
      <c r="M1751" t="s">
        <v>588</v>
      </c>
      <c r="N1751" t="s">
        <v>601</v>
      </c>
    </row>
    <row r="1752" spans="1:14" x14ac:dyDescent="0.25">
      <c r="A1752" t="s">
        <v>51</v>
      </c>
      <c r="B1752" t="s">
        <v>175</v>
      </c>
      <c r="C1752" t="s">
        <v>325</v>
      </c>
      <c r="D1752" t="s">
        <v>425</v>
      </c>
      <c r="F1752" t="s">
        <v>443</v>
      </c>
      <c r="G1752" t="str">
        <f>HYPERLINK("https://ca.linkedin.com/jobs/view/senior-data-analyst-analytics-insights-toronto-on-at-ssense-3369558722?refId=R%2BFt1mzF%2BbGjr4DpxYJCtQ%3D%3D&amp;trackingId=n8BobHbgr7vXVYC1rr%2Fu1w%3D%3D&amp;position=19&amp;pageNum=0&amp;trk=public_jobs_jserp-result_search-card", "Job Link")</f>
        <v>Job Link</v>
      </c>
      <c r="H1752" t="s">
        <v>478</v>
      </c>
      <c r="I1752" t="s">
        <v>481</v>
      </c>
      <c r="J1752" t="s">
        <v>491</v>
      </c>
      <c r="K1752" t="s">
        <v>550</v>
      </c>
      <c r="L1752" t="s">
        <v>582</v>
      </c>
      <c r="M1752" t="s">
        <v>588</v>
      </c>
      <c r="N1752" t="s">
        <v>601</v>
      </c>
    </row>
    <row r="1753" spans="1:14" x14ac:dyDescent="0.25">
      <c r="A1753" t="s">
        <v>51</v>
      </c>
      <c r="B1753" t="s">
        <v>175</v>
      </c>
      <c r="C1753" t="s">
        <v>325</v>
      </c>
      <c r="D1753" t="s">
        <v>425</v>
      </c>
      <c r="F1753" t="s">
        <v>443</v>
      </c>
      <c r="G1753" t="str">
        <f>HYPERLINK("https://ca.linkedin.com/jobs/view/senior-data-analyst-analytics-insights-toronto-on-at-ssense-3369560180?refId=R%2BFt1mzF%2BbGjr4DpxYJCtQ%3D%3D&amp;trackingId=2FxWuwSWFGf1DJ6XF9vS2Q%3D%3D&amp;position=20&amp;pageNum=0&amp;trk=public_jobs_jserp-result_search-card", "Job Link")</f>
        <v>Job Link</v>
      </c>
      <c r="H1753" t="s">
        <v>478</v>
      </c>
      <c r="I1753" t="s">
        <v>481</v>
      </c>
      <c r="J1753" t="s">
        <v>491</v>
      </c>
      <c r="K1753" t="s">
        <v>550</v>
      </c>
      <c r="L1753" t="s">
        <v>582</v>
      </c>
      <c r="M1753" t="s">
        <v>588</v>
      </c>
      <c r="N1753" t="s">
        <v>601</v>
      </c>
    </row>
    <row r="1754" spans="1:14" x14ac:dyDescent="0.25">
      <c r="A1754" t="s">
        <v>52</v>
      </c>
      <c r="B1754" t="s">
        <v>173</v>
      </c>
      <c r="C1754" t="s">
        <v>327</v>
      </c>
      <c r="D1754" t="s">
        <v>425</v>
      </c>
      <c r="F1754" t="s">
        <v>462</v>
      </c>
      <c r="G1754" t="str">
        <f>HYPERLINK("https://ca.linkedin.com/jobs/view/data-research-analyst-trilogy-remote-%2460-000-year-usd-at-crossover-3367090309?refId=R%2BFt1mzF%2BbGjr4DpxYJCtQ%3D%3D&amp;trackingId=9bHu7qIx7eWnGMOD4uLQPw%3D%3D&amp;position=21&amp;pageNum=0&amp;trk=public_jobs_jserp-result_search-card", "Job Link")</f>
        <v>Job Link</v>
      </c>
      <c r="H1754" t="s">
        <v>477</v>
      </c>
      <c r="I1754" t="s">
        <v>481</v>
      </c>
      <c r="J1754" t="s">
        <v>499</v>
      </c>
      <c r="K1754" t="s">
        <v>549</v>
      </c>
      <c r="L1754" t="s">
        <v>588</v>
      </c>
      <c r="M1754" t="s">
        <v>601</v>
      </c>
    </row>
    <row r="1755" spans="1:14" x14ac:dyDescent="0.25">
      <c r="A1755" t="s">
        <v>27</v>
      </c>
      <c r="B1755" t="s">
        <v>176</v>
      </c>
      <c r="C1755" t="s">
        <v>326</v>
      </c>
      <c r="D1755" t="s">
        <v>425</v>
      </c>
      <c r="F1755" t="s">
        <v>441</v>
      </c>
      <c r="G1755" t="str">
        <f>HYPERLINK("https://ca.linkedin.com/jobs/view/sr-data-analyst-at-telus-international-digital-solutions-3331944226?refId=R%2BFt1mzF%2BbGjr4DpxYJCtQ%3D%3D&amp;trackingId=KoB5GCaYb2Y%2F9Bm8bDZs2w%3D%3D&amp;position=22&amp;pageNum=0&amp;trk=public_jobs_jserp-result_search-card", "Job Link")</f>
        <v>Job Link</v>
      </c>
      <c r="H1755" t="s">
        <v>478</v>
      </c>
      <c r="I1755" t="s">
        <v>481</v>
      </c>
      <c r="J1755" t="s">
        <v>498</v>
      </c>
      <c r="K1755" t="s">
        <v>521</v>
      </c>
      <c r="L1755" t="s">
        <v>604</v>
      </c>
      <c r="M1755" t="s">
        <v>618</v>
      </c>
      <c r="N1755" t="s">
        <v>601</v>
      </c>
    </row>
    <row r="1756" spans="1:14" x14ac:dyDescent="0.25">
      <c r="A1756" t="s">
        <v>14</v>
      </c>
      <c r="B1756" t="s">
        <v>158</v>
      </c>
      <c r="C1756" t="s">
        <v>307</v>
      </c>
      <c r="D1756" t="s">
        <v>425</v>
      </c>
      <c r="F1756" t="s">
        <v>430</v>
      </c>
      <c r="G1756" t="str">
        <f>HYPERLINK("https://ca.linkedin.com/jobs/view/data-analyst-at-empire-life-3324608289?refId=2KEfOP0oOYHiyADLkEOJYA%3D%3D&amp;trackingId=H34ey3Z%2BWVwpdq5SrWIiAA%3D%3D&amp;position=1&amp;pageNum=0&amp;trk=public_jobs_jserp-result_search-card", "Job Link")</f>
        <v>Job Link</v>
      </c>
      <c r="H1756" t="s">
        <v>476</v>
      </c>
      <c r="I1756" t="s">
        <v>481</v>
      </c>
      <c r="J1756" t="s">
        <v>485</v>
      </c>
      <c r="K1756" t="s">
        <v>523</v>
      </c>
      <c r="L1756" t="s">
        <v>601</v>
      </c>
    </row>
    <row r="1757" spans="1:14" x14ac:dyDescent="0.25">
      <c r="A1757" t="s">
        <v>40</v>
      </c>
      <c r="B1757" t="s">
        <v>159</v>
      </c>
      <c r="C1757" t="s">
        <v>308</v>
      </c>
      <c r="D1757" t="s">
        <v>425</v>
      </c>
      <c r="F1757" t="s">
        <v>435</v>
      </c>
      <c r="G1757" t="str">
        <f>HYPERLINK("https://ca.linkedin.com/jobs/view/data-visualization-developer-analyst-at-blue-boat-data-3335318133?refId=2KEfOP0oOYHiyADLkEOJYA%3D%3D&amp;trackingId=cplfBO5m2XsDtePUF4ytbQ%3D%3D&amp;position=2&amp;pageNum=0&amp;trk=public_jobs_jserp-result_search-card", "Job Link")</f>
        <v>Job Link</v>
      </c>
      <c r="I1757" t="s">
        <v>483</v>
      </c>
      <c r="L1757" t="s">
        <v>601</v>
      </c>
    </row>
    <row r="1758" spans="1:14" x14ac:dyDescent="0.25">
      <c r="A1758" t="s">
        <v>14</v>
      </c>
      <c r="B1758" t="s">
        <v>160</v>
      </c>
      <c r="C1758" t="s">
        <v>309</v>
      </c>
      <c r="D1758" t="s">
        <v>425</v>
      </c>
      <c r="E1758" t="s">
        <v>427</v>
      </c>
      <c r="F1758" t="s">
        <v>458</v>
      </c>
      <c r="G1758" t="str">
        <f>HYPERLINK("https://ca.linkedin.com/jobs/view/data-analyst-at-libitzky-property-companies-3314494593?refId=2KEfOP0oOYHiyADLkEOJYA%3D%3D&amp;trackingId=zcVnqpocVn%2BbQ7cNODls8g%3D%3D&amp;position=3&amp;pageNum=0&amp;trk=public_jobs_jserp-result_search-card", "Job Link")</f>
        <v>Job Link</v>
      </c>
      <c r="H1758" t="s">
        <v>476</v>
      </c>
      <c r="I1758" t="s">
        <v>481</v>
      </c>
      <c r="J1758" t="s">
        <v>486</v>
      </c>
      <c r="K1758" t="s">
        <v>516</v>
      </c>
      <c r="L1758" t="s">
        <v>601</v>
      </c>
    </row>
    <row r="1759" spans="1:14" x14ac:dyDescent="0.25">
      <c r="A1759" t="s">
        <v>14</v>
      </c>
      <c r="B1759" t="s">
        <v>161</v>
      </c>
      <c r="C1759" t="s">
        <v>310</v>
      </c>
      <c r="D1759" t="s">
        <v>425</v>
      </c>
      <c r="F1759" t="s">
        <v>435</v>
      </c>
      <c r="G1759" t="str">
        <f>HYPERLINK("https://ca.linkedin.com/jobs/view/data-analyst-at-spire-3340696458?refId=2KEfOP0oOYHiyADLkEOJYA%3D%3D&amp;trackingId=Myg53iP6QNsfip0XFur04A%3D%3D&amp;position=4&amp;pageNum=0&amp;trk=public_jobs_jserp-result_search-card", "Job Link")</f>
        <v>Job Link</v>
      </c>
      <c r="H1759" t="s">
        <v>476</v>
      </c>
      <c r="I1759" t="s">
        <v>481</v>
      </c>
      <c r="J1759" t="s">
        <v>486</v>
      </c>
      <c r="K1759" t="s">
        <v>517</v>
      </c>
      <c r="L1759" t="s">
        <v>602</v>
      </c>
      <c r="M1759" t="s">
        <v>588</v>
      </c>
      <c r="N1759" t="s">
        <v>601</v>
      </c>
    </row>
    <row r="1760" spans="1:14" x14ac:dyDescent="0.25">
      <c r="A1760" t="s">
        <v>14</v>
      </c>
      <c r="B1760" t="s">
        <v>162</v>
      </c>
      <c r="C1760" t="s">
        <v>311</v>
      </c>
      <c r="D1760" t="s">
        <v>425</v>
      </c>
      <c r="F1760" t="s">
        <v>434</v>
      </c>
      <c r="G1760" t="str">
        <f>HYPERLINK("https://ca.linkedin.com/jobs/view/data-analyst-at-money-mart-financial-services-3361528052?refId=2KEfOP0oOYHiyADLkEOJYA%3D%3D&amp;trackingId=IJ0X%2B7cAqiWkXbQCyFBUAg%3D%3D&amp;position=5&amp;pageNum=0&amp;trk=public_jobs_jserp-result_search-card", "Job Link")</f>
        <v>Job Link</v>
      </c>
      <c r="H1760" t="s">
        <v>477</v>
      </c>
      <c r="I1760" t="s">
        <v>481</v>
      </c>
      <c r="J1760" t="s">
        <v>488</v>
      </c>
      <c r="K1760" t="s">
        <v>527</v>
      </c>
      <c r="L1760" t="s">
        <v>582</v>
      </c>
      <c r="M1760" t="s">
        <v>588</v>
      </c>
      <c r="N1760" t="s">
        <v>601</v>
      </c>
    </row>
    <row r="1761" spans="1:14" x14ac:dyDescent="0.25">
      <c r="A1761" t="s">
        <v>14</v>
      </c>
      <c r="B1761" t="s">
        <v>163</v>
      </c>
      <c r="C1761" t="s">
        <v>312</v>
      </c>
      <c r="D1761" t="s">
        <v>425</v>
      </c>
      <c r="F1761" t="s">
        <v>443</v>
      </c>
      <c r="G1761" t="str">
        <f>HYPERLINK("https://ca.linkedin.com/jobs/view/data-analyst-at-mojio-3363472062?refId=2KEfOP0oOYHiyADLkEOJYA%3D%3D&amp;trackingId=%2Byx%2F0c2my39OiwOrVwMPag%3D%3D&amp;position=6&amp;pageNum=0&amp;trk=public_jobs_jserp-result_search-card", "Job Link")</f>
        <v>Job Link</v>
      </c>
      <c r="H1761" t="s">
        <v>478</v>
      </c>
      <c r="I1761" t="s">
        <v>481</v>
      </c>
      <c r="J1761" t="s">
        <v>493</v>
      </c>
      <c r="K1761" t="s">
        <v>544</v>
      </c>
      <c r="L1761" t="s">
        <v>601</v>
      </c>
    </row>
    <row r="1762" spans="1:14" x14ac:dyDescent="0.25">
      <c r="A1762" t="s">
        <v>41</v>
      </c>
      <c r="B1762" t="s">
        <v>164</v>
      </c>
      <c r="C1762" t="s">
        <v>313</v>
      </c>
      <c r="D1762" t="s">
        <v>425</v>
      </c>
      <c r="F1762" t="s">
        <v>444</v>
      </c>
      <c r="G1762" t="str">
        <f>HYPERLINK("https://ca.linkedin.com/jobs/view/product-data-analyst-at-pdftron-systems-inc-3322845144?refId=2KEfOP0oOYHiyADLkEOJYA%3D%3D&amp;trackingId=kEa5Wf2uy8QrqS97z%2F3lwQ%3D%3D&amp;position=7&amp;pageNum=0&amp;trk=public_jobs_jserp-result_search-card", "Job Link")</f>
        <v>Job Link</v>
      </c>
      <c r="H1762" t="s">
        <v>479</v>
      </c>
      <c r="I1762" t="s">
        <v>481</v>
      </c>
      <c r="J1762" t="s">
        <v>487</v>
      </c>
      <c r="K1762" t="s">
        <v>538</v>
      </c>
      <c r="L1762" t="s">
        <v>590</v>
      </c>
      <c r="M1762" t="s">
        <v>618</v>
      </c>
      <c r="N1762" t="s">
        <v>601</v>
      </c>
    </row>
    <row r="1763" spans="1:14" x14ac:dyDescent="0.25">
      <c r="A1763" t="s">
        <v>42</v>
      </c>
      <c r="B1763" t="s">
        <v>165</v>
      </c>
      <c r="C1763" t="s">
        <v>314</v>
      </c>
      <c r="D1763" t="s">
        <v>425</v>
      </c>
      <c r="F1763" t="s">
        <v>459</v>
      </c>
      <c r="G1763" t="str">
        <f>HYPERLINK("https://ca.linkedin.com/jobs/view/cognitive-data-analyst-at-wysdom-ai-3333087497?refId=2KEfOP0oOYHiyADLkEOJYA%3D%3D&amp;trackingId=Pn5kOs1hDI4VBcnNtCr6AQ%3D%3D&amp;position=8&amp;pageNum=0&amp;trk=public_jobs_jserp-result_search-card", "Job Link")</f>
        <v>Job Link</v>
      </c>
      <c r="H1763" t="s">
        <v>478</v>
      </c>
      <c r="I1763" t="s">
        <v>481</v>
      </c>
      <c r="J1763" t="s">
        <v>486</v>
      </c>
      <c r="K1763" t="s">
        <v>516</v>
      </c>
      <c r="L1763" t="s">
        <v>601</v>
      </c>
    </row>
    <row r="1764" spans="1:14" x14ac:dyDescent="0.25">
      <c r="A1764" t="s">
        <v>43</v>
      </c>
      <c r="B1764" t="s">
        <v>166</v>
      </c>
      <c r="C1764" t="s">
        <v>315</v>
      </c>
      <c r="D1764" t="s">
        <v>425</v>
      </c>
      <c r="F1764" t="s">
        <v>432</v>
      </c>
      <c r="G1764" t="str">
        <f>HYPERLINK("https://ca.linkedin.com/jobs/view/data-analyst-operations-at-felix-3360946633?refId=2KEfOP0oOYHiyADLkEOJYA%3D%3D&amp;trackingId=N5pH8LgM9z7svhg3Lfa6YA%3D%3D&amp;position=9&amp;pageNum=0&amp;trk=public_jobs_jserp-result_search-card", "Job Link")</f>
        <v>Job Link</v>
      </c>
      <c r="I1764" t="s">
        <v>481</v>
      </c>
      <c r="L1764" t="s">
        <v>601</v>
      </c>
    </row>
    <row r="1765" spans="1:14" x14ac:dyDescent="0.25">
      <c r="A1765" t="s">
        <v>44</v>
      </c>
      <c r="B1765" t="s">
        <v>167</v>
      </c>
      <c r="C1765" t="s">
        <v>316</v>
      </c>
      <c r="D1765" t="s">
        <v>425</v>
      </c>
      <c r="F1765" t="s">
        <v>460</v>
      </c>
      <c r="G1765" t="str">
        <f>HYPERLINK("https://ca.linkedin.com/jobs/view/data-analyst-marketing-at-thescore-3272474942?refId=2KEfOP0oOYHiyADLkEOJYA%3D%3D&amp;trackingId=cDwPRLgZnnzHTQyCrsz47g%3D%3D&amp;position=10&amp;pageNum=0&amp;trk=public_jobs_jserp-result_search-card", "Job Link")</f>
        <v>Job Link</v>
      </c>
      <c r="H1765" t="s">
        <v>476</v>
      </c>
      <c r="I1765" t="s">
        <v>481</v>
      </c>
      <c r="J1765" t="s">
        <v>486</v>
      </c>
      <c r="K1765" t="s">
        <v>545</v>
      </c>
      <c r="L1765" t="s">
        <v>582</v>
      </c>
      <c r="M1765" t="s">
        <v>588</v>
      </c>
      <c r="N1765" t="s">
        <v>601</v>
      </c>
    </row>
    <row r="1766" spans="1:14" x14ac:dyDescent="0.25">
      <c r="A1766" t="s">
        <v>45</v>
      </c>
      <c r="B1766" t="s">
        <v>168</v>
      </c>
      <c r="C1766" t="s">
        <v>317</v>
      </c>
      <c r="D1766" t="s">
        <v>425</v>
      </c>
      <c r="F1766" t="s">
        <v>443</v>
      </c>
      <c r="G1766" t="str">
        <f>HYPERLINK("https://ca.linkedin.com/jobs/view/senior-data-analyst-apac-marketplace-at-hopper-3363404929?refId=2KEfOP0oOYHiyADLkEOJYA%3D%3D&amp;trackingId=XdMewPqrprJhNenvfRAm1g%3D%3D&amp;position=11&amp;pageNum=0&amp;trk=public_jobs_jserp-result_search-card", "Job Link")</f>
        <v>Job Link</v>
      </c>
      <c r="H1766" t="s">
        <v>478</v>
      </c>
      <c r="I1766" t="s">
        <v>485</v>
      </c>
      <c r="J1766" t="s">
        <v>486</v>
      </c>
      <c r="K1766" t="s">
        <v>538</v>
      </c>
      <c r="L1766" t="s">
        <v>601</v>
      </c>
    </row>
    <row r="1767" spans="1:14" x14ac:dyDescent="0.25">
      <c r="A1767" t="s">
        <v>46</v>
      </c>
      <c r="B1767" t="s">
        <v>169</v>
      </c>
      <c r="C1767" t="s">
        <v>318</v>
      </c>
      <c r="D1767" t="s">
        <v>425</v>
      </c>
      <c r="F1767" t="s">
        <v>461</v>
      </c>
      <c r="G1767" t="str">
        <f>HYPERLINK("https://ca.linkedin.com/jobs/view/senior-data-analyst-remote-at-insurance-supermarket-international-usa-3347334252?refId=2KEfOP0oOYHiyADLkEOJYA%3D%3D&amp;trackingId=pOMBInDGNz%2FPaSnruOPUcQ%3D%3D&amp;position=12&amp;pageNum=0&amp;trk=public_jobs_jserp-result_search-card", "Job Link")</f>
        <v>Job Link</v>
      </c>
      <c r="H1767" t="s">
        <v>478</v>
      </c>
      <c r="I1767" t="s">
        <v>481</v>
      </c>
      <c r="J1767" t="s">
        <v>494</v>
      </c>
      <c r="K1767" t="s">
        <v>546</v>
      </c>
      <c r="L1767" t="s">
        <v>601</v>
      </c>
    </row>
    <row r="1768" spans="1:14" x14ac:dyDescent="0.25">
      <c r="A1768" t="s">
        <v>20</v>
      </c>
      <c r="B1768" t="s">
        <v>170</v>
      </c>
      <c r="C1768" t="s">
        <v>319</v>
      </c>
      <c r="D1768" t="s">
        <v>425</v>
      </c>
      <c r="F1768" t="s">
        <v>450</v>
      </c>
      <c r="G1768" t="str">
        <f>HYPERLINK("https://ca.linkedin.com/jobs/view/senior-data-analyst-at-thinkific-3333572538?refId=2KEfOP0oOYHiyADLkEOJYA%3D%3D&amp;trackingId=vCC8%2BTP36aF4Fw8nZLiTbA%3D%3D&amp;position=13&amp;pageNum=0&amp;trk=public_jobs_jserp-result_search-card", "Job Link")</f>
        <v>Job Link</v>
      </c>
      <c r="H1768" t="s">
        <v>478</v>
      </c>
      <c r="I1768" t="s">
        <v>481</v>
      </c>
      <c r="J1768" t="s">
        <v>495</v>
      </c>
      <c r="K1768" t="s">
        <v>547</v>
      </c>
      <c r="L1768" t="s">
        <v>601</v>
      </c>
    </row>
    <row r="1769" spans="1:14" x14ac:dyDescent="0.25">
      <c r="A1769" t="s">
        <v>47</v>
      </c>
      <c r="B1769" t="s">
        <v>171</v>
      </c>
      <c r="C1769" t="s">
        <v>320</v>
      </c>
      <c r="D1769" t="s">
        <v>425</v>
      </c>
      <c r="F1769" t="s">
        <v>447</v>
      </c>
      <c r="G1769" t="str">
        <f>HYPERLINK("https://ca.linkedin.com/jobs/view/insights-analyst-at-flashfood-3312876343?refId=2KEfOP0oOYHiyADLkEOJYA%3D%3D&amp;trackingId=4gpRZrhV0BNQgdboLj%2FdZQ%3D%3D&amp;position=14&amp;pageNum=0&amp;trk=public_jobs_jserp-result_search-card", "Job Link")</f>
        <v>Job Link</v>
      </c>
      <c r="I1769" t="s">
        <v>481</v>
      </c>
      <c r="L1769" t="s">
        <v>601</v>
      </c>
    </row>
    <row r="1770" spans="1:14" x14ac:dyDescent="0.25">
      <c r="A1770" t="s">
        <v>20</v>
      </c>
      <c r="B1770" t="s">
        <v>172</v>
      </c>
      <c r="C1770" t="s">
        <v>321</v>
      </c>
      <c r="D1770" t="s">
        <v>425</v>
      </c>
      <c r="F1770" t="s">
        <v>438</v>
      </c>
      <c r="G1770" t="str">
        <f>HYPERLINK("https://ca.linkedin.com/jobs/view/senior-data-analyst-at-system1-3324728130?refId=2KEfOP0oOYHiyADLkEOJYA%3D%3D&amp;trackingId=uyJ4hppFfjfR0rsgLhALfQ%3D%3D&amp;position=15&amp;pageNum=0&amp;trk=public_jobs_jserp-result_search-card", "Job Link")</f>
        <v>Job Link</v>
      </c>
      <c r="H1770" t="s">
        <v>478</v>
      </c>
      <c r="I1770" t="s">
        <v>481</v>
      </c>
      <c r="J1770" t="s">
        <v>486</v>
      </c>
      <c r="K1770" t="s">
        <v>548</v>
      </c>
      <c r="L1770" t="s">
        <v>587</v>
      </c>
      <c r="M1770" t="s">
        <v>588</v>
      </c>
      <c r="N1770" t="s">
        <v>601</v>
      </c>
    </row>
    <row r="1771" spans="1:14" x14ac:dyDescent="0.25">
      <c r="A1771" t="s">
        <v>48</v>
      </c>
      <c r="B1771" t="s">
        <v>173</v>
      </c>
      <c r="C1771" t="s">
        <v>322</v>
      </c>
      <c r="D1771" t="s">
        <v>425</v>
      </c>
      <c r="F1771" t="s">
        <v>462</v>
      </c>
      <c r="G1771" t="str">
        <f>HYPERLINK("https://ca.linkedin.com/jobs/view/data-analyst-trilogy-remote-%2460-000-year-usd-at-crossover-3367086698?refId=2KEfOP0oOYHiyADLkEOJYA%3D%3D&amp;trackingId=4seFx9wS8%2FRR0ldl%2B%2BNaIg%3D%3D&amp;position=16&amp;pageNum=0&amp;trk=public_jobs_jserp-result_search-card", "Job Link")</f>
        <v>Job Link</v>
      </c>
      <c r="H1771" t="s">
        <v>477</v>
      </c>
      <c r="I1771" t="s">
        <v>481</v>
      </c>
      <c r="J1771" t="s">
        <v>496</v>
      </c>
      <c r="K1771" t="s">
        <v>549</v>
      </c>
      <c r="L1771" t="s">
        <v>582</v>
      </c>
      <c r="M1771" t="s">
        <v>588</v>
      </c>
      <c r="N1771" t="s">
        <v>601</v>
      </c>
    </row>
    <row r="1772" spans="1:14" x14ac:dyDescent="0.25">
      <c r="A1772" t="s">
        <v>49</v>
      </c>
      <c r="B1772" t="s">
        <v>174</v>
      </c>
      <c r="C1772" t="s">
        <v>323</v>
      </c>
      <c r="D1772" t="s">
        <v>425</v>
      </c>
      <c r="F1772" t="s">
        <v>433</v>
      </c>
      <c r="G1772" t="str">
        <f>HYPERLINK("https://ca.linkedin.com/jobs/view/product-data-analyst-wtfast-at-blankslate-partners-3350561493?refId=2KEfOP0oOYHiyADLkEOJYA%3D%3D&amp;trackingId=Fij419EZpQJ9vaoRXmNTmA%3D%3D&amp;position=17&amp;pageNum=0&amp;trk=public_jobs_jserp-result_search-card", "Job Link")</f>
        <v>Job Link</v>
      </c>
      <c r="H1772" t="s">
        <v>479</v>
      </c>
      <c r="I1772" t="s">
        <v>481</v>
      </c>
      <c r="J1772" t="s">
        <v>497</v>
      </c>
      <c r="K1772" t="s">
        <v>538</v>
      </c>
      <c r="L1772" t="s">
        <v>603</v>
      </c>
      <c r="M1772" t="s">
        <v>618</v>
      </c>
      <c r="N1772" t="s">
        <v>601</v>
      </c>
    </row>
    <row r="1773" spans="1:14" x14ac:dyDescent="0.25">
      <c r="A1773" t="s">
        <v>50</v>
      </c>
      <c r="B1773" t="s">
        <v>175</v>
      </c>
      <c r="C1773" t="s">
        <v>324</v>
      </c>
      <c r="D1773" t="s">
        <v>425</v>
      </c>
      <c r="F1773" t="s">
        <v>443</v>
      </c>
      <c r="G1773" t="str">
        <f>HYPERLINK("https://ca.linkedin.com/jobs/view/senior-data-analyst-toronto-on-at-ssense-3369567279?refId=2KEfOP0oOYHiyADLkEOJYA%3D%3D&amp;trackingId=JVOQQYt2cC586sAMjFimYA%3D%3D&amp;position=18&amp;pageNum=0&amp;trk=public_jobs_jserp-result_search-card", "Job Link")</f>
        <v>Job Link</v>
      </c>
      <c r="H1773" t="s">
        <v>478</v>
      </c>
      <c r="I1773" t="s">
        <v>481</v>
      </c>
      <c r="J1773" t="s">
        <v>486</v>
      </c>
      <c r="K1773" t="s">
        <v>550</v>
      </c>
      <c r="L1773" t="s">
        <v>582</v>
      </c>
      <c r="M1773" t="s">
        <v>588</v>
      </c>
      <c r="N1773" t="s">
        <v>601</v>
      </c>
    </row>
    <row r="1774" spans="1:14" x14ac:dyDescent="0.25">
      <c r="A1774" t="s">
        <v>51</v>
      </c>
      <c r="B1774" t="s">
        <v>175</v>
      </c>
      <c r="C1774" t="s">
        <v>325</v>
      </c>
      <c r="D1774" t="s">
        <v>425</v>
      </c>
      <c r="F1774" t="s">
        <v>443</v>
      </c>
      <c r="G1774" t="str">
        <f>HYPERLINK("https://ca.linkedin.com/jobs/view/senior-data-analyst-analytics-insights-toronto-on-at-ssense-3369558722?refId=2KEfOP0oOYHiyADLkEOJYA%3D%3D&amp;trackingId=qWiAX7HDWdPZBq0nataaJg%3D%3D&amp;position=19&amp;pageNum=0&amp;trk=public_jobs_jserp-result_search-card", "Job Link")</f>
        <v>Job Link</v>
      </c>
      <c r="H1774" t="s">
        <v>478</v>
      </c>
      <c r="I1774" t="s">
        <v>481</v>
      </c>
      <c r="J1774" t="s">
        <v>491</v>
      </c>
      <c r="K1774" t="s">
        <v>550</v>
      </c>
      <c r="L1774" t="s">
        <v>582</v>
      </c>
      <c r="M1774" t="s">
        <v>588</v>
      </c>
      <c r="N1774" t="s">
        <v>601</v>
      </c>
    </row>
    <row r="1775" spans="1:14" x14ac:dyDescent="0.25">
      <c r="A1775" t="s">
        <v>51</v>
      </c>
      <c r="B1775" t="s">
        <v>175</v>
      </c>
      <c r="C1775" t="s">
        <v>325</v>
      </c>
      <c r="D1775" t="s">
        <v>425</v>
      </c>
      <c r="F1775" t="s">
        <v>443</v>
      </c>
      <c r="G1775" t="str">
        <f>HYPERLINK("https://ca.linkedin.com/jobs/view/senior-data-analyst-analytics-insights-toronto-on-at-ssense-3369560180?refId=2KEfOP0oOYHiyADLkEOJYA%3D%3D&amp;trackingId=%2BqvrK5s55Dryeyi5xWo1uQ%3D%3D&amp;position=20&amp;pageNum=0&amp;trk=public_jobs_jserp-result_search-card", "Job Link")</f>
        <v>Job Link</v>
      </c>
      <c r="H1775" t="s">
        <v>478</v>
      </c>
      <c r="I1775" t="s">
        <v>481</v>
      </c>
      <c r="J1775" t="s">
        <v>491</v>
      </c>
      <c r="K1775" t="s">
        <v>550</v>
      </c>
      <c r="L1775" t="s">
        <v>582</v>
      </c>
      <c r="M1775" t="s">
        <v>588</v>
      </c>
      <c r="N1775" t="s">
        <v>601</v>
      </c>
    </row>
    <row r="1776" spans="1:14" x14ac:dyDescent="0.25">
      <c r="A1776" t="s">
        <v>27</v>
      </c>
      <c r="B1776" t="s">
        <v>176</v>
      </c>
      <c r="C1776" t="s">
        <v>326</v>
      </c>
      <c r="D1776" t="s">
        <v>425</v>
      </c>
      <c r="F1776" t="s">
        <v>441</v>
      </c>
      <c r="G1776" t="str">
        <f>HYPERLINK("https://ca.linkedin.com/jobs/view/sr-data-analyst-at-telus-international-digital-solutions-3331944226?refId=2KEfOP0oOYHiyADLkEOJYA%3D%3D&amp;trackingId=YLyao1VskSs5jFRfqzrI6w%3D%3D&amp;position=21&amp;pageNum=0&amp;trk=public_jobs_jserp-result_search-card", "Job Link")</f>
        <v>Job Link</v>
      </c>
      <c r="H1776" t="s">
        <v>478</v>
      </c>
      <c r="I1776" t="s">
        <v>481</v>
      </c>
      <c r="J1776" t="s">
        <v>498</v>
      </c>
      <c r="K1776" t="s">
        <v>521</v>
      </c>
      <c r="L1776" t="s">
        <v>604</v>
      </c>
      <c r="M1776" t="s">
        <v>618</v>
      </c>
      <c r="N1776" t="s">
        <v>601</v>
      </c>
    </row>
    <row r="1777" spans="1:14" x14ac:dyDescent="0.25">
      <c r="A1777" t="s">
        <v>20</v>
      </c>
      <c r="B1777" t="s">
        <v>175</v>
      </c>
      <c r="C1777" t="s">
        <v>324</v>
      </c>
      <c r="D1777" t="s">
        <v>425</v>
      </c>
      <c r="F1777" t="s">
        <v>446</v>
      </c>
      <c r="G1777" t="str">
        <f>HYPERLINK("https://ca.linkedin.com/jobs/view/senior-data-analyst-at-ssense-3342165774?refId=2KEfOP0oOYHiyADLkEOJYA%3D%3D&amp;trackingId=5DYgv2T9l7gXxYO7RTI2UQ%3D%3D&amp;position=22&amp;pageNum=0&amp;trk=public_jobs_jserp-result_search-card", "Job Link")</f>
        <v>Job Link</v>
      </c>
      <c r="H1777" t="s">
        <v>478</v>
      </c>
      <c r="I1777" t="s">
        <v>481</v>
      </c>
      <c r="J1777" t="s">
        <v>486</v>
      </c>
      <c r="K1777" t="s">
        <v>550</v>
      </c>
      <c r="L1777" t="s">
        <v>605</v>
      </c>
      <c r="M1777" t="s">
        <v>617</v>
      </c>
      <c r="N1777" t="s">
        <v>601</v>
      </c>
    </row>
    <row r="1778" spans="1:14" x14ac:dyDescent="0.25">
      <c r="A1778" t="s">
        <v>37</v>
      </c>
      <c r="B1778" t="s">
        <v>196</v>
      </c>
      <c r="C1778" t="s">
        <v>349</v>
      </c>
      <c r="D1778" t="s">
        <v>425</v>
      </c>
      <c r="F1778" t="s">
        <v>468</v>
      </c>
      <c r="G1778" t="str">
        <f>HYPERLINK("https://ca.linkedin.com/jobs/view/data-engineer-at-csc-generation-2843972727?refId=%2FL3goNZnfYodwYrLvb%2B9JQ%3D%3D&amp;trackingId=xzTk1YxAFH577kkkbrE5xQ%3D%3D&amp;position=1&amp;pageNum=0&amp;trk=public_jobs_jserp-result_search-card", "Job Link")</f>
        <v>Job Link</v>
      </c>
      <c r="H1778" t="s">
        <v>478</v>
      </c>
      <c r="I1778" t="s">
        <v>481</v>
      </c>
      <c r="J1778" t="s">
        <v>486</v>
      </c>
      <c r="K1778" t="s">
        <v>558</v>
      </c>
      <c r="L1778" t="s">
        <v>601</v>
      </c>
    </row>
    <row r="1779" spans="1:14" x14ac:dyDescent="0.25">
      <c r="A1779" t="s">
        <v>72</v>
      </c>
      <c r="B1779" t="s">
        <v>197</v>
      </c>
      <c r="C1779" t="s">
        <v>350</v>
      </c>
      <c r="D1779" t="s">
        <v>425</v>
      </c>
      <c r="F1779" t="s">
        <v>432</v>
      </c>
      <c r="G1779" t="str">
        <f>HYPERLINK("https://ca.linkedin.com/jobs/view/data-engineer-ii-at-flipp-3358632467?refId=%2FL3goNZnfYodwYrLvb%2B9JQ%3D%3D&amp;trackingId=Mo40DyrziKikVMxP9jesIw%3D%3D&amp;position=2&amp;pageNum=0&amp;trk=public_jobs_jserp-result_search-card", "Job Link")</f>
        <v>Job Link</v>
      </c>
      <c r="H1779" t="s">
        <v>476</v>
      </c>
      <c r="I1779" t="s">
        <v>481</v>
      </c>
      <c r="J1779" t="s">
        <v>486</v>
      </c>
      <c r="K1779" t="s">
        <v>556</v>
      </c>
      <c r="L1779" t="s">
        <v>601</v>
      </c>
    </row>
    <row r="1780" spans="1:14" x14ac:dyDescent="0.25">
      <c r="A1780" t="s">
        <v>20</v>
      </c>
      <c r="B1780" t="s">
        <v>170</v>
      </c>
      <c r="C1780" t="s">
        <v>319</v>
      </c>
      <c r="D1780" t="s">
        <v>425</v>
      </c>
      <c r="F1780" t="s">
        <v>450</v>
      </c>
      <c r="G1780" t="str">
        <f>HYPERLINK("https://ca.linkedin.com/jobs/view/senior-data-analyst-at-thinkific-3333572538?refId=%2FL3goNZnfYodwYrLvb%2B9JQ%3D%3D&amp;trackingId=C1WeYgY9RhNLHiUL%2BUjTCQ%3D%3D&amp;position=3&amp;pageNum=0&amp;trk=public_jobs_jserp-result_search-card", "Job Link")</f>
        <v>Job Link</v>
      </c>
      <c r="H1780" t="s">
        <v>478</v>
      </c>
      <c r="I1780" t="s">
        <v>481</v>
      </c>
      <c r="J1780" t="s">
        <v>495</v>
      </c>
      <c r="K1780" t="s">
        <v>547</v>
      </c>
      <c r="L1780" t="s">
        <v>601</v>
      </c>
    </row>
    <row r="1781" spans="1:14" x14ac:dyDescent="0.25">
      <c r="A1781" t="s">
        <v>47</v>
      </c>
      <c r="B1781" t="s">
        <v>171</v>
      </c>
      <c r="C1781" t="s">
        <v>320</v>
      </c>
      <c r="D1781" t="s">
        <v>425</v>
      </c>
      <c r="F1781" t="s">
        <v>447</v>
      </c>
      <c r="G1781" t="str">
        <f>HYPERLINK("https://ca.linkedin.com/jobs/view/insights-analyst-at-flashfood-3312876343?refId=%2FL3goNZnfYodwYrLvb%2B9JQ%3D%3D&amp;trackingId=LJCXLfJ6%2BbAyEX0jVr%2F%2B8Q%3D%3D&amp;position=4&amp;pageNum=0&amp;trk=public_jobs_jserp-result_search-card", "Job Link")</f>
        <v>Job Link</v>
      </c>
      <c r="I1781" t="s">
        <v>481</v>
      </c>
      <c r="L1781" t="s">
        <v>601</v>
      </c>
    </row>
    <row r="1782" spans="1:14" x14ac:dyDescent="0.25">
      <c r="A1782" t="s">
        <v>73</v>
      </c>
      <c r="B1782" t="s">
        <v>198</v>
      </c>
      <c r="C1782" t="s">
        <v>351</v>
      </c>
      <c r="D1782" t="s">
        <v>425</v>
      </c>
      <c r="F1782" t="s">
        <v>462</v>
      </c>
      <c r="G1782" t="str">
        <f>HYPERLINK("https://ca.linkedin.com/jobs/view/bi-analytics-consultant-at-ansid-3365453698?refId=%2FL3goNZnfYodwYrLvb%2B9JQ%3D%3D&amp;trackingId=jG68qxcWYafz3Nl5ka1jgQ%3D%3D&amp;position=5&amp;pageNum=0&amp;trk=public_jobs_jserp-result_search-card", "Job Link")</f>
        <v>Job Link</v>
      </c>
      <c r="I1782" t="s">
        <v>483</v>
      </c>
      <c r="L1782" t="s">
        <v>601</v>
      </c>
    </row>
    <row r="1783" spans="1:14" x14ac:dyDescent="0.25">
      <c r="A1783" t="s">
        <v>60</v>
      </c>
      <c r="B1783" t="s">
        <v>184</v>
      </c>
      <c r="C1783" t="s">
        <v>336</v>
      </c>
      <c r="D1783" t="s">
        <v>425</v>
      </c>
      <c r="F1783" t="s">
        <v>434</v>
      </c>
      <c r="G1783" t="str">
        <f>HYPERLINK("https://ca.linkedin.com/jobs/view/online-data-analyst-at-telus-international-3361283733?refId=%2FL3goNZnfYodwYrLvb%2B9JQ%3D%3D&amp;trackingId=c3MmCS3oxmwhkb5nu08CPg%3D%3D&amp;position=6&amp;pageNum=0&amp;trk=public_jobs_jserp-result_search-card", "Job Link")</f>
        <v>Job Link</v>
      </c>
      <c r="H1783" t="s">
        <v>476</v>
      </c>
      <c r="I1783" t="s">
        <v>483</v>
      </c>
      <c r="J1783" t="s">
        <v>501</v>
      </c>
      <c r="K1783" t="s">
        <v>521</v>
      </c>
      <c r="L1783" t="s">
        <v>609</v>
      </c>
      <c r="M1783" t="s">
        <v>610</v>
      </c>
      <c r="N1783" t="s">
        <v>601</v>
      </c>
    </row>
    <row r="1784" spans="1:14" x14ac:dyDescent="0.25">
      <c r="A1784" t="s">
        <v>74</v>
      </c>
      <c r="B1784" t="s">
        <v>182</v>
      </c>
      <c r="C1784" t="s">
        <v>352</v>
      </c>
      <c r="D1784" t="s">
        <v>425</v>
      </c>
      <c r="F1784" t="s">
        <v>436</v>
      </c>
      <c r="G1784" t="str">
        <f>HYPERLINK("https://ca.linkedin.com/jobs/view/job-opportunity-data-stage-developer-remote-at-alybyte-inc-3348807799?refId=%2FL3goNZnfYodwYrLvb%2B9JQ%3D%3D&amp;trackingId=GNV1rZT5Q3J2vJRnGnWAzw%3D%3D&amp;position=7&amp;pageNum=0&amp;trk=public_jobs_jserp-result_search-card", "Job Link")</f>
        <v>Job Link</v>
      </c>
      <c r="H1784" t="s">
        <v>478</v>
      </c>
      <c r="I1784" t="s">
        <v>483</v>
      </c>
      <c r="J1784" t="s">
        <v>486</v>
      </c>
      <c r="K1784" t="s">
        <v>521</v>
      </c>
      <c r="L1784" t="s">
        <v>582</v>
      </c>
      <c r="M1784" t="s">
        <v>588</v>
      </c>
      <c r="N1784" t="s">
        <v>601</v>
      </c>
    </row>
    <row r="1785" spans="1:14" x14ac:dyDescent="0.25">
      <c r="A1785" t="s">
        <v>75</v>
      </c>
      <c r="B1785" t="s">
        <v>199</v>
      </c>
      <c r="C1785" t="s">
        <v>353</v>
      </c>
      <c r="D1785" t="s">
        <v>425</v>
      </c>
      <c r="F1785" t="s">
        <v>440</v>
      </c>
      <c r="G1785" t="str">
        <f>HYPERLINK("https://ca.linkedin.com/jobs/view/data-engineer-remote-at-braintrust-3367139234?refId=%2FL3goNZnfYodwYrLvb%2B9JQ%3D%3D&amp;trackingId=SMBgh7F1wVozLRij9WKsNQ%3D%3D&amp;position=8&amp;pageNum=0&amp;trk=public_jobs_jserp-result_search-card", "Job Link")</f>
        <v>Job Link</v>
      </c>
      <c r="H1785" t="s">
        <v>476</v>
      </c>
      <c r="I1785" t="s">
        <v>481</v>
      </c>
      <c r="J1785" t="s">
        <v>486</v>
      </c>
      <c r="K1785" t="s">
        <v>538</v>
      </c>
      <c r="L1785" t="s">
        <v>582</v>
      </c>
      <c r="M1785" t="s">
        <v>588</v>
      </c>
      <c r="N1785" t="s">
        <v>601</v>
      </c>
    </row>
    <row r="1786" spans="1:14" x14ac:dyDescent="0.25">
      <c r="A1786" t="s">
        <v>37</v>
      </c>
      <c r="B1786" t="s">
        <v>200</v>
      </c>
      <c r="C1786" t="s">
        <v>354</v>
      </c>
      <c r="D1786" t="s">
        <v>425</v>
      </c>
      <c r="E1786" t="s">
        <v>428</v>
      </c>
      <c r="F1786" t="s">
        <v>437</v>
      </c>
      <c r="G1786" t="str">
        <f>HYPERLINK("https://ca.linkedin.com/jobs/view/data-engineer-at-mastek-3327388977?refId=%2FL3goNZnfYodwYrLvb%2B9JQ%3D%3D&amp;trackingId=qVXvJvXrAbrkC5hTndLCKA%3D%3D&amp;position=9&amp;pageNum=0&amp;trk=public_jobs_jserp-result_search-card", "Job Link")</f>
        <v>Job Link</v>
      </c>
      <c r="H1786" t="s">
        <v>478</v>
      </c>
      <c r="I1786" t="s">
        <v>481</v>
      </c>
      <c r="J1786" t="s">
        <v>486</v>
      </c>
      <c r="K1786" t="s">
        <v>521</v>
      </c>
      <c r="L1786" t="s">
        <v>601</v>
      </c>
    </row>
    <row r="1787" spans="1:14" x14ac:dyDescent="0.25">
      <c r="A1787" t="s">
        <v>44</v>
      </c>
      <c r="B1787" t="s">
        <v>167</v>
      </c>
      <c r="C1787" t="s">
        <v>316</v>
      </c>
      <c r="D1787" t="s">
        <v>425</v>
      </c>
      <c r="F1787" t="s">
        <v>460</v>
      </c>
      <c r="G1787" t="str">
        <f>HYPERLINK("https://ca.linkedin.com/jobs/view/data-analyst-marketing-at-thescore-3272474942?refId=%2FL3goNZnfYodwYrLvb%2B9JQ%3D%3D&amp;trackingId=%2FK%2FO9%2F9feh1daGlGZDUl9Q%3D%3D&amp;position=10&amp;pageNum=0&amp;trk=public_jobs_jserp-result_search-card", "Job Link")</f>
        <v>Job Link</v>
      </c>
      <c r="H1787" t="s">
        <v>476</v>
      </c>
      <c r="I1787" t="s">
        <v>481</v>
      </c>
      <c r="J1787" t="s">
        <v>486</v>
      </c>
      <c r="K1787" t="s">
        <v>545</v>
      </c>
      <c r="L1787" t="s">
        <v>582</v>
      </c>
      <c r="M1787" t="s">
        <v>588</v>
      </c>
      <c r="N1787" t="s">
        <v>601</v>
      </c>
    </row>
    <row r="1788" spans="1:14" x14ac:dyDescent="0.25">
      <c r="A1788" t="s">
        <v>76</v>
      </c>
      <c r="B1788" t="s">
        <v>201</v>
      </c>
      <c r="C1788" t="s">
        <v>355</v>
      </c>
      <c r="D1788" t="s">
        <v>425</v>
      </c>
      <c r="F1788" t="s">
        <v>460</v>
      </c>
      <c r="G1788" t="str">
        <f>HYPERLINK("https://ca.linkedin.com/jobs/view/google-cloud-platform-analytics-engineer-at-merkle-cardinal-path-3271668403?refId=%2FL3goNZnfYodwYrLvb%2B9JQ%3D%3D&amp;trackingId=TfUJkHXnFgUgRsyMWYdVjg%3D%3D&amp;position=11&amp;pageNum=0&amp;trk=public_jobs_jserp-result_search-card", "Job Link")</f>
        <v>Job Link</v>
      </c>
      <c r="H1788" t="s">
        <v>476</v>
      </c>
      <c r="I1788" t="s">
        <v>481</v>
      </c>
      <c r="J1788" t="s">
        <v>487</v>
      </c>
      <c r="K1788" t="s">
        <v>541</v>
      </c>
      <c r="L1788" t="s">
        <v>582</v>
      </c>
      <c r="M1788" t="s">
        <v>588</v>
      </c>
      <c r="N1788" t="s">
        <v>601</v>
      </c>
    </row>
    <row r="1789" spans="1:14" x14ac:dyDescent="0.25">
      <c r="A1789" t="s">
        <v>77</v>
      </c>
      <c r="B1789" t="s">
        <v>202</v>
      </c>
      <c r="C1789" t="s">
        <v>356</v>
      </c>
      <c r="D1789" t="s">
        <v>425</v>
      </c>
      <c r="F1789" t="s">
        <v>469</v>
      </c>
      <c r="G1789" t="str">
        <f>HYPERLINK("https://ca.linkedin.com/jobs/view/cloud-data-analyst-at-masterpiece-studio-3176783959?refId=%2FL3goNZnfYodwYrLvb%2B9JQ%3D%3D&amp;trackingId=oQoiaBm2WB%2BGIyD6yDcRrA%3D%3D&amp;position=12&amp;pageNum=0&amp;trk=public_jobs_jserp-result_search-card", "Job Link")</f>
        <v>Job Link</v>
      </c>
      <c r="H1789" t="s">
        <v>477</v>
      </c>
      <c r="I1789" t="s">
        <v>481</v>
      </c>
      <c r="J1789" t="s">
        <v>505</v>
      </c>
      <c r="K1789" t="s">
        <v>559</v>
      </c>
      <c r="L1789" t="s">
        <v>586</v>
      </c>
      <c r="M1789" t="s">
        <v>617</v>
      </c>
      <c r="N1789" t="s">
        <v>601</v>
      </c>
    </row>
    <row r="1790" spans="1:14" x14ac:dyDescent="0.25">
      <c r="A1790" t="s">
        <v>67</v>
      </c>
      <c r="B1790" t="s">
        <v>192</v>
      </c>
      <c r="C1790" t="s">
        <v>345</v>
      </c>
      <c r="D1790" t="s">
        <v>425</v>
      </c>
      <c r="F1790" t="s">
        <v>430</v>
      </c>
      <c r="G1790">
        <v>0</v>
      </c>
      <c r="H1790" t="s">
        <v>476</v>
      </c>
      <c r="I1790" t="s">
        <v>481</v>
      </c>
      <c r="J1790" t="s">
        <v>486</v>
      </c>
      <c r="K1790" t="s">
        <v>555</v>
      </c>
      <c r="L1790" t="s">
        <v>582</v>
      </c>
      <c r="M1790" t="s">
        <v>588</v>
      </c>
      <c r="N1790" t="s">
        <v>601</v>
      </c>
    </row>
    <row r="1791" spans="1:14" x14ac:dyDescent="0.25">
      <c r="A1791" t="s">
        <v>54</v>
      </c>
      <c r="B1791" t="s">
        <v>178</v>
      </c>
      <c r="C1791" t="s">
        <v>329</v>
      </c>
      <c r="D1791" t="s">
        <v>425</v>
      </c>
      <c r="F1791" t="s">
        <v>430</v>
      </c>
      <c r="G1791">
        <v>0</v>
      </c>
      <c r="H1791" t="s">
        <v>476</v>
      </c>
      <c r="I1791" t="s">
        <v>481</v>
      </c>
      <c r="J1791" t="s">
        <v>486</v>
      </c>
      <c r="K1791" t="s">
        <v>521</v>
      </c>
      <c r="L1791" t="s">
        <v>603</v>
      </c>
      <c r="M1791" t="s">
        <v>618</v>
      </c>
      <c r="N1791" t="s">
        <v>601</v>
      </c>
    </row>
    <row r="1792" spans="1:14" x14ac:dyDescent="0.25">
      <c r="A1792" t="s">
        <v>63</v>
      </c>
      <c r="B1792" t="s">
        <v>187</v>
      </c>
      <c r="C1792" t="s">
        <v>339</v>
      </c>
      <c r="D1792" t="s">
        <v>425</v>
      </c>
      <c r="F1792" t="s">
        <v>442</v>
      </c>
      <c r="G1792" t="str">
        <f>HYPERLINK("https://ca.linkedin.com/jobs/view/senior-analytics-engineer-remote-at-jungle-scout-3347033672?refId=%2FL3goNZnfYodwYrLvb%2B9JQ%3D%3D&amp;trackingId=0Nl9DC4FztT7a5sF6UYckA%3D%3D&amp;position=15&amp;pageNum=0&amp;trk=public_jobs_jserp-result_search-card", "Job Link")</f>
        <v>Job Link</v>
      </c>
      <c r="H1792" t="s">
        <v>478</v>
      </c>
      <c r="I1792" t="s">
        <v>481</v>
      </c>
      <c r="J1792" t="s">
        <v>491</v>
      </c>
      <c r="K1792" t="s">
        <v>538</v>
      </c>
      <c r="L1792" t="s">
        <v>590</v>
      </c>
      <c r="M1792" t="s">
        <v>618</v>
      </c>
      <c r="N1792" t="s">
        <v>601</v>
      </c>
    </row>
    <row r="1793" spans="1:14" x14ac:dyDescent="0.25">
      <c r="A1793" t="s">
        <v>78</v>
      </c>
      <c r="B1793" t="s">
        <v>201</v>
      </c>
      <c r="C1793" t="s">
        <v>355</v>
      </c>
      <c r="D1793" t="s">
        <v>425</v>
      </c>
      <c r="F1793" t="s">
        <v>436</v>
      </c>
      <c r="G1793" t="str">
        <f>HYPERLINK("https://ca.linkedin.com/jobs/view/google-analytics-engineer-at-merkle-cardinal-path-3291276445?refId=%2FL3goNZnfYodwYrLvb%2B9JQ%3D%3D&amp;trackingId=Cr8tZH8x0IypVCQBuXcv6g%3D%3D&amp;position=16&amp;pageNum=0&amp;trk=public_jobs_jserp-result_search-card", "Job Link")</f>
        <v>Job Link</v>
      </c>
      <c r="H1793" t="s">
        <v>476</v>
      </c>
      <c r="I1793" t="s">
        <v>481</v>
      </c>
      <c r="J1793" t="s">
        <v>487</v>
      </c>
      <c r="K1793" t="s">
        <v>541</v>
      </c>
      <c r="L1793" t="s">
        <v>582</v>
      </c>
      <c r="M1793" t="s">
        <v>588</v>
      </c>
      <c r="N1793" t="s">
        <v>601</v>
      </c>
    </row>
    <row r="1794" spans="1:14" x14ac:dyDescent="0.25">
      <c r="A1794" t="s">
        <v>79</v>
      </c>
      <c r="B1794" t="s">
        <v>203</v>
      </c>
      <c r="C1794" t="s">
        <v>357</v>
      </c>
      <c r="D1794" t="s">
        <v>425</v>
      </c>
      <c r="F1794" t="s">
        <v>470</v>
      </c>
      <c r="G1794" t="str">
        <f>HYPERLINK("https://ca.linkedin.com/jobs/view/data-engineer-data-aws-etl-at-quantiphi-3295671229?refId=%2FL3goNZnfYodwYrLvb%2B9JQ%3D%3D&amp;trackingId=EraykFJ9y9A4aWdx0LVCgQ%3D%3D&amp;position=17&amp;pageNum=0&amp;trk=public_jobs_jserp-result_search-card", "Job Link")</f>
        <v>Job Link</v>
      </c>
      <c r="H1794" t="s">
        <v>477</v>
      </c>
      <c r="I1794" t="s">
        <v>481</v>
      </c>
      <c r="J1794" t="s">
        <v>506</v>
      </c>
      <c r="K1794" t="s">
        <v>560</v>
      </c>
      <c r="L1794" t="s">
        <v>601</v>
      </c>
    </row>
    <row r="1795" spans="1:14" x14ac:dyDescent="0.25">
      <c r="A1795" t="s">
        <v>65</v>
      </c>
      <c r="B1795" t="s">
        <v>190</v>
      </c>
      <c r="C1795" t="s">
        <v>342</v>
      </c>
      <c r="D1795" t="s">
        <v>425</v>
      </c>
      <c r="F1795" t="s">
        <v>467</v>
      </c>
      <c r="G1795" t="str">
        <f>HYPERLINK("https://ca.linkedin.com/jobs/view/data-analyst-consultant-fire-ems-at-darkhorse-analytics-3356852212?refId=%2FL3goNZnfYodwYrLvb%2B9JQ%3D%3D&amp;trackingId=f6RXQxBvWFJepTfzw3Khqg%3D%3D&amp;position=18&amp;pageNum=0&amp;trk=public_jobs_jserp-result_search-card", "Job Link")</f>
        <v>Job Link</v>
      </c>
      <c r="H1795" t="s">
        <v>476</v>
      </c>
      <c r="I1795" t="s">
        <v>481</v>
      </c>
      <c r="J1795" t="s">
        <v>486</v>
      </c>
      <c r="K1795" t="s">
        <v>538</v>
      </c>
      <c r="L1795" t="s">
        <v>609</v>
      </c>
      <c r="M1795" t="s">
        <v>610</v>
      </c>
      <c r="N1795" t="s">
        <v>601</v>
      </c>
    </row>
    <row r="1796" spans="1:14" x14ac:dyDescent="0.25">
      <c r="A1796" t="s">
        <v>80</v>
      </c>
      <c r="B1796" t="s">
        <v>204</v>
      </c>
      <c r="C1796" t="s">
        <v>358</v>
      </c>
      <c r="D1796" t="s">
        <v>425</v>
      </c>
      <c r="F1796" t="s">
        <v>431</v>
      </c>
      <c r="G1796" t="str">
        <f>HYPERLINK("https://ca.linkedin.com/jobs/view/principal-data-analyst-at-shogun-3362393020?refId=%2FL3goNZnfYodwYrLvb%2B9JQ%3D%3D&amp;trackingId=wQDl4jFhcSZegTptWOJGyA%3D%3D&amp;position=19&amp;pageNum=0&amp;trk=public_jobs_jserp-result_search-card", "Job Link")</f>
        <v>Job Link</v>
      </c>
      <c r="H1796" t="s">
        <v>478</v>
      </c>
      <c r="I1796" t="s">
        <v>481</v>
      </c>
      <c r="J1796" t="s">
        <v>486</v>
      </c>
      <c r="K1796" t="s">
        <v>538</v>
      </c>
      <c r="L1796" t="s">
        <v>590</v>
      </c>
      <c r="M1796" t="s">
        <v>618</v>
      </c>
      <c r="N1796" t="s">
        <v>601</v>
      </c>
    </row>
    <row r="1797" spans="1:14" x14ac:dyDescent="0.25">
      <c r="A1797" t="s">
        <v>54</v>
      </c>
      <c r="B1797" t="s">
        <v>178</v>
      </c>
      <c r="C1797" t="s">
        <v>329</v>
      </c>
      <c r="D1797" t="s">
        <v>425</v>
      </c>
      <c r="F1797" t="s">
        <v>430</v>
      </c>
      <c r="G1797">
        <v>0</v>
      </c>
      <c r="H1797" t="s">
        <v>476</v>
      </c>
      <c r="I1797" t="s">
        <v>481</v>
      </c>
      <c r="J1797" t="s">
        <v>486</v>
      </c>
      <c r="K1797" t="s">
        <v>521</v>
      </c>
      <c r="L1797" t="s">
        <v>606</v>
      </c>
      <c r="M1797" t="s">
        <v>618</v>
      </c>
      <c r="N1797" t="s">
        <v>601</v>
      </c>
    </row>
    <row r="1798" spans="1:14" x14ac:dyDescent="0.25">
      <c r="A1798" t="s">
        <v>20</v>
      </c>
      <c r="B1798" t="s">
        <v>177</v>
      </c>
      <c r="C1798" t="s">
        <v>359</v>
      </c>
      <c r="D1798" t="s">
        <v>425</v>
      </c>
      <c r="F1798" t="s">
        <v>440</v>
      </c>
      <c r="G1798" t="str">
        <f>HYPERLINK("https://ca.linkedin.com/jobs/view/senior-data-analyst-at-insight-global-3364440666?refId=%2FL3goNZnfYodwYrLvb%2B9JQ%3D%3D&amp;trackingId=kx55HrKj7xaJz9%2Bt8a%2FOkg%3D%3D&amp;position=21&amp;pageNum=0&amp;trk=public_jobs_jserp-result_search-card", "Job Link")</f>
        <v>Job Link</v>
      </c>
      <c r="H1798" t="s">
        <v>478</v>
      </c>
      <c r="I1798" t="s">
        <v>483</v>
      </c>
      <c r="J1798" t="s">
        <v>486</v>
      </c>
      <c r="K1798" t="s">
        <v>518</v>
      </c>
      <c r="L1798" t="s">
        <v>610</v>
      </c>
      <c r="M1798" t="s">
        <v>601</v>
      </c>
    </row>
    <row r="1799" spans="1:14" x14ac:dyDescent="0.25">
      <c r="A1799" t="s">
        <v>20</v>
      </c>
      <c r="B1799" t="s">
        <v>205</v>
      </c>
      <c r="C1799" t="s">
        <v>360</v>
      </c>
      <c r="D1799" t="s">
        <v>425</v>
      </c>
      <c r="F1799" t="s">
        <v>443</v>
      </c>
      <c r="G1799" t="str">
        <f>HYPERLINK("https://ca.linkedin.com/jobs/view/senior-data-analyst-at-ihs-markit-3365151684?refId=%2FL3goNZnfYodwYrLvb%2B9JQ%3D%3D&amp;trackingId=Kx9Y9Xrn4T%2BGOO54NW1Mgg%3D%3D&amp;position=22&amp;pageNum=0&amp;trk=public_jobs_jserp-result_search-card", "Job Link")</f>
        <v>Job Link</v>
      </c>
      <c r="H1799" t="s">
        <v>478</v>
      </c>
      <c r="I1799" t="s">
        <v>481</v>
      </c>
      <c r="J1799" t="s">
        <v>486</v>
      </c>
      <c r="K1799" t="s">
        <v>536</v>
      </c>
      <c r="L1799" t="s">
        <v>611</v>
      </c>
      <c r="M1799" t="s">
        <v>601</v>
      </c>
    </row>
    <row r="1800" spans="1:14" x14ac:dyDescent="0.25">
      <c r="A1800" t="s">
        <v>61</v>
      </c>
      <c r="B1800" t="s">
        <v>185</v>
      </c>
      <c r="C1800" t="s">
        <v>337</v>
      </c>
      <c r="D1800" t="s">
        <v>425</v>
      </c>
      <c r="F1800" t="s">
        <v>466</v>
      </c>
      <c r="G1800" t="str">
        <f>HYPERLINK("https://ca.linkedin.com/jobs/view/bi-reporting-analyst-at-trade-x-3338163061?refId=%2FL3goNZnfYodwYrLvb%2B9JQ%3D%3D&amp;trackingId=uzdPSqorrIHReP7YCiTqlw%3D%3D&amp;position=23&amp;pageNum=0&amp;trk=public_jobs_jserp-result_search-card", "Job Link")</f>
        <v>Job Link</v>
      </c>
      <c r="H1800" t="s">
        <v>477</v>
      </c>
      <c r="I1800" t="s">
        <v>481</v>
      </c>
      <c r="J1800" t="s">
        <v>486</v>
      </c>
      <c r="K1800" t="s">
        <v>553</v>
      </c>
      <c r="L1800" t="s">
        <v>601</v>
      </c>
    </row>
    <row r="1801" spans="1:14" x14ac:dyDescent="0.25">
      <c r="A1801" t="s">
        <v>42</v>
      </c>
      <c r="B1801" t="s">
        <v>165</v>
      </c>
      <c r="C1801" t="s">
        <v>314</v>
      </c>
      <c r="D1801" t="s">
        <v>425</v>
      </c>
      <c r="F1801" t="s">
        <v>459</v>
      </c>
      <c r="G1801" t="str">
        <f>HYPERLINK("https://ca.linkedin.com/jobs/view/cognitive-data-analyst-at-wysdom-ai-3333087497?refId=%2FL3goNZnfYodwYrLvb%2B9JQ%3D%3D&amp;trackingId=w%2FRtUqKs2ioQabEyr%2BhaVQ%3D%3D&amp;position=24&amp;pageNum=0&amp;trk=public_jobs_jserp-result_search-card", "Job Link")</f>
        <v>Job Link</v>
      </c>
      <c r="H1801" t="s">
        <v>478</v>
      </c>
      <c r="I1801" t="s">
        <v>481</v>
      </c>
      <c r="J1801" t="s">
        <v>486</v>
      </c>
      <c r="K1801" t="s">
        <v>516</v>
      </c>
      <c r="L1801" t="s">
        <v>601</v>
      </c>
    </row>
    <row r="1802" spans="1:14" x14ac:dyDescent="0.25">
      <c r="A1802" t="s">
        <v>37</v>
      </c>
      <c r="B1802" t="s">
        <v>206</v>
      </c>
      <c r="C1802" t="s">
        <v>361</v>
      </c>
      <c r="D1802" t="s">
        <v>425</v>
      </c>
      <c r="F1802" t="s">
        <v>441</v>
      </c>
      <c r="G1802" t="str">
        <f>HYPERLINK("https://ca.linkedin.com/jobs/view/data-engineer-at-ruanco-consultora-de-rrhh-3367962402?refId=%2FL3goNZnfYodwYrLvb%2B9JQ%3D%3D&amp;trackingId=mybRhnrG1qDUefJ6Dl%2BjNQ%3D%3D&amp;position=25&amp;pageNum=0&amp;trk=public_jobs_jserp-result_search-card", "Job Link")</f>
        <v>Job Link</v>
      </c>
      <c r="H1802" t="s">
        <v>479</v>
      </c>
      <c r="I1802" t="s">
        <v>481</v>
      </c>
      <c r="J1802" t="s">
        <v>486</v>
      </c>
      <c r="K1802" t="s">
        <v>538</v>
      </c>
      <c r="L1802" t="s">
        <v>582</v>
      </c>
      <c r="M1802" t="s">
        <v>588</v>
      </c>
      <c r="N1802" t="s">
        <v>601</v>
      </c>
    </row>
    <row r="1803" spans="1:14" x14ac:dyDescent="0.25">
      <c r="A1803" t="s">
        <v>14</v>
      </c>
      <c r="B1803" t="s">
        <v>158</v>
      </c>
      <c r="C1803" t="s">
        <v>307</v>
      </c>
      <c r="D1803" t="s">
        <v>425</v>
      </c>
      <c r="F1803" t="s">
        <v>430</v>
      </c>
      <c r="G1803" t="str">
        <f>HYPERLINK("https://ca.linkedin.com/jobs/view/data-analyst-at-empire-life-3324608289?refId=%2BqI%2BTKpKfS0Faxkrrd4Wpw%3D%3D&amp;trackingId=k2masY7Aq9bh5C3e9jryFw%3D%3D&amp;position=1&amp;pageNum=0&amp;trk=public_jobs_jserp-result_search-card", "Job Link")</f>
        <v>Job Link</v>
      </c>
      <c r="H1803" t="s">
        <v>476</v>
      </c>
      <c r="I1803" t="s">
        <v>481</v>
      </c>
      <c r="J1803" t="s">
        <v>485</v>
      </c>
      <c r="K1803" t="s">
        <v>523</v>
      </c>
      <c r="L1803" t="s">
        <v>601</v>
      </c>
    </row>
    <row r="1804" spans="1:14" x14ac:dyDescent="0.25">
      <c r="A1804" t="s">
        <v>40</v>
      </c>
      <c r="B1804" t="s">
        <v>159</v>
      </c>
      <c r="C1804" t="s">
        <v>308</v>
      </c>
      <c r="D1804" t="s">
        <v>425</v>
      </c>
      <c r="F1804" t="s">
        <v>435</v>
      </c>
      <c r="G1804" t="str">
        <f>HYPERLINK("https://ca.linkedin.com/jobs/view/data-visualization-developer-analyst-at-blue-boat-data-3335318133?refId=%2BqI%2BTKpKfS0Faxkrrd4Wpw%3D%3D&amp;trackingId=5B5hOkoXnxgngqIo0T1cig%3D%3D&amp;position=2&amp;pageNum=0&amp;trk=public_jobs_jserp-result_search-card", "Job Link")</f>
        <v>Job Link</v>
      </c>
      <c r="I1804" t="s">
        <v>483</v>
      </c>
      <c r="L1804" t="s">
        <v>601</v>
      </c>
    </row>
    <row r="1805" spans="1:14" x14ac:dyDescent="0.25">
      <c r="A1805" t="s">
        <v>14</v>
      </c>
      <c r="B1805" t="s">
        <v>160</v>
      </c>
      <c r="C1805" t="s">
        <v>309</v>
      </c>
      <c r="D1805" t="s">
        <v>425</v>
      </c>
      <c r="E1805" t="s">
        <v>427</v>
      </c>
      <c r="F1805" t="s">
        <v>458</v>
      </c>
      <c r="G1805" t="str">
        <f>HYPERLINK("https://ca.linkedin.com/jobs/view/data-analyst-at-libitzky-property-companies-3314494593?refId=%2BqI%2BTKpKfS0Faxkrrd4Wpw%3D%3D&amp;trackingId=MR6CemAOg4q8tW89ejDqCg%3D%3D&amp;position=3&amp;pageNum=0&amp;trk=public_jobs_jserp-result_search-card", "Job Link")</f>
        <v>Job Link</v>
      </c>
      <c r="H1805" t="s">
        <v>476</v>
      </c>
      <c r="I1805" t="s">
        <v>481</v>
      </c>
      <c r="J1805" t="s">
        <v>486</v>
      </c>
      <c r="K1805" t="s">
        <v>516</v>
      </c>
      <c r="L1805" t="s">
        <v>601</v>
      </c>
    </row>
    <row r="1806" spans="1:14" x14ac:dyDescent="0.25">
      <c r="A1806" t="s">
        <v>14</v>
      </c>
      <c r="B1806" t="s">
        <v>161</v>
      </c>
      <c r="C1806" t="s">
        <v>310</v>
      </c>
      <c r="D1806" t="s">
        <v>425</v>
      </c>
      <c r="F1806" t="s">
        <v>435</v>
      </c>
      <c r="G1806" t="str">
        <f>HYPERLINK("https://ca.linkedin.com/jobs/view/data-analyst-at-spire-3340696458?refId=%2BqI%2BTKpKfS0Faxkrrd4Wpw%3D%3D&amp;trackingId=0612yrcgy6WxuxBAVNKuZw%3D%3D&amp;position=4&amp;pageNum=0&amp;trk=public_jobs_jserp-result_search-card", "Job Link")</f>
        <v>Job Link</v>
      </c>
      <c r="H1806" t="s">
        <v>476</v>
      </c>
      <c r="I1806" t="s">
        <v>481</v>
      </c>
      <c r="J1806" t="s">
        <v>486</v>
      </c>
      <c r="K1806" t="s">
        <v>517</v>
      </c>
      <c r="L1806" t="s">
        <v>602</v>
      </c>
      <c r="M1806" t="s">
        <v>588</v>
      </c>
      <c r="N1806" t="s">
        <v>601</v>
      </c>
    </row>
    <row r="1807" spans="1:14" x14ac:dyDescent="0.25">
      <c r="A1807" t="s">
        <v>14</v>
      </c>
      <c r="B1807" t="s">
        <v>162</v>
      </c>
      <c r="C1807" t="s">
        <v>311</v>
      </c>
      <c r="D1807" t="s">
        <v>425</v>
      </c>
      <c r="F1807" t="s">
        <v>434</v>
      </c>
      <c r="G1807" t="str">
        <f>HYPERLINK("https://ca.linkedin.com/jobs/view/data-analyst-at-money-mart-financial-services-3361528052?refId=%2BqI%2BTKpKfS0Faxkrrd4Wpw%3D%3D&amp;trackingId=g0yyUCginzHncDC52cCuZg%3D%3D&amp;position=5&amp;pageNum=0&amp;trk=public_jobs_jserp-result_search-card", "Job Link")</f>
        <v>Job Link</v>
      </c>
      <c r="H1807" t="s">
        <v>477</v>
      </c>
      <c r="I1807" t="s">
        <v>481</v>
      </c>
      <c r="J1807" t="s">
        <v>488</v>
      </c>
      <c r="K1807" t="s">
        <v>527</v>
      </c>
      <c r="L1807" t="s">
        <v>582</v>
      </c>
      <c r="M1807" t="s">
        <v>588</v>
      </c>
      <c r="N1807" t="s">
        <v>601</v>
      </c>
    </row>
    <row r="1808" spans="1:14" x14ac:dyDescent="0.25">
      <c r="A1808" t="s">
        <v>14</v>
      </c>
      <c r="B1808" t="s">
        <v>163</v>
      </c>
      <c r="C1808" t="s">
        <v>312</v>
      </c>
      <c r="D1808" t="s">
        <v>425</v>
      </c>
      <c r="F1808" t="s">
        <v>443</v>
      </c>
      <c r="G1808" t="str">
        <f>HYPERLINK("https://ca.linkedin.com/jobs/view/data-analyst-at-mojio-3363472062?refId=%2BqI%2BTKpKfS0Faxkrrd4Wpw%3D%3D&amp;trackingId=mKoc1Cjt%2FOxc1JAkr1Bg7g%3D%3D&amp;position=6&amp;pageNum=0&amp;trk=public_jobs_jserp-result_search-card", "Job Link")</f>
        <v>Job Link</v>
      </c>
      <c r="H1808" t="s">
        <v>478</v>
      </c>
      <c r="I1808" t="s">
        <v>481</v>
      </c>
      <c r="J1808" t="s">
        <v>493</v>
      </c>
      <c r="K1808" t="s">
        <v>544</v>
      </c>
      <c r="L1808" t="s">
        <v>601</v>
      </c>
    </row>
    <row r="1809" spans="1:14" x14ac:dyDescent="0.25">
      <c r="A1809" t="s">
        <v>41</v>
      </c>
      <c r="B1809" t="s">
        <v>164</v>
      </c>
      <c r="C1809" t="s">
        <v>313</v>
      </c>
      <c r="D1809" t="s">
        <v>425</v>
      </c>
      <c r="F1809" t="s">
        <v>444</v>
      </c>
      <c r="G1809" t="str">
        <f>HYPERLINK("https://ca.linkedin.com/jobs/view/product-data-analyst-at-pdftron-systems-inc-3322845144?refId=%2BqI%2BTKpKfS0Faxkrrd4Wpw%3D%3D&amp;trackingId=%2F6naS96JcPkoixSLbfc2UA%3D%3D&amp;position=7&amp;pageNum=0&amp;trk=public_jobs_jserp-result_search-card", "Job Link")</f>
        <v>Job Link</v>
      </c>
      <c r="H1809" t="s">
        <v>479</v>
      </c>
      <c r="I1809" t="s">
        <v>481</v>
      </c>
      <c r="J1809" t="s">
        <v>487</v>
      </c>
      <c r="K1809" t="s">
        <v>538</v>
      </c>
      <c r="L1809" t="s">
        <v>590</v>
      </c>
      <c r="M1809" t="s">
        <v>618</v>
      </c>
      <c r="N1809" t="s">
        <v>601</v>
      </c>
    </row>
    <row r="1810" spans="1:14" x14ac:dyDescent="0.25">
      <c r="A1810" t="s">
        <v>42</v>
      </c>
      <c r="B1810" t="s">
        <v>165</v>
      </c>
      <c r="C1810" t="s">
        <v>314</v>
      </c>
      <c r="D1810" t="s">
        <v>425</v>
      </c>
      <c r="F1810" t="s">
        <v>459</v>
      </c>
      <c r="G1810" t="str">
        <f>HYPERLINK("https://ca.linkedin.com/jobs/view/cognitive-data-analyst-at-wysdom-ai-3333087497?refId=%2BqI%2BTKpKfS0Faxkrrd4Wpw%3D%3D&amp;trackingId=nusq6t58ca9I65dpYlU3RQ%3D%3D&amp;position=8&amp;pageNum=0&amp;trk=public_jobs_jserp-result_search-card", "Job Link")</f>
        <v>Job Link</v>
      </c>
      <c r="H1810" t="s">
        <v>478</v>
      </c>
      <c r="I1810" t="s">
        <v>481</v>
      </c>
      <c r="J1810" t="s">
        <v>486</v>
      </c>
      <c r="K1810" t="s">
        <v>516</v>
      </c>
      <c r="L1810" t="s">
        <v>601</v>
      </c>
    </row>
    <row r="1811" spans="1:14" x14ac:dyDescent="0.25">
      <c r="A1811" t="s">
        <v>43</v>
      </c>
      <c r="B1811" t="s">
        <v>166</v>
      </c>
      <c r="C1811" t="s">
        <v>315</v>
      </c>
      <c r="D1811" t="s">
        <v>425</v>
      </c>
      <c r="F1811" t="s">
        <v>432</v>
      </c>
      <c r="G1811" t="str">
        <f>HYPERLINK("https://ca.linkedin.com/jobs/view/data-analyst-operations-at-felix-3360946633?refId=%2BqI%2BTKpKfS0Faxkrrd4Wpw%3D%3D&amp;trackingId=BSDtCqcZtjmOvLpUMUV3Cg%3D%3D&amp;position=9&amp;pageNum=0&amp;trk=public_jobs_jserp-result_search-card", "Job Link")</f>
        <v>Job Link</v>
      </c>
      <c r="I1811" t="s">
        <v>481</v>
      </c>
      <c r="L1811" t="s">
        <v>601</v>
      </c>
    </row>
    <row r="1812" spans="1:14" x14ac:dyDescent="0.25">
      <c r="A1812" t="s">
        <v>44</v>
      </c>
      <c r="B1812" t="s">
        <v>167</v>
      </c>
      <c r="C1812" t="s">
        <v>316</v>
      </c>
      <c r="D1812" t="s">
        <v>425</v>
      </c>
      <c r="F1812" t="s">
        <v>460</v>
      </c>
      <c r="G1812" t="str">
        <f>HYPERLINK("https://ca.linkedin.com/jobs/view/data-analyst-marketing-at-thescore-3272474942?refId=%2BqI%2BTKpKfS0Faxkrrd4Wpw%3D%3D&amp;trackingId=35%2Ba4CSVWQ127%2FWLJyCiTA%3D%3D&amp;position=10&amp;pageNum=0&amp;trk=public_jobs_jserp-result_search-card", "Job Link")</f>
        <v>Job Link</v>
      </c>
      <c r="H1812" t="s">
        <v>476</v>
      </c>
      <c r="I1812" t="s">
        <v>481</v>
      </c>
      <c r="J1812" t="s">
        <v>486</v>
      </c>
      <c r="K1812" t="s">
        <v>545</v>
      </c>
      <c r="L1812" t="s">
        <v>582</v>
      </c>
      <c r="M1812" t="s">
        <v>588</v>
      </c>
      <c r="N1812" t="s">
        <v>601</v>
      </c>
    </row>
    <row r="1813" spans="1:14" x14ac:dyDescent="0.25">
      <c r="A1813" t="s">
        <v>45</v>
      </c>
      <c r="B1813" t="s">
        <v>168</v>
      </c>
      <c r="C1813" t="s">
        <v>317</v>
      </c>
      <c r="D1813" t="s">
        <v>425</v>
      </c>
      <c r="F1813" t="s">
        <v>443</v>
      </c>
      <c r="G1813" t="str">
        <f>HYPERLINK("https://ca.linkedin.com/jobs/view/senior-data-analyst-apac-marketplace-at-hopper-3363404929?refId=%2BqI%2BTKpKfS0Faxkrrd4Wpw%3D%3D&amp;trackingId=ojJ8bOOhBNf%2BTQriCDeFzA%3D%3D&amp;position=11&amp;pageNum=0&amp;trk=public_jobs_jserp-result_search-card", "Job Link")</f>
        <v>Job Link</v>
      </c>
      <c r="H1813" t="s">
        <v>478</v>
      </c>
      <c r="I1813" t="s">
        <v>485</v>
      </c>
      <c r="J1813" t="s">
        <v>486</v>
      </c>
      <c r="K1813" t="s">
        <v>538</v>
      </c>
      <c r="L1813" t="s">
        <v>601</v>
      </c>
    </row>
    <row r="1814" spans="1:14" x14ac:dyDescent="0.25">
      <c r="A1814" t="s">
        <v>46</v>
      </c>
      <c r="B1814" t="s">
        <v>169</v>
      </c>
      <c r="C1814" t="s">
        <v>318</v>
      </c>
      <c r="D1814" t="s">
        <v>425</v>
      </c>
      <c r="F1814" t="s">
        <v>461</v>
      </c>
      <c r="G1814">
        <v>0</v>
      </c>
      <c r="H1814" t="s">
        <v>478</v>
      </c>
      <c r="I1814" t="s">
        <v>481</v>
      </c>
      <c r="J1814" t="s">
        <v>494</v>
      </c>
      <c r="K1814" t="s">
        <v>546</v>
      </c>
      <c r="L1814" t="s">
        <v>601</v>
      </c>
    </row>
    <row r="1815" spans="1:14" x14ac:dyDescent="0.25">
      <c r="A1815" t="s">
        <v>20</v>
      </c>
      <c r="B1815" t="s">
        <v>170</v>
      </c>
      <c r="C1815" t="s">
        <v>319</v>
      </c>
      <c r="D1815" t="s">
        <v>425</v>
      </c>
      <c r="F1815" t="s">
        <v>450</v>
      </c>
      <c r="G1815" t="str">
        <f>HYPERLINK("https://ca.linkedin.com/jobs/view/senior-data-analyst-at-thinkific-3333572538?refId=%2BqI%2BTKpKfS0Faxkrrd4Wpw%3D%3D&amp;trackingId=HMnFTWPXtfE991EMknf2MQ%3D%3D&amp;position=13&amp;pageNum=0&amp;trk=public_jobs_jserp-result_search-card", "Job Link")</f>
        <v>Job Link</v>
      </c>
      <c r="H1815" t="s">
        <v>478</v>
      </c>
      <c r="I1815" t="s">
        <v>481</v>
      </c>
      <c r="J1815" t="s">
        <v>495</v>
      </c>
      <c r="K1815" t="s">
        <v>547</v>
      </c>
      <c r="L1815" t="s">
        <v>601</v>
      </c>
    </row>
    <row r="1816" spans="1:14" x14ac:dyDescent="0.25">
      <c r="A1816" t="s">
        <v>47</v>
      </c>
      <c r="B1816" t="s">
        <v>171</v>
      </c>
      <c r="C1816" t="s">
        <v>320</v>
      </c>
      <c r="D1816" t="s">
        <v>425</v>
      </c>
      <c r="F1816" t="s">
        <v>447</v>
      </c>
      <c r="G1816" t="str">
        <f>HYPERLINK("https://ca.linkedin.com/jobs/view/insights-analyst-at-flashfood-3312876343?refId=%2BqI%2BTKpKfS0Faxkrrd4Wpw%3D%3D&amp;trackingId=n%2BeHzLw3yWhM6V8VG4c6Yg%3D%3D&amp;position=14&amp;pageNum=0&amp;trk=public_jobs_jserp-result_search-card", "Job Link")</f>
        <v>Job Link</v>
      </c>
      <c r="I1816" t="s">
        <v>481</v>
      </c>
      <c r="L1816" t="s">
        <v>601</v>
      </c>
    </row>
    <row r="1817" spans="1:14" x14ac:dyDescent="0.25">
      <c r="A1817" t="s">
        <v>20</v>
      </c>
      <c r="B1817" t="s">
        <v>172</v>
      </c>
      <c r="C1817" t="s">
        <v>321</v>
      </c>
      <c r="D1817" t="s">
        <v>425</v>
      </c>
      <c r="F1817" t="s">
        <v>438</v>
      </c>
      <c r="G1817" t="str">
        <f>HYPERLINK("https://ca.linkedin.com/jobs/view/senior-data-analyst-at-system1-3324728130?refId=%2BqI%2BTKpKfS0Faxkrrd4Wpw%3D%3D&amp;trackingId=qGY0pRnEAxjZYD2volS9wg%3D%3D&amp;position=15&amp;pageNum=0&amp;trk=public_jobs_jserp-result_search-card", "Job Link")</f>
        <v>Job Link</v>
      </c>
      <c r="H1817" t="s">
        <v>478</v>
      </c>
      <c r="I1817" t="s">
        <v>481</v>
      </c>
      <c r="J1817" t="s">
        <v>486</v>
      </c>
      <c r="K1817" t="s">
        <v>548</v>
      </c>
      <c r="L1817" t="s">
        <v>587</v>
      </c>
      <c r="M1817" t="s">
        <v>588</v>
      </c>
      <c r="N1817" t="s">
        <v>601</v>
      </c>
    </row>
    <row r="1818" spans="1:14" x14ac:dyDescent="0.25">
      <c r="A1818" t="s">
        <v>48</v>
      </c>
      <c r="B1818" t="s">
        <v>173</v>
      </c>
      <c r="C1818" t="s">
        <v>322</v>
      </c>
      <c r="D1818" t="s">
        <v>425</v>
      </c>
      <c r="F1818" t="s">
        <v>462</v>
      </c>
      <c r="G1818" t="str">
        <f>HYPERLINK("https://ca.linkedin.com/jobs/view/data-analyst-trilogy-remote-%2460-000-year-usd-at-crossover-3367086698?refId=%2BqI%2BTKpKfS0Faxkrrd4Wpw%3D%3D&amp;trackingId=YbUIei5SPh3so1BGNFD5fA%3D%3D&amp;position=16&amp;pageNum=0&amp;trk=public_jobs_jserp-result_search-card", "Job Link")</f>
        <v>Job Link</v>
      </c>
      <c r="H1818" t="s">
        <v>477</v>
      </c>
      <c r="I1818" t="s">
        <v>481</v>
      </c>
      <c r="J1818" t="s">
        <v>496</v>
      </c>
      <c r="K1818" t="s">
        <v>549</v>
      </c>
      <c r="L1818" t="s">
        <v>582</v>
      </c>
      <c r="M1818" t="s">
        <v>588</v>
      </c>
      <c r="N1818" t="s">
        <v>601</v>
      </c>
    </row>
    <row r="1819" spans="1:14" x14ac:dyDescent="0.25">
      <c r="A1819" t="s">
        <v>49</v>
      </c>
      <c r="B1819" t="s">
        <v>174</v>
      </c>
      <c r="C1819" t="s">
        <v>323</v>
      </c>
      <c r="D1819" t="s">
        <v>425</v>
      </c>
      <c r="F1819" t="s">
        <v>433</v>
      </c>
      <c r="G1819" t="str">
        <f>HYPERLINK("https://ca.linkedin.com/jobs/view/product-data-analyst-wtfast-at-blankslate-partners-3350561493?refId=%2BqI%2BTKpKfS0Faxkrrd4Wpw%3D%3D&amp;trackingId=%2BHpBpaADUGPtSHtrX3j74g%3D%3D&amp;position=17&amp;pageNum=0&amp;trk=public_jobs_jserp-result_search-card", "Job Link")</f>
        <v>Job Link</v>
      </c>
      <c r="H1819" t="s">
        <v>479</v>
      </c>
      <c r="I1819" t="s">
        <v>481</v>
      </c>
      <c r="J1819" t="s">
        <v>497</v>
      </c>
      <c r="K1819" t="s">
        <v>538</v>
      </c>
      <c r="L1819" t="s">
        <v>603</v>
      </c>
      <c r="M1819" t="s">
        <v>618</v>
      </c>
      <c r="N1819" t="s">
        <v>601</v>
      </c>
    </row>
    <row r="1820" spans="1:14" x14ac:dyDescent="0.25">
      <c r="A1820" t="s">
        <v>50</v>
      </c>
      <c r="B1820" t="s">
        <v>175</v>
      </c>
      <c r="C1820" t="s">
        <v>324</v>
      </c>
      <c r="D1820" t="s">
        <v>425</v>
      </c>
      <c r="F1820" t="s">
        <v>443</v>
      </c>
      <c r="G1820" t="str">
        <f>HYPERLINK("https://ca.linkedin.com/jobs/view/senior-data-analyst-toronto-on-at-ssense-3369567279?refId=%2BqI%2BTKpKfS0Faxkrrd4Wpw%3D%3D&amp;trackingId=BjGpb81YhM1QrPR35pBogw%3D%3D&amp;position=18&amp;pageNum=0&amp;trk=public_jobs_jserp-result_search-card", "Job Link")</f>
        <v>Job Link</v>
      </c>
      <c r="H1820" t="s">
        <v>478</v>
      </c>
      <c r="I1820" t="s">
        <v>481</v>
      </c>
      <c r="J1820" t="s">
        <v>486</v>
      </c>
      <c r="K1820" t="s">
        <v>550</v>
      </c>
      <c r="L1820" t="s">
        <v>582</v>
      </c>
      <c r="M1820" t="s">
        <v>588</v>
      </c>
      <c r="N1820" t="s">
        <v>601</v>
      </c>
    </row>
    <row r="1821" spans="1:14" x14ac:dyDescent="0.25">
      <c r="A1821" t="s">
        <v>51</v>
      </c>
      <c r="B1821" t="s">
        <v>175</v>
      </c>
      <c r="C1821" t="s">
        <v>325</v>
      </c>
      <c r="D1821" t="s">
        <v>425</v>
      </c>
      <c r="F1821" t="s">
        <v>443</v>
      </c>
      <c r="G1821" t="str">
        <f>HYPERLINK("https://ca.linkedin.com/jobs/view/senior-data-analyst-analytics-insights-toronto-on-at-ssense-3369558722?refId=%2BqI%2BTKpKfS0Faxkrrd4Wpw%3D%3D&amp;trackingId=NPQrwJMosuZlhNbvIE4ORg%3D%3D&amp;position=19&amp;pageNum=0&amp;trk=public_jobs_jserp-result_search-card", "Job Link")</f>
        <v>Job Link</v>
      </c>
      <c r="H1821" t="s">
        <v>478</v>
      </c>
      <c r="I1821" t="s">
        <v>481</v>
      </c>
      <c r="J1821" t="s">
        <v>491</v>
      </c>
      <c r="K1821" t="s">
        <v>550</v>
      </c>
      <c r="L1821" t="s">
        <v>582</v>
      </c>
      <c r="M1821" t="s">
        <v>588</v>
      </c>
      <c r="N1821" t="s">
        <v>601</v>
      </c>
    </row>
    <row r="1822" spans="1:14" x14ac:dyDescent="0.25">
      <c r="A1822" t="s">
        <v>51</v>
      </c>
      <c r="B1822" t="s">
        <v>175</v>
      </c>
      <c r="C1822" t="s">
        <v>325</v>
      </c>
      <c r="D1822" t="s">
        <v>425</v>
      </c>
      <c r="F1822" t="s">
        <v>443</v>
      </c>
      <c r="G1822" t="str">
        <f>HYPERLINK("https://ca.linkedin.com/jobs/view/senior-data-analyst-analytics-insights-toronto-on-at-ssense-3369560180?refId=%2BqI%2BTKpKfS0Faxkrrd4Wpw%3D%3D&amp;trackingId=%2BXfTfiOcofAtXM%2BuZpnOYQ%3D%3D&amp;position=20&amp;pageNum=0&amp;trk=public_jobs_jserp-result_search-card", "Job Link")</f>
        <v>Job Link</v>
      </c>
      <c r="H1822" t="s">
        <v>478</v>
      </c>
      <c r="I1822" t="s">
        <v>481</v>
      </c>
      <c r="J1822" t="s">
        <v>491</v>
      </c>
      <c r="K1822" t="s">
        <v>550</v>
      </c>
      <c r="L1822" t="s">
        <v>582</v>
      </c>
      <c r="M1822" t="s">
        <v>588</v>
      </c>
      <c r="N1822" t="s">
        <v>601</v>
      </c>
    </row>
    <row r="1823" spans="1:14" x14ac:dyDescent="0.25">
      <c r="A1823" t="s">
        <v>27</v>
      </c>
      <c r="B1823" t="s">
        <v>176</v>
      </c>
      <c r="C1823" t="s">
        <v>326</v>
      </c>
      <c r="D1823" t="s">
        <v>425</v>
      </c>
      <c r="F1823" t="s">
        <v>441</v>
      </c>
      <c r="G1823" t="str">
        <f>HYPERLINK("https://ca.linkedin.com/jobs/view/sr-data-analyst-at-telus-international-digital-solutions-3331944226?refId=%2BqI%2BTKpKfS0Faxkrrd4Wpw%3D%3D&amp;trackingId=VzDXRlUD3nIC2rgaLAJMSQ%3D%3D&amp;position=21&amp;pageNum=0&amp;trk=public_jobs_jserp-result_search-card", "Job Link")</f>
        <v>Job Link</v>
      </c>
      <c r="H1823" t="s">
        <v>478</v>
      </c>
      <c r="I1823" t="s">
        <v>481</v>
      </c>
      <c r="J1823" t="s">
        <v>498</v>
      </c>
      <c r="K1823" t="s">
        <v>521</v>
      </c>
      <c r="L1823" t="s">
        <v>604</v>
      </c>
      <c r="M1823" t="s">
        <v>618</v>
      </c>
      <c r="N1823" t="s">
        <v>601</v>
      </c>
    </row>
    <row r="1824" spans="1:14" x14ac:dyDescent="0.25">
      <c r="A1824" t="s">
        <v>20</v>
      </c>
      <c r="B1824" t="s">
        <v>175</v>
      </c>
      <c r="C1824" t="s">
        <v>324</v>
      </c>
      <c r="D1824" t="s">
        <v>425</v>
      </c>
      <c r="F1824" t="s">
        <v>446</v>
      </c>
      <c r="G1824" t="str">
        <f>HYPERLINK("https://ca.linkedin.com/jobs/view/senior-data-analyst-at-ssense-3342165774?refId=%2BqI%2BTKpKfS0Faxkrrd4Wpw%3D%3D&amp;trackingId=aY8j%2BKcxeGPn8QvZ1TyxvQ%3D%3D&amp;position=22&amp;pageNum=0&amp;trk=public_jobs_jserp-result_search-card", "Job Link")</f>
        <v>Job Link</v>
      </c>
      <c r="H1824" t="s">
        <v>478</v>
      </c>
      <c r="I1824" t="s">
        <v>481</v>
      </c>
      <c r="J1824" t="s">
        <v>486</v>
      </c>
      <c r="K1824" t="s">
        <v>550</v>
      </c>
      <c r="L1824" t="s">
        <v>605</v>
      </c>
      <c r="M1824" t="s">
        <v>617</v>
      </c>
      <c r="N1824" t="s">
        <v>601</v>
      </c>
    </row>
    <row r="1825" spans="1:14" x14ac:dyDescent="0.25">
      <c r="A1825" t="s">
        <v>14</v>
      </c>
      <c r="B1825" t="s">
        <v>207</v>
      </c>
      <c r="C1825" t="s">
        <v>362</v>
      </c>
      <c r="D1825" t="s">
        <v>426</v>
      </c>
      <c r="F1825" t="s">
        <v>463</v>
      </c>
      <c r="G1825" t="str">
        <f>HYPERLINK("https://ca.linkedin.com/jobs/view/data-analyst-at-onlia-3320897897?refId=ovkt05RNWPwYNeLx0cAb0A%3D%3D&amp;trackingId=VVa44uIZGRJKmT0zDsLnHA%3D%3D&amp;position=1&amp;pageNum=0&amp;trk=public_jobs_jserp-result_search-card", "Job Link")</f>
        <v>Job Link</v>
      </c>
      <c r="H1825" t="s">
        <v>477</v>
      </c>
      <c r="I1825" t="s">
        <v>481</v>
      </c>
      <c r="J1825" t="s">
        <v>486</v>
      </c>
      <c r="K1825" t="s">
        <v>523</v>
      </c>
      <c r="L1825" t="s">
        <v>582</v>
      </c>
      <c r="M1825" t="s">
        <v>588</v>
      </c>
      <c r="N1825" t="s">
        <v>601</v>
      </c>
    </row>
    <row r="1826" spans="1:14" x14ac:dyDescent="0.25">
      <c r="A1826" t="s">
        <v>14</v>
      </c>
      <c r="B1826" t="s">
        <v>208</v>
      </c>
      <c r="C1826" t="s">
        <v>363</v>
      </c>
      <c r="D1826" t="s">
        <v>426</v>
      </c>
      <c r="F1826" t="s">
        <v>445</v>
      </c>
      <c r="G1826" t="str">
        <f>HYPERLINK("https://ca.linkedin.com/jobs/view/data-analyst-at-electronic-arts-ea-3325611825?refId=ovkt05RNWPwYNeLx0cAb0A%3D%3D&amp;trackingId=qE2CfcoPlMY9ZxhtwDjp6Q%3D%3D&amp;position=2&amp;pageNum=0&amp;trk=public_jobs_jserp-result_search-card", "Job Link")</f>
        <v>Job Link</v>
      </c>
      <c r="H1826" t="s">
        <v>479</v>
      </c>
      <c r="I1826" t="s">
        <v>481</v>
      </c>
      <c r="J1826" t="s">
        <v>507</v>
      </c>
      <c r="K1826" t="s">
        <v>559</v>
      </c>
      <c r="L1826" t="s">
        <v>582</v>
      </c>
      <c r="M1826" t="s">
        <v>588</v>
      </c>
      <c r="N1826" t="s">
        <v>601</v>
      </c>
    </row>
    <row r="1827" spans="1:14" x14ac:dyDescent="0.25">
      <c r="A1827" t="s">
        <v>14</v>
      </c>
      <c r="B1827" t="s">
        <v>209</v>
      </c>
      <c r="C1827" t="s">
        <v>364</v>
      </c>
      <c r="D1827" t="s">
        <v>426</v>
      </c>
      <c r="F1827" t="s">
        <v>440</v>
      </c>
      <c r="G1827" t="str">
        <f>HYPERLINK("https://ca.linkedin.com/jobs/view/data-analyst-at-frostbite-3370111856?refId=ovkt05RNWPwYNeLx0cAb0A%3D%3D&amp;trackingId=SFg9rM9olTP1c0CqnbohJg%3D%3D&amp;position=3&amp;pageNum=0&amp;trk=public_jobs_jserp-result_search-card", "Job Link")</f>
        <v>Job Link</v>
      </c>
      <c r="H1827" t="s">
        <v>479</v>
      </c>
      <c r="I1827" t="s">
        <v>481</v>
      </c>
      <c r="J1827" t="s">
        <v>507</v>
      </c>
      <c r="K1827" t="s">
        <v>559</v>
      </c>
      <c r="L1827" t="s">
        <v>590</v>
      </c>
      <c r="M1827" t="s">
        <v>618</v>
      </c>
      <c r="N1827" t="s">
        <v>601</v>
      </c>
    </row>
    <row r="1828" spans="1:14" x14ac:dyDescent="0.25">
      <c r="A1828" t="s">
        <v>81</v>
      </c>
      <c r="B1828" t="s">
        <v>210</v>
      </c>
      <c r="C1828" t="s">
        <v>365</v>
      </c>
      <c r="D1828" t="s">
        <v>426</v>
      </c>
      <c r="F1828" t="s">
        <v>436</v>
      </c>
      <c r="G1828" t="str">
        <f>HYPERLINK("https://ca.linkedin.com/jobs/view/data-analyst-c117-at-mitsubishi-motor-sales-of-canada-inc-3344852931?refId=ovkt05RNWPwYNeLx0cAb0A%3D%3D&amp;trackingId=poKrFkqA0NhndbfJNTKhnw%3D%3D&amp;position=4&amp;pageNum=0&amp;trk=public_jobs_jserp-result_search-card", "Job Link")</f>
        <v>Job Link</v>
      </c>
      <c r="H1828" t="s">
        <v>477</v>
      </c>
      <c r="I1828" t="s">
        <v>481</v>
      </c>
      <c r="J1828" t="s">
        <v>508</v>
      </c>
      <c r="K1828" t="s">
        <v>561</v>
      </c>
      <c r="L1828" t="s">
        <v>584</v>
      </c>
      <c r="M1828" t="s">
        <v>588</v>
      </c>
      <c r="N1828" t="s">
        <v>601</v>
      </c>
    </row>
    <row r="1829" spans="1:14" x14ac:dyDescent="0.25">
      <c r="A1829" t="s">
        <v>14</v>
      </c>
      <c r="B1829" t="s">
        <v>211</v>
      </c>
      <c r="C1829" t="s">
        <v>366</v>
      </c>
      <c r="D1829" t="s">
        <v>426</v>
      </c>
      <c r="F1829" t="s">
        <v>443</v>
      </c>
      <c r="G1829" t="str">
        <f>HYPERLINK("https://ca.linkedin.com/jobs/view/data-analyst-at-mphasis-3363428246?refId=ovkt05RNWPwYNeLx0cAb0A%3D%3D&amp;trackingId=XySHfLee%2FwQfPdkbUpISTw%3D%3D&amp;position=5&amp;pageNum=0&amp;trk=public_jobs_jserp-result_search-card", "Job Link")</f>
        <v>Job Link</v>
      </c>
      <c r="H1829" t="s">
        <v>477</v>
      </c>
      <c r="I1829" t="s">
        <v>481</v>
      </c>
      <c r="J1829" t="s">
        <v>486</v>
      </c>
      <c r="K1829" t="s">
        <v>521</v>
      </c>
      <c r="L1829" t="s">
        <v>609</v>
      </c>
      <c r="M1829" t="s">
        <v>610</v>
      </c>
      <c r="N1829" t="s">
        <v>601</v>
      </c>
    </row>
    <row r="1830" spans="1:14" x14ac:dyDescent="0.25">
      <c r="A1830" t="s">
        <v>14</v>
      </c>
      <c r="B1830" t="s">
        <v>150</v>
      </c>
      <c r="C1830" t="s">
        <v>367</v>
      </c>
      <c r="D1830" t="s">
        <v>426</v>
      </c>
      <c r="F1830" t="s">
        <v>433</v>
      </c>
      <c r="G1830" t="str">
        <f>HYPERLINK("https://ca.linkedin.com/jobs/view/data-analyst-at-synechron-3348329085?refId=ovkt05RNWPwYNeLx0cAb0A%3D%3D&amp;trackingId=ZANMIs1ZLKlDyvBOAE282w%3D%3D&amp;position=6&amp;pageNum=0&amp;trk=public_jobs_jserp-result_search-card", "Job Link")</f>
        <v>Job Link</v>
      </c>
      <c r="H1830" t="s">
        <v>478</v>
      </c>
      <c r="I1830" t="s">
        <v>481</v>
      </c>
      <c r="J1830" t="s">
        <v>486</v>
      </c>
      <c r="K1830" t="s">
        <v>562</v>
      </c>
      <c r="L1830" t="s">
        <v>584</v>
      </c>
      <c r="M1830" t="s">
        <v>588</v>
      </c>
      <c r="N1830" t="s">
        <v>601</v>
      </c>
    </row>
    <row r="1831" spans="1:14" x14ac:dyDescent="0.25">
      <c r="A1831" t="s">
        <v>82</v>
      </c>
      <c r="B1831" t="s">
        <v>179</v>
      </c>
      <c r="C1831" t="s">
        <v>368</v>
      </c>
      <c r="D1831" t="s">
        <v>426</v>
      </c>
      <c r="F1831" t="s">
        <v>471</v>
      </c>
      <c r="G1831" t="str">
        <f>HYPERLINK("https://ca.linkedin.com/jobs/view/business-data-analyst-at-capgemini-3327624663?refId=ovkt05RNWPwYNeLx0cAb0A%3D%3D&amp;trackingId=FqtGTCtktb9qQ4PXyrtNkQ%3D%3D&amp;position=7&amp;pageNum=0&amp;trk=public_jobs_jserp-result_search-card", "Job Link")</f>
        <v>Job Link</v>
      </c>
      <c r="H1831" t="s">
        <v>478</v>
      </c>
      <c r="I1831" t="s">
        <v>481</v>
      </c>
      <c r="J1831" t="s">
        <v>486</v>
      </c>
      <c r="K1831" t="s">
        <v>521</v>
      </c>
      <c r="L1831" t="s">
        <v>611</v>
      </c>
      <c r="M1831" t="s">
        <v>601</v>
      </c>
    </row>
    <row r="1832" spans="1:14" x14ac:dyDescent="0.25">
      <c r="A1832" t="s">
        <v>14</v>
      </c>
      <c r="B1832" t="s">
        <v>150</v>
      </c>
      <c r="C1832" t="s">
        <v>369</v>
      </c>
      <c r="D1832" t="s">
        <v>426</v>
      </c>
      <c r="F1832" t="s">
        <v>460</v>
      </c>
      <c r="G1832" t="str">
        <f>HYPERLINK("https://ca.linkedin.com/jobs/view/data-analyst-at-synechron-3364863079?refId=ovkt05RNWPwYNeLx0cAb0A%3D%3D&amp;trackingId=2gaPO5fbdlif7TxNt5AULg%3D%3D&amp;position=8&amp;pageNum=0&amp;trk=public_jobs_jserp-result_search-card", "Job Link")</f>
        <v>Job Link</v>
      </c>
      <c r="H1832" t="s">
        <v>478</v>
      </c>
      <c r="I1832" t="s">
        <v>481</v>
      </c>
      <c r="J1832" t="s">
        <v>486</v>
      </c>
      <c r="K1832" t="s">
        <v>563</v>
      </c>
      <c r="L1832" t="s">
        <v>584</v>
      </c>
      <c r="M1832" t="s">
        <v>588</v>
      </c>
      <c r="N1832" t="s">
        <v>601</v>
      </c>
    </row>
    <row r="1833" spans="1:14" x14ac:dyDescent="0.25">
      <c r="A1833" t="s">
        <v>14</v>
      </c>
      <c r="B1833" t="s">
        <v>150</v>
      </c>
      <c r="C1833" t="s">
        <v>367</v>
      </c>
      <c r="D1833" t="s">
        <v>426</v>
      </c>
      <c r="F1833" t="s">
        <v>460</v>
      </c>
      <c r="G1833" t="str">
        <f>HYPERLINK("https://ca.linkedin.com/jobs/view/data-analyst-at-synechron-3361756851?refId=ovkt05RNWPwYNeLx0cAb0A%3D%3D&amp;trackingId=kyBdAP7CrQ60gR36HcnA1Q%3D%3D&amp;position=9&amp;pageNum=0&amp;trk=public_jobs_jserp-result_search-card", "Job Link")</f>
        <v>Job Link</v>
      </c>
      <c r="H1833" t="s">
        <v>478</v>
      </c>
      <c r="I1833" t="s">
        <v>481</v>
      </c>
      <c r="J1833" t="s">
        <v>486</v>
      </c>
      <c r="K1833" t="s">
        <v>562</v>
      </c>
      <c r="L1833" t="s">
        <v>584</v>
      </c>
      <c r="M1833" t="s">
        <v>588</v>
      </c>
      <c r="N1833" t="s">
        <v>601</v>
      </c>
    </row>
    <row r="1834" spans="1:14" x14ac:dyDescent="0.25">
      <c r="A1834" t="s">
        <v>14</v>
      </c>
      <c r="B1834" t="s">
        <v>212</v>
      </c>
      <c r="C1834" t="s">
        <v>370</v>
      </c>
      <c r="D1834" t="s">
        <v>426</v>
      </c>
      <c r="F1834" t="s">
        <v>432</v>
      </c>
      <c r="G1834" t="str">
        <f>HYPERLINK("https://ca.linkedin.com/jobs/view/data-analyst-at-agilus-work-solutions-3358673093?refId=ovkt05RNWPwYNeLx0cAb0A%3D%3D&amp;trackingId=OR9P1taIJa1TbL0Mg%2FKVBQ%3D%3D&amp;position=10&amp;pageNum=0&amp;trk=public_jobs_jserp-result_search-card", "Job Link")</f>
        <v>Job Link</v>
      </c>
      <c r="H1834" t="s">
        <v>477</v>
      </c>
      <c r="I1834" t="s">
        <v>483</v>
      </c>
      <c r="J1834" t="s">
        <v>486</v>
      </c>
      <c r="K1834" t="s">
        <v>518</v>
      </c>
      <c r="L1834" t="s">
        <v>582</v>
      </c>
      <c r="M1834" t="s">
        <v>588</v>
      </c>
      <c r="N1834" t="s">
        <v>601</v>
      </c>
    </row>
    <row r="1835" spans="1:14" x14ac:dyDescent="0.25">
      <c r="A1835" t="s">
        <v>14</v>
      </c>
      <c r="B1835" t="s">
        <v>213</v>
      </c>
      <c r="C1835" t="s">
        <v>371</v>
      </c>
      <c r="D1835" t="s">
        <v>426</v>
      </c>
      <c r="F1835" t="s">
        <v>472</v>
      </c>
      <c r="G1835" t="str">
        <f>HYPERLINK("https://ca.linkedin.com/jobs/view/data-analyst-at-linkus-group-3345817125?refId=ovkt05RNWPwYNeLx0cAb0A%3D%3D&amp;trackingId=i1LUvu4lptQhF6udB2WwWg%3D%3D&amp;position=11&amp;pageNum=0&amp;trk=public_jobs_jserp-result_search-card", "Job Link")</f>
        <v>Job Link</v>
      </c>
      <c r="H1835" t="s">
        <v>476</v>
      </c>
      <c r="I1835" t="s">
        <v>481</v>
      </c>
      <c r="J1835" t="s">
        <v>486</v>
      </c>
      <c r="K1835" t="s">
        <v>518</v>
      </c>
      <c r="L1835" t="s">
        <v>588</v>
      </c>
      <c r="M1835" t="s">
        <v>601</v>
      </c>
    </row>
    <row r="1836" spans="1:14" x14ac:dyDescent="0.25">
      <c r="A1836" t="s">
        <v>14</v>
      </c>
      <c r="B1836" t="s">
        <v>214</v>
      </c>
      <c r="C1836" t="s">
        <v>372</v>
      </c>
      <c r="D1836" t="s">
        <v>426</v>
      </c>
      <c r="F1836" t="s">
        <v>432</v>
      </c>
      <c r="G1836" t="str">
        <f>HYPERLINK("https://ca.linkedin.com/jobs/view/data-analyst-at-goeasy-ltd-3358677253?refId=ovkt05RNWPwYNeLx0cAb0A%3D%3D&amp;trackingId=Dv1Ys59snXdxElRLjM0K9A%3D%3D&amp;position=12&amp;pageNum=0&amp;trk=public_jobs_jserp-result_search-card", "Job Link")</f>
        <v>Job Link</v>
      </c>
      <c r="H1836" t="s">
        <v>476</v>
      </c>
      <c r="I1836" t="s">
        <v>481</v>
      </c>
      <c r="J1836" t="s">
        <v>486</v>
      </c>
      <c r="K1836" t="s">
        <v>550</v>
      </c>
      <c r="L1836" t="s">
        <v>584</v>
      </c>
      <c r="M1836" t="s">
        <v>588</v>
      </c>
      <c r="N1836" t="s">
        <v>601</v>
      </c>
    </row>
    <row r="1837" spans="1:14" x14ac:dyDescent="0.25">
      <c r="A1837" t="s">
        <v>83</v>
      </c>
      <c r="B1837" t="s">
        <v>215</v>
      </c>
      <c r="C1837" t="s">
        <v>373</v>
      </c>
      <c r="D1837" t="s">
        <v>426</v>
      </c>
      <c r="F1837" t="s">
        <v>462</v>
      </c>
      <c r="G1837">
        <v>0</v>
      </c>
      <c r="H1837" t="s">
        <v>478</v>
      </c>
      <c r="I1837" t="s">
        <v>483</v>
      </c>
      <c r="J1837" t="s">
        <v>509</v>
      </c>
      <c r="K1837" t="s">
        <v>550</v>
      </c>
      <c r="L1837" t="s">
        <v>584</v>
      </c>
      <c r="M1837" t="s">
        <v>588</v>
      </c>
      <c r="N1837" t="s">
        <v>601</v>
      </c>
    </row>
    <row r="1838" spans="1:14" x14ac:dyDescent="0.25">
      <c r="A1838" t="s">
        <v>20</v>
      </c>
      <c r="B1838" t="s">
        <v>207</v>
      </c>
      <c r="C1838" t="s">
        <v>374</v>
      </c>
      <c r="D1838" t="s">
        <v>426</v>
      </c>
      <c r="F1838" t="s">
        <v>463</v>
      </c>
      <c r="G1838" t="str">
        <f>HYPERLINK("https://ca.linkedin.com/jobs/view/senior-data-analyst-at-onlia-3320897882?refId=ovkt05RNWPwYNeLx0cAb0A%3D%3D&amp;trackingId=iefayZum5eK%2B2VDIJCJN2g%3D%3D&amp;position=14&amp;pageNum=0&amp;trk=public_jobs_jserp-result_search-card", "Job Link")</f>
        <v>Job Link</v>
      </c>
      <c r="H1838" t="s">
        <v>477</v>
      </c>
      <c r="I1838" t="s">
        <v>481</v>
      </c>
      <c r="J1838" t="s">
        <v>486</v>
      </c>
      <c r="K1838" t="s">
        <v>523</v>
      </c>
      <c r="L1838" t="s">
        <v>582</v>
      </c>
      <c r="M1838" t="s">
        <v>588</v>
      </c>
      <c r="N1838" t="s">
        <v>601</v>
      </c>
    </row>
    <row r="1839" spans="1:14" x14ac:dyDescent="0.25">
      <c r="A1839" t="s">
        <v>84</v>
      </c>
      <c r="B1839" t="s">
        <v>216</v>
      </c>
      <c r="C1839" t="s">
        <v>375</v>
      </c>
      <c r="D1839" t="s">
        <v>426</v>
      </c>
      <c r="F1839" t="s">
        <v>452</v>
      </c>
      <c r="G1839" t="str">
        <f>HYPERLINK("https://ca.linkedin.com/jobs/view/data-analyst-hybrid-at-xylem-3335088701?refId=ovkt05RNWPwYNeLx0cAb0A%3D%3D&amp;trackingId=qigiTHE2Nly1UCPRonpAHQ%3D%3D&amp;position=15&amp;pageNum=0&amp;trk=public_jobs_jserp-result_search-card", "Job Link")</f>
        <v>Job Link</v>
      </c>
      <c r="H1839" t="s">
        <v>476</v>
      </c>
      <c r="I1839" t="s">
        <v>481</v>
      </c>
      <c r="J1839" t="s">
        <v>486</v>
      </c>
      <c r="K1839" t="s">
        <v>564</v>
      </c>
      <c r="L1839" t="s">
        <v>584</v>
      </c>
      <c r="M1839" t="s">
        <v>588</v>
      </c>
      <c r="N1839" t="s">
        <v>601</v>
      </c>
    </row>
    <row r="1840" spans="1:14" x14ac:dyDescent="0.25">
      <c r="A1840" t="s">
        <v>85</v>
      </c>
      <c r="B1840" t="s">
        <v>217</v>
      </c>
      <c r="C1840" t="s">
        <v>376</v>
      </c>
      <c r="D1840" t="s">
        <v>426</v>
      </c>
      <c r="F1840" t="s">
        <v>473</v>
      </c>
      <c r="G1840" t="str">
        <f>HYPERLINK("https://ca.linkedin.com/jobs/view/data-analyst-python-sql-at-geotab-3341823745?refId=ovkt05RNWPwYNeLx0cAb0A%3D%3D&amp;trackingId=c%2BHzdFwkG7qUiO%2BG%2FJIYEA%3D%3D&amp;position=16&amp;pageNum=0&amp;trk=public_jobs_jserp-result_search-card", "Job Link")</f>
        <v>Job Link</v>
      </c>
      <c r="H1840" t="s">
        <v>479</v>
      </c>
      <c r="I1840" t="s">
        <v>481</v>
      </c>
      <c r="J1840" t="s">
        <v>486</v>
      </c>
      <c r="K1840" t="s">
        <v>521</v>
      </c>
      <c r="L1840" t="s">
        <v>612</v>
      </c>
      <c r="M1840" t="s">
        <v>588</v>
      </c>
      <c r="N1840" t="s">
        <v>601</v>
      </c>
    </row>
    <row r="1841" spans="1:14" x14ac:dyDescent="0.25">
      <c r="A1841" t="s">
        <v>86</v>
      </c>
      <c r="B1841" t="s">
        <v>167</v>
      </c>
      <c r="C1841" t="s">
        <v>377</v>
      </c>
      <c r="D1841" t="s">
        <v>426</v>
      </c>
      <c r="F1841" t="s">
        <v>454</v>
      </c>
      <c r="G1841" t="str">
        <f>HYPERLINK("https://ca.linkedin.com/jobs/view/data-analyst-reporting-at-thescore-3345941286?refId=ovkt05RNWPwYNeLx0cAb0A%3D%3D&amp;trackingId=N%2BhX%2FR%2F9RxnmoDgwC%2FpBFA%3D%3D&amp;position=17&amp;pageNum=0&amp;trk=public_jobs_jserp-result_search-card", "Job Link")</f>
        <v>Job Link</v>
      </c>
      <c r="H1841" t="s">
        <v>476</v>
      </c>
      <c r="I1841" t="s">
        <v>481</v>
      </c>
      <c r="J1841" t="s">
        <v>486</v>
      </c>
      <c r="K1841" t="s">
        <v>545</v>
      </c>
      <c r="L1841" t="s">
        <v>582</v>
      </c>
      <c r="M1841" t="s">
        <v>588</v>
      </c>
      <c r="N1841" t="s">
        <v>601</v>
      </c>
    </row>
    <row r="1842" spans="1:14" x14ac:dyDescent="0.25">
      <c r="A1842" t="s">
        <v>87</v>
      </c>
      <c r="B1842" t="s">
        <v>218</v>
      </c>
      <c r="C1842" t="s">
        <v>378</v>
      </c>
      <c r="D1842" t="s">
        <v>426</v>
      </c>
      <c r="F1842" t="s">
        <v>432</v>
      </c>
      <c r="G1842">
        <v>0</v>
      </c>
      <c r="H1842" t="s">
        <v>478</v>
      </c>
      <c r="I1842" t="s">
        <v>483</v>
      </c>
      <c r="J1842" t="s">
        <v>486</v>
      </c>
      <c r="K1842" t="s">
        <v>521</v>
      </c>
      <c r="L1842" t="s">
        <v>582</v>
      </c>
      <c r="M1842" t="s">
        <v>588</v>
      </c>
      <c r="N1842" t="s">
        <v>601</v>
      </c>
    </row>
    <row r="1843" spans="1:14" x14ac:dyDescent="0.25">
      <c r="A1843" t="s">
        <v>88</v>
      </c>
      <c r="B1843" t="s">
        <v>219</v>
      </c>
      <c r="C1843" t="s">
        <v>379</v>
      </c>
      <c r="D1843" t="s">
        <v>426</v>
      </c>
      <c r="F1843" t="s">
        <v>454</v>
      </c>
      <c r="G1843" t="str">
        <f>HYPERLINK("https://ca.linkedin.com/jobs/view/data-analyst-flight-pricing-optimization-at-priceline-3345993633?refId=ovkt05RNWPwYNeLx0cAb0A%3D%3D&amp;trackingId=OrOnnk8kyLZpqw3edlj%2Fzg%3D%3D&amp;position=19&amp;pageNum=0&amp;trk=public_jobs_jserp-result_search-card", "Job Link")</f>
        <v>Job Link</v>
      </c>
      <c r="H1843" t="s">
        <v>476</v>
      </c>
      <c r="I1843" t="s">
        <v>481</v>
      </c>
      <c r="J1843" t="s">
        <v>486</v>
      </c>
      <c r="K1843" t="s">
        <v>565</v>
      </c>
      <c r="L1843" t="s">
        <v>582</v>
      </c>
      <c r="M1843" t="s">
        <v>588</v>
      </c>
      <c r="N1843" t="s">
        <v>601</v>
      </c>
    </row>
    <row r="1844" spans="1:14" x14ac:dyDescent="0.25">
      <c r="A1844" t="s">
        <v>27</v>
      </c>
      <c r="B1844" t="s">
        <v>220</v>
      </c>
      <c r="C1844" t="s">
        <v>380</v>
      </c>
      <c r="D1844" t="s">
        <v>426</v>
      </c>
      <c r="F1844" t="s">
        <v>434</v>
      </c>
      <c r="G1844" t="str">
        <f>HYPERLINK("https://ca.linkedin.com/jobs/view/sr-data-analyst-at-randstad-canada-3354999789?refId=ovkt05RNWPwYNeLx0cAb0A%3D%3D&amp;trackingId=tj9cEY%2BuQ52nYQfjV07swg%3D%3D&amp;position=20&amp;pageNum=0&amp;trk=public_jobs_jserp-result_search-card", "Job Link")</f>
        <v>Job Link</v>
      </c>
      <c r="H1844" t="s">
        <v>478</v>
      </c>
      <c r="I1844" t="s">
        <v>483</v>
      </c>
      <c r="J1844" t="s">
        <v>486</v>
      </c>
      <c r="K1844" t="s">
        <v>518</v>
      </c>
      <c r="L1844" t="s">
        <v>584</v>
      </c>
      <c r="M1844" t="s">
        <v>588</v>
      </c>
      <c r="N1844" t="s">
        <v>601</v>
      </c>
    </row>
    <row r="1845" spans="1:14" x14ac:dyDescent="0.25">
      <c r="A1845" t="s">
        <v>89</v>
      </c>
      <c r="B1845" t="s">
        <v>221</v>
      </c>
      <c r="C1845" t="s">
        <v>381</v>
      </c>
      <c r="D1845" t="s">
        <v>426</v>
      </c>
      <c r="F1845" t="s">
        <v>461</v>
      </c>
      <c r="G1845">
        <v>0</v>
      </c>
      <c r="H1845" t="s">
        <v>476</v>
      </c>
      <c r="I1845" t="s">
        <v>481</v>
      </c>
      <c r="J1845" t="s">
        <v>488</v>
      </c>
      <c r="K1845" t="s">
        <v>566</v>
      </c>
      <c r="L1845" t="s">
        <v>582</v>
      </c>
      <c r="M1845" t="s">
        <v>588</v>
      </c>
      <c r="N1845" t="s">
        <v>601</v>
      </c>
    </row>
    <row r="1846" spans="1:14" x14ac:dyDescent="0.25">
      <c r="A1846" t="s">
        <v>14</v>
      </c>
      <c r="B1846" t="s">
        <v>222</v>
      </c>
      <c r="C1846" t="s">
        <v>382</v>
      </c>
      <c r="D1846" t="s">
        <v>426</v>
      </c>
      <c r="F1846" t="s">
        <v>431</v>
      </c>
      <c r="G1846" t="str">
        <f>HYPERLINK("https://ca.linkedin.com/jobs/view/data-analyst-at-circle-k-3367192655?refId=ovkt05RNWPwYNeLx0cAb0A%3D%3D&amp;trackingId=7%2B39FHdYG5%2BOx7slFawClA%3D%3D&amp;position=22&amp;pageNum=0&amp;trk=public_jobs_jserp-result_search-card", "Job Link")</f>
        <v>Job Link</v>
      </c>
      <c r="H1846" t="s">
        <v>476</v>
      </c>
      <c r="I1846" t="s">
        <v>481</v>
      </c>
      <c r="J1846" t="s">
        <v>486</v>
      </c>
      <c r="K1846" t="s">
        <v>567</v>
      </c>
      <c r="L1846" t="s">
        <v>582</v>
      </c>
      <c r="M1846" t="s">
        <v>588</v>
      </c>
      <c r="N1846" t="s">
        <v>601</v>
      </c>
    </row>
    <row r="1847" spans="1:14" x14ac:dyDescent="0.25">
      <c r="A1847" t="s">
        <v>90</v>
      </c>
      <c r="B1847" t="s">
        <v>223</v>
      </c>
      <c r="C1847" t="s">
        <v>383</v>
      </c>
      <c r="D1847" t="s">
        <v>426</v>
      </c>
      <c r="F1847" t="s">
        <v>443</v>
      </c>
      <c r="G1847" t="str">
        <f>HYPERLINK("https://ca.linkedin.com/jobs/view/data-administrator-data-analyst-at-hays-3369576413?refId=ovkt05RNWPwYNeLx0cAb0A%3D%3D&amp;trackingId=JwQBN5Qe%2BapfwriATAUwkw%3D%3D&amp;position=23&amp;pageNum=0&amp;trk=public_jobs_jserp-result_search-card", "Job Link")</f>
        <v>Job Link</v>
      </c>
      <c r="H1847" t="s">
        <v>478</v>
      </c>
      <c r="I1847" t="s">
        <v>481</v>
      </c>
      <c r="J1847" t="s">
        <v>486</v>
      </c>
      <c r="K1847" t="s">
        <v>518</v>
      </c>
      <c r="L1847" t="s">
        <v>583</v>
      </c>
      <c r="M1847" t="s">
        <v>610</v>
      </c>
      <c r="N1847" t="s">
        <v>601</v>
      </c>
    </row>
    <row r="1848" spans="1:14" x14ac:dyDescent="0.25">
      <c r="A1848" t="s">
        <v>91</v>
      </c>
      <c r="B1848" t="s">
        <v>224</v>
      </c>
      <c r="C1848" t="s">
        <v>384</v>
      </c>
      <c r="D1848" t="s">
        <v>426</v>
      </c>
      <c r="F1848" t="s">
        <v>431</v>
      </c>
      <c r="G1848" t="str">
        <f>HYPERLINK("https://ca.linkedin.com/jobs/view/commercial-data-analyst-at-organigram-inc-3367177254?refId=ovkt05RNWPwYNeLx0cAb0A%3D%3D&amp;trackingId=UOeeCqhnSKtUYsrjAD7Q8w%3D%3D&amp;position=24&amp;pageNum=0&amp;trk=public_jobs_jserp-result_search-card", "Job Link")</f>
        <v>Job Link</v>
      </c>
      <c r="I1848" t="s">
        <v>481</v>
      </c>
      <c r="L1848" t="s">
        <v>582</v>
      </c>
      <c r="M1848" t="s">
        <v>588</v>
      </c>
      <c r="N1848" t="s">
        <v>601</v>
      </c>
    </row>
    <row r="1849" spans="1:14" x14ac:dyDescent="0.25">
      <c r="A1849" t="s">
        <v>14</v>
      </c>
      <c r="B1849" t="s">
        <v>225</v>
      </c>
      <c r="C1849" t="s">
        <v>385</v>
      </c>
      <c r="D1849" t="s">
        <v>426</v>
      </c>
      <c r="F1849" t="s">
        <v>463</v>
      </c>
      <c r="G1849" t="str">
        <f>HYPERLINK("https://ca.linkedin.com/jobs/view/data-analyst-at-vector-institute-3325395506?refId=ovkt05RNWPwYNeLx0cAb0A%3D%3D&amp;trackingId=FoSYwwicfikVMsFv%2FQFYuA%3D%3D&amp;position=25&amp;pageNum=0&amp;trk=public_jobs_jserp-result_search-card", "Job Link")</f>
        <v>Job Link</v>
      </c>
      <c r="H1849" t="s">
        <v>478</v>
      </c>
      <c r="I1849" t="s">
        <v>481</v>
      </c>
      <c r="J1849" t="s">
        <v>486</v>
      </c>
      <c r="K1849" t="s">
        <v>520</v>
      </c>
      <c r="L1849" t="s">
        <v>582</v>
      </c>
      <c r="M1849" t="s">
        <v>588</v>
      </c>
      <c r="N1849" t="s">
        <v>601</v>
      </c>
    </row>
    <row r="1850" spans="1:14" x14ac:dyDescent="0.25">
      <c r="A1850" t="s">
        <v>14</v>
      </c>
      <c r="B1850" t="s">
        <v>207</v>
      </c>
      <c r="C1850" t="s">
        <v>362</v>
      </c>
      <c r="D1850" t="s">
        <v>426</v>
      </c>
      <c r="F1850" t="s">
        <v>463</v>
      </c>
      <c r="G1850" t="str">
        <f>HYPERLINK("https://ca.linkedin.com/jobs/view/data-analyst-at-onlia-3320897897?refId=a5iVABoR3tnuV0dks%2FxZaA%3D%3D&amp;trackingId=cwxDA3XN9U4jbyBEy5sUjQ%3D%3D&amp;position=1&amp;pageNum=0&amp;trk=public_jobs_jserp-result_search-card", "Job Link")</f>
        <v>Job Link</v>
      </c>
      <c r="H1850" t="s">
        <v>477</v>
      </c>
      <c r="I1850" t="s">
        <v>481</v>
      </c>
      <c r="J1850" t="s">
        <v>486</v>
      </c>
      <c r="K1850" t="s">
        <v>523</v>
      </c>
      <c r="L1850" t="s">
        <v>582</v>
      </c>
      <c r="M1850" t="s">
        <v>588</v>
      </c>
      <c r="N1850" t="s">
        <v>601</v>
      </c>
    </row>
    <row r="1851" spans="1:14" x14ac:dyDescent="0.25">
      <c r="A1851" t="s">
        <v>14</v>
      </c>
      <c r="B1851" t="s">
        <v>208</v>
      </c>
      <c r="C1851" t="s">
        <v>363</v>
      </c>
      <c r="D1851" t="s">
        <v>426</v>
      </c>
      <c r="F1851" t="s">
        <v>445</v>
      </c>
      <c r="G1851" t="str">
        <f>HYPERLINK("https://ca.linkedin.com/jobs/view/data-analyst-at-electronic-arts-ea-3325611825?refId=a5iVABoR3tnuV0dks%2FxZaA%3D%3D&amp;trackingId=zmlseV2snSbX3aU5k72k3Q%3D%3D&amp;position=2&amp;pageNum=0&amp;trk=public_jobs_jserp-result_search-card", "Job Link")</f>
        <v>Job Link</v>
      </c>
      <c r="H1851" t="s">
        <v>479</v>
      </c>
      <c r="I1851" t="s">
        <v>481</v>
      </c>
      <c r="J1851" t="s">
        <v>507</v>
      </c>
      <c r="K1851" t="s">
        <v>559</v>
      </c>
      <c r="L1851" t="s">
        <v>582</v>
      </c>
      <c r="M1851" t="s">
        <v>588</v>
      </c>
      <c r="N1851" t="s">
        <v>601</v>
      </c>
    </row>
    <row r="1852" spans="1:14" x14ac:dyDescent="0.25">
      <c r="A1852" t="s">
        <v>14</v>
      </c>
      <c r="B1852" t="s">
        <v>209</v>
      </c>
      <c r="C1852" t="s">
        <v>364</v>
      </c>
      <c r="D1852" t="s">
        <v>426</v>
      </c>
      <c r="F1852" t="s">
        <v>440</v>
      </c>
      <c r="G1852" t="str">
        <f>HYPERLINK("https://ca.linkedin.com/jobs/view/data-analyst-at-frostbite-3370111856?refId=a5iVABoR3tnuV0dks%2FxZaA%3D%3D&amp;trackingId=R3dec%2FCG0qSR1wKKHkmkWA%3D%3D&amp;position=3&amp;pageNum=0&amp;trk=public_jobs_jserp-result_search-card", "Job Link")</f>
        <v>Job Link</v>
      </c>
      <c r="H1852" t="s">
        <v>479</v>
      </c>
      <c r="I1852" t="s">
        <v>481</v>
      </c>
      <c r="J1852" t="s">
        <v>507</v>
      </c>
      <c r="K1852" t="s">
        <v>559</v>
      </c>
      <c r="L1852" t="s">
        <v>590</v>
      </c>
      <c r="M1852" t="s">
        <v>618</v>
      </c>
      <c r="N1852" t="s">
        <v>601</v>
      </c>
    </row>
    <row r="1853" spans="1:14" x14ac:dyDescent="0.25">
      <c r="A1853" t="s">
        <v>14</v>
      </c>
      <c r="B1853" t="s">
        <v>211</v>
      </c>
      <c r="C1853" t="s">
        <v>366</v>
      </c>
      <c r="D1853" t="s">
        <v>426</v>
      </c>
      <c r="F1853" t="s">
        <v>443</v>
      </c>
      <c r="G1853" t="str">
        <f>HYPERLINK("https://ca.linkedin.com/jobs/view/data-analyst-at-mphasis-3363428246?refId=a5iVABoR3tnuV0dks%2FxZaA%3D%3D&amp;trackingId=bVGzgxX7GtwyDFvHHyj9ZA%3D%3D&amp;position=4&amp;pageNum=0&amp;trk=public_jobs_jserp-result_search-card", "Job Link")</f>
        <v>Job Link</v>
      </c>
      <c r="H1853" t="s">
        <v>477</v>
      </c>
      <c r="I1853" t="s">
        <v>481</v>
      </c>
      <c r="J1853" t="s">
        <v>486</v>
      </c>
      <c r="K1853" t="s">
        <v>521</v>
      </c>
      <c r="L1853" t="s">
        <v>609</v>
      </c>
      <c r="M1853" t="s">
        <v>610</v>
      </c>
      <c r="N1853" t="s">
        <v>601</v>
      </c>
    </row>
    <row r="1854" spans="1:14" x14ac:dyDescent="0.25">
      <c r="A1854" t="s">
        <v>81</v>
      </c>
      <c r="B1854" t="s">
        <v>210</v>
      </c>
      <c r="C1854" t="s">
        <v>365</v>
      </c>
      <c r="D1854" t="s">
        <v>426</v>
      </c>
      <c r="F1854" t="s">
        <v>436</v>
      </c>
      <c r="G1854" t="str">
        <f>HYPERLINK("https://ca.linkedin.com/jobs/view/data-analyst-c117-at-mitsubishi-motor-sales-of-canada-inc-3344852931?refId=a5iVABoR3tnuV0dks%2FxZaA%3D%3D&amp;trackingId=qfQYhKF%2BlhyrocS32E3BoA%3D%3D&amp;position=5&amp;pageNum=0&amp;trk=public_jobs_jserp-result_search-card", "Job Link")</f>
        <v>Job Link</v>
      </c>
      <c r="H1854" t="s">
        <v>477</v>
      </c>
      <c r="I1854" t="s">
        <v>481</v>
      </c>
      <c r="J1854" t="s">
        <v>508</v>
      </c>
      <c r="K1854" t="s">
        <v>561</v>
      </c>
      <c r="L1854" t="s">
        <v>584</v>
      </c>
      <c r="M1854" t="s">
        <v>588</v>
      </c>
      <c r="N1854" t="s">
        <v>601</v>
      </c>
    </row>
    <row r="1855" spans="1:14" x14ac:dyDescent="0.25">
      <c r="A1855" t="s">
        <v>14</v>
      </c>
      <c r="B1855" t="s">
        <v>150</v>
      </c>
      <c r="C1855" t="s">
        <v>367</v>
      </c>
      <c r="D1855" t="s">
        <v>426</v>
      </c>
      <c r="F1855" t="s">
        <v>433</v>
      </c>
      <c r="G1855" t="str">
        <f>HYPERLINK("https://ca.linkedin.com/jobs/view/data-analyst-at-synechron-3348329085?refId=a5iVABoR3tnuV0dks%2FxZaA%3D%3D&amp;trackingId=8Lov5HXIXUJg11X1gTw8CQ%3D%3D&amp;position=6&amp;pageNum=0&amp;trk=public_jobs_jserp-result_search-card", "Job Link")</f>
        <v>Job Link</v>
      </c>
      <c r="H1855" t="s">
        <v>478</v>
      </c>
      <c r="I1855" t="s">
        <v>481</v>
      </c>
      <c r="J1855" t="s">
        <v>486</v>
      </c>
      <c r="K1855" t="s">
        <v>562</v>
      </c>
      <c r="L1855" t="s">
        <v>584</v>
      </c>
      <c r="M1855" t="s">
        <v>588</v>
      </c>
      <c r="N1855" t="s">
        <v>601</v>
      </c>
    </row>
    <row r="1856" spans="1:14" x14ac:dyDescent="0.25">
      <c r="A1856" t="s">
        <v>82</v>
      </c>
      <c r="B1856" t="s">
        <v>179</v>
      </c>
      <c r="C1856" t="s">
        <v>368</v>
      </c>
      <c r="D1856" t="s">
        <v>426</v>
      </c>
      <c r="F1856" t="s">
        <v>471</v>
      </c>
      <c r="G1856" t="str">
        <f>HYPERLINK("https://ca.linkedin.com/jobs/view/business-data-analyst-at-capgemini-3327624663?refId=a5iVABoR3tnuV0dks%2FxZaA%3D%3D&amp;trackingId=rD85uMbn8FTJY%2BWeSkJmcQ%3D%3D&amp;position=7&amp;pageNum=0&amp;trk=public_jobs_jserp-result_search-card", "Job Link")</f>
        <v>Job Link</v>
      </c>
      <c r="H1856" t="s">
        <v>478</v>
      </c>
      <c r="I1856" t="s">
        <v>481</v>
      </c>
      <c r="J1856" t="s">
        <v>486</v>
      </c>
      <c r="K1856" t="s">
        <v>521</v>
      </c>
      <c r="L1856" t="s">
        <v>611</v>
      </c>
      <c r="M1856" t="s">
        <v>601</v>
      </c>
    </row>
    <row r="1857" spans="1:14" x14ac:dyDescent="0.25">
      <c r="A1857" t="s">
        <v>14</v>
      </c>
      <c r="B1857" t="s">
        <v>150</v>
      </c>
      <c r="C1857" t="s">
        <v>369</v>
      </c>
      <c r="D1857" t="s">
        <v>426</v>
      </c>
      <c r="F1857" t="s">
        <v>460</v>
      </c>
      <c r="G1857" t="str">
        <f>HYPERLINK("https://ca.linkedin.com/jobs/view/data-analyst-at-synechron-3364863079?refId=a5iVABoR3tnuV0dks%2FxZaA%3D%3D&amp;trackingId=6KDT1lPYTAWfQjaEVh7hAA%3D%3D&amp;position=8&amp;pageNum=0&amp;trk=public_jobs_jserp-result_search-card", "Job Link")</f>
        <v>Job Link</v>
      </c>
      <c r="H1857" t="s">
        <v>478</v>
      </c>
      <c r="I1857" t="s">
        <v>481</v>
      </c>
      <c r="J1857" t="s">
        <v>486</v>
      </c>
      <c r="K1857" t="s">
        <v>563</v>
      </c>
      <c r="L1857" t="s">
        <v>584</v>
      </c>
      <c r="M1857" t="s">
        <v>588</v>
      </c>
      <c r="N1857" t="s">
        <v>601</v>
      </c>
    </row>
    <row r="1858" spans="1:14" x14ac:dyDescent="0.25">
      <c r="A1858" t="s">
        <v>14</v>
      </c>
      <c r="B1858" t="s">
        <v>150</v>
      </c>
      <c r="C1858" t="s">
        <v>367</v>
      </c>
      <c r="D1858" t="s">
        <v>426</v>
      </c>
      <c r="F1858" t="s">
        <v>460</v>
      </c>
      <c r="G1858" t="str">
        <f>HYPERLINK("https://ca.linkedin.com/jobs/view/data-analyst-at-synechron-3361756851?refId=a5iVABoR3tnuV0dks%2FxZaA%3D%3D&amp;trackingId=dWp5X%2BG98GhyiR%2FHgfZPJw%3D%3D&amp;position=9&amp;pageNum=0&amp;trk=public_jobs_jserp-result_search-card", "Job Link")</f>
        <v>Job Link</v>
      </c>
      <c r="H1858" t="s">
        <v>478</v>
      </c>
      <c r="I1858" t="s">
        <v>481</v>
      </c>
      <c r="J1858" t="s">
        <v>486</v>
      </c>
      <c r="K1858" t="s">
        <v>562</v>
      </c>
      <c r="L1858" t="s">
        <v>584</v>
      </c>
      <c r="M1858" t="s">
        <v>588</v>
      </c>
      <c r="N1858" t="s">
        <v>601</v>
      </c>
    </row>
    <row r="1859" spans="1:14" x14ac:dyDescent="0.25">
      <c r="A1859" t="s">
        <v>14</v>
      </c>
      <c r="B1859" t="s">
        <v>212</v>
      </c>
      <c r="C1859" t="s">
        <v>370</v>
      </c>
      <c r="D1859" t="s">
        <v>426</v>
      </c>
      <c r="F1859" t="s">
        <v>432</v>
      </c>
      <c r="G1859" t="str">
        <f>HYPERLINK("https://ca.linkedin.com/jobs/view/data-analyst-at-agilus-work-solutions-3358673093?refId=a5iVABoR3tnuV0dks%2FxZaA%3D%3D&amp;trackingId=RvtfrfHlwqTSrwt3D6z%2B1Q%3D%3D&amp;position=10&amp;pageNum=0&amp;trk=public_jobs_jserp-result_search-card", "Job Link")</f>
        <v>Job Link</v>
      </c>
      <c r="H1859" t="s">
        <v>477</v>
      </c>
      <c r="I1859" t="s">
        <v>483</v>
      </c>
      <c r="J1859" t="s">
        <v>486</v>
      </c>
      <c r="K1859" t="s">
        <v>518</v>
      </c>
      <c r="L1859" t="s">
        <v>582</v>
      </c>
      <c r="M1859" t="s">
        <v>588</v>
      </c>
      <c r="N1859" t="s">
        <v>601</v>
      </c>
    </row>
    <row r="1860" spans="1:14" x14ac:dyDescent="0.25">
      <c r="A1860" t="s">
        <v>14</v>
      </c>
      <c r="B1860" t="s">
        <v>214</v>
      </c>
      <c r="C1860" t="s">
        <v>372</v>
      </c>
      <c r="D1860" t="s">
        <v>426</v>
      </c>
      <c r="F1860" t="s">
        <v>432</v>
      </c>
      <c r="G1860" t="str">
        <f>HYPERLINK("https://ca.linkedin.com/jobs/view/data-analyst-at-goeasy-ltd-3358677253?refId=a5iVABoR3tnuV0dks%2FxZaA%3D%3D&amp;trackingId=0oJwTkM2eBQRoCrV6%2BC5Zw%3D%3D&amp;position=11&amp;pageNum=0&amp;trk=public_jobs_jserp-result_search-card", "Job Link")</f>
        <v>Job Link</v>
      </c>
      <c r="H1860" t="s">
        <v>476</v>
      </c>
      <c r="I1860" t="s">
        <v>481</v>
      </c>
      <c r="J1860" t="s">
        <v>486</v>
      </c>
      <c r="K1860" t="s">
        <v>550</v>
      </c>
      <c r="L1860" t="s">
        <v>584</v>
      </c>
      <c r="M1860" t="s">
        <v>588</v>
      </c>
      <c r="N1860" t="s">
        <v>601</v>
      </c>
    </row>
    <row r="1861" spans="1:14" x14ac:dyDescent="0.25">
      <c r="A1861" t="s">
        <v>14</v>
      </c>
      <c r="B1861" t="s">
        <v>213</v>
      </c>
      <c r="C1861" t="s">
        <v>371</v>
      </c>
      <c r="D1861" t="s">
        <v>426</v>
      </c>
      <c r="F1861" t="s">
        <v>472</v>
      </c>
      <c r="G1861" t="str">
        <f>HYPERLINK("https://ca.linkedin.com/jobs/view/data-analyst-at-linkus-group-3345817125?refId=a5iVABoR3tnuV0dks%2FxZaA%3D%3D&amp;trackingId=6Rp8jn7sjYt400WXTD%2BoDg%3D%3D&amp;position=12&amp;pageNum=0&amp;trk=public_jobs_jserp-result_search-card", "Job Link")</f>
        <v>Job Link</v>
      </c>
      <c r="H1861" t="s">
        <v>476</v>
      </c>
      <c r="I1861" t="s">
        <v>481</v>
      </c>
      <c r="J1861" t="s">
        <v>486</v>
      </c>
      <c r="K1861" t="s">
        <v>518</v>
      </c>
      <c r="L1861" t="s">
        <v>588</v>
      </c>
      <c r="M1861" t="s">
        <v>601</v>
      </c>
    </row>
    <row r="1862" spans="1:14" x14ac:dyDescent="0.25">
      <c r="A1862" t="s">
        <v>83</v>
      </c>
      <c r="B1862" t="s">
        <v>215</v>
      </c>
      <c r="C1862" t="s">
        <v>373</v>
      </c>
      <c r="D1862" t="s">
        <v>426</v>
      </c>
      <c r="F1862" t="s">
        <v>462</v>
      </c>
      <c r="G1862">
        <v>0</v>
      </c>
      <c r="H1862" t="s">
        <v>478</v>
      </c>
      <c r="I1862" t="s">
        <v>483</v>
      </c>
      <c r="J1862" t="s">
        <v>509</v>
      </c>
      <c r="K1862" t="s">
        <v>550</v>
      </c>
      <c r="L1862" t="s">
        <v>584</v>
      </c>
      <c r="M1862" t="s">
        <v>588</v>
      </c>
      <c r="N1862" t="s">
        <v>601</v>
      </c>
    </row>
    <row r="1863" spans="1:14" x14ac:dyDescent="0.25">
      <c r="A1863" t="s">
        <v>91</v>
      </c>
      <c r="B1863" t="s">
        <v>224</v>
      </c>
      <c r="C1863" t="s">
        <v>384</v>
      </c>
      <c r="D1863" t="s">
        <v>426</v>
      </c>
      <c r="F1863" t="s">
        <v>431</v>
      </c>
      <c r="G1863" t="str">
        <f>HYPERLINK("https://ca.linkedin.com/jobs/view/commercial-data-analyst-at-organigram-inc-3367177254?refId=a5iVABoR3tnuV0dks%2FxZaA%3D%3D&amp;trackingId=Ma67DIbJQOuKG9wyftzOcw%3D%3D&amp;position=14&amp;pageNum=0&amp;trk=public_jobs_jserp-result_search-card", "Job Link")</f>
        <v>Job Link</v>
      </c>
      <c r="I1863" t="s">
        <v>481</v>
      </c>
      <c r="L1863" t="s">
        <v>582</v>
      </c>
      <c r="M1863" t="s">
        <v>588</v>
      </c>
      <c r="N1863" t="s">
        <v>601</v>
      </c>
    </row>
    <row r="1864" spans="1:14" x14ac:dyDescent="0.25">
      <c r="A1864" t="s">
        <v>20</v>
      </c>
      <c r="B1864" t="s">
        <v>207</v>
      </c>
      <c r="C1864" t="s">
        <v>374</v>
      </c>
      <c r="D1864" t="s">
        <v>426</v>
      </c>
      <c r="F1864" t="s">
        <v>463</v>
      </c>
      <c r="G1864" t="str">
        <f>HYPERLINK("https://ca.linkedin.com/jobs/view/senior-data-analyst-at-onlia-3320897882?refId=a5iVABoR3tnuV0dks%2FxZaA%3D%3D&amp;trackingId=YObB6O%2BS8H1WgXFox%2BU52g%3D%3D&amp;position=15&amp;pageNum=0&amp;trk=public_jobs_jserp-result_search-card", "Job Link")</f>
        <v>Job Link</v>
      </c>
      <c r="H1864" t="s">
        <v>477</v>
      </c>
      <c r="I1864" t="s">
        <v>481</v>
      </c>
      <c r="J1864" t="s">
        <v>486</v>
      </c>
      <c r="K1864" t="s">
        <v>523</v>
      </c>
      <c r="L1864" t="s">
        <v>582</v>
      </c>
      <c r="M1864" t="s">
        <v>588</v>
      </c>
      <c r="N1864" t="s">
        <v>601</v>
      </c>
    </row>
    <row r="1865" spans="1:14" x14ac:dyDescent="0.25">
      <c r="A1865" t="s">
        <v>84</v>
      </c>
      <c r="B1865" t="s">
        <v>216</v>
      </c>
      <c r="C1865" t="s">
        <v>375</v>
      </c>
      <c r="D1865" t="s">
        <v>426</v>
      </c>
      <c r="F1865" t="s">
        <v>452</v>
      </c>
      <c r="G1865" t="str">
        <f>HYPERLINK("https://ca.linkedin.com/jobs/view/data-analyst-hybrid-at-xylem-3335088701?refId=a5iVABoR3tnuV0dks%2FxZaA%3D%3D&amp;trackingId=tb2m94PmY734scf%2B219fFQ%3D%3D&amp;position=16&amp;pageNum=0&amp;trk=public_jobs_jserp-result_search-card", "Job Link")</f>
        <v>Job Link</v>
      </c>
      <c r="H1865" t="s">
        <v>476</v>
      </c>
      <c r="I1865" t="s">
        <v>481</v>
      </c>
      <c r="J1865" t="s">
        <v>486</v>
      </c>
      <c r="K1865" t="s">
        <v>564</v>
      </c>
      <c r="L1865" t="s">
        <v>584</v>
      </c>
      <c r="M1865" t="s">
        <v>588</v>
      </c>
      <c r="N1865" t="s">
        <v>601</v>
      </c>
    </row>
    <row r="1866" spans="1:14" x14ac:dyDescent="0.25">
      <c r="A1866" t="s">
        <v>85</v>
      </c>
      <c r="B1866" t="s">
        <v>217</v>
      </c>
      <c r="C1866" t="s">
        <v>376</v>
      </c>
      <c r="D1866" t="s">
        <v>426</v>
      </c>
      <c r="F1866" t="s">
        <v>473</v>
      </c>
      <c r="G1866" t="str">
        <f>HYPERLINK("https://ca.linkedin.com/jobs/view/data-analyst-python-sql-at-geotab-3341823745?refId=a5iVABoR3tnuV0dks%2FxZaA%3D%3D&amp;trackingId=%2FytIlHXe4GORt%2FANMFVM2A%3D%3D&amp;position=17&amp;pageNum=0&amp;trk=public_jobs_jserp-result_search-card", "Job Link")</f>
        <v>Job Link</v>
      </c>
      <c r="H1866" t="s">
        <v>479</v>
      </c>
      <c r="I1866" t="s">
        <v>481</v>
      </c>
      <c r="J1866" t="s">
        <v>486</v>
      </c>
      <c r="K1866" t="s">
        <v>521</v>
      </c>
      <c r="L1866" t="s">
        <v>612</v>
      </c>
      <c r="M1866" t="s">
        <v>588</v>
      </c>
      <c r="N1866" t="s">
        <v>601</v>
      </c>
    </row>
    <row r="1867" spans="1:14" x14ac:dyDescent="0.25">
      <c r="A1867" t="s">
        <v>86</v>
      </c>
      <c r="B1867" t="s">
        <v>167</v>
      </c>
      <c r="C1867" t="s">
        <v>377</v>
      </c>
      <c r="D1867" t="s">
        <v>426</v>
      </c>
      <c r="F1867" t="s">
        <v>454</v>
      </c>
      <c r="G1867" t="str">
        <f>HYPERLINK("https://ca.linkedin.com/jobs/view/data-analyst-reporting-at-thescore-3345941286?refId=a5iVABoR3tnuV0dks%2FxZaA%3D%3D&amp;trackingId=zJC%2BujBy1HuEb8RSR%2BGzCQ%3D%3D&amp;position=18&amp;pageNum=0&amp;trk=public_jobs_jserp-result_search-card", "Job Link")</f>
        <v>Job Link</v>
      </c>
      <c r="H1867" t="s">
        <v>476</v>
      </c>
      <c r="I1867" t="s">
        <v>481</v>
      </c>
      <c r="J1867" t="s">
        <v>486</v>
      </c>
      <c r="K1867" t="s">
        <v>545</v>
      </c>
      <c r="L1867" t="s">
        <v>582</v>
      </c>
      <c r="M1867" t="s">
        <v>588</v>
      </c>
      <c r="N1867" t="s">
        <v>601</v>
      </c>
    </row>
    <row r="1868" spans="1:14" x14ac:dyDescent="0.25">
      <c r="A1868" t="s">
        <v>87</v>
      </c>
      <c r="B1868" t="s">
        <v>218</v>
      </c>
      <c r="C1868" t="s">
        <v>378</v>
      </c>
      <c r="D1868" t="s">
        <v>426</v>
      </c>
      <c r="F1868" t="s">
        <v>432</v>
      </c>
      <c r="G1868">
        <v>0</v>
      </c>
      <c r="H1868" t="s">
        <v>478</v>
      </c>
      <c r="I1868" t="s">
        <v>483</v>
      </c>
      <c r="J1868" t="s">
        <v>486</v>
      </c>
      <c r="K1868" t="s">
        <v>521</v>
      </c>
      <c r="L1868" t="s">
        <v>582</v>
      </c>
      <c r="M1868" t="s">
        <v>588</v>
      </c>
      <c r="N1868" t="s">
        <v>601</v>
      </c>
    </row>
    <row r="1869" spans="1:14" x14ac:dyDescent="0.25">
      <c r="A1869" t="s">
        <v>90</v>
      </c>
      <c r="B1869" t="s">
        <v>223</v>
      </c>
      <c r="C1869" t="s">
        <v>383</v>
      </c>
      <c r="D1869" t="s">
        <v>426</v>
      </c>
      <c r="F1869" t="s">
        <v>443</v>
      </c>
      <c r="G1869" t="str">
        <f>HYPERLINK("https://ca.linkedin.com/jobs/view/data-administrator-data-analyst-at-hays-3369576413?refId=a5iVABoR3tnuV0dks%2FxZaA%3D%3D&amp;trackingId=qxpqD5FG58szakP1vbk14w%3D%3D&amp;position=20&amp;pageNum=0&amp;trk=public_jobs_jserp-result_search-card", "Job Link")</f>
        <v>Job Link</v>
      </c>
      <c r="H1869" t="s">
        <v>478</v>
      </c>
      <c r="I1869" t="s">
        <v>481</v>
      </c>
      <c r="J1869" t="s">
        <v>486</v>
      </c>
      <c r="K1869" t="s">
        <v>518</v>
      </c>
      <c r="L1869" t="s">
        <v>583</v>
      </c>
      <c r="M1869" t="s">
        <v>610</v>
      </c>
      <c r="N1869" t="s">
        <v>601</v>
      </c>
    </row>
    <row r="1870" spans="1:14" x14ac:dyDescent="0.25">
      <c r="A1870" t="s">
        <v>88</v>
      </c>
      <c r="B1870" t="s">
        <v>219</v>
      </c>
      <c r="C1870" t="s">
        <v>379</v>
      </c>
      <c r="D1870" t="s">
        <v>426</v>
      </c>
      <c r="F1870" t="s">
        <v>454</v>
      </c>
      <c r="G1870" t="str">
        <f>HYPERLINK("https://ca.linkedin.com/jobs/view/data-analyst-flight-pricing-optimization-at-priceline-3345993633?refId=a5iVABoR3tnuV0dks%2FxZaA%3D%3D&amp;trackingId=ahd9qh7hJNVZbzsaX%2BohSQ%3D%3D&amp;position=21&amp;pageNum=0&amp;trk=public_jobs_jserp-result_search-card", "Job Link")</f>
        <v>Job Link</v>
      </c>
      <c r="H1870" t="s">
        <v>476</v>
      </c>
      <c r="I1870" t="s">
        <v>481</v>
      </c>
      <c r="J1870" t="s">
        <v>486</v>
      </c>
      <c r="K1870" t="s">
        <v>565</v>
      </c>
      <c r="L1870" t="s">
        <v>582</v>
      </c>
      <c r="M1870" t="s">
        <v>588</v>
      </c>
      <c r="N1870" t="s">
        <v>601</v>
      </c>
    </row>
    <row r="1871" spans="1:14" x14ac:dyDescent="0.25">
      <c r="A1871" t="s">
        <v>89</v>
      </c>
      <c r="B1871" t="s">
        <v>221</v>
      </c>
      <c r="C1871" t="s">
        <v>381</v>
      </c>
      <c r="D1871" t="s">
        <v>426</v>
      </c>
      <c r="F1871" t="s">
        <v>461</v>
      </c>
      <c r="G1871">
        <v>0</v>
      </c>
      <c r="H1871" t="s">
        <v>476</v>
      </c>
      <c r="I1871" t="s">
        <v>481</v>
      </c>
      <c r="J1871" t="s">
        <v>488</v>
      </c>
      <c r="K1871" t="s">
        <v>566</v>
      </c>
      <c r="L1871" t="s">
        <v>582</v>
      </c>
      <c r="M1871" t="s">
        <v>588</v>
      </c>
      <c r="N1871" t="s">
        <v>601</v>
      </c>
    </row>
    <row r="1872" spans="1:14" x14ac:dyDescent="0.25">
      <c r="A1872" t="s">
        <v>14</v>
      </c>
      <c r="B1872" t="s">
        <v>222</v>
      </c>
      <c r="C1872" t="s">
        <v>382</v>
      </c>
      <c r="D1872" t="s">
        <v>426</v>
      </c>
      <c r="F1872" t="s">
        <v>431</v>
      </c>
      <c r="G1872" t="str">
        <f>HYPERLINK("https://ca.linkedin.com/jobs/view/data-analyst-at-circle-k-3367192655?refId=a5iVABoR3tnuV0dks%2FxZaA%3D%3D&amp;trackingId=woyecsPUPidYioPLimndtw%3D%3D&amp;position=23&amp;pageNum=0&amp;trk=public_jobs_jserp-result_search-card", "Job Link")</f>
        <v>Job Link</v>
      </c>
      <c r="H1872" t="s">
        <v>476</v>
      </c>
      <c r="I1872" t="s">
        <v>481</v>
      </c>
      <c r="J1872" t="s">
        <v>486</v>
      </c>
      <c r="K1872" t="s">
        <v>567</v>
      </c>
      <c r="L1872" t="s">
        <v>582</v>
      </c>
      <c r="M1872" t="s">
        <v>588</v>
      </c>
      <c r="N1872" t="s">
        <v>601</v>
      </c>
    </row>
    <row r="1873" spans="1:14" x14ac:dyDescent="0.25">
      <c r="A1873" t="s">
        <v>14</v>
      </c>
      <c r="B1873" t="s">
        <v>225</v>
      </c>
      <c r="C1873" t="s">
        <v>385</v>
      </c>
      <c r="D1873" t="s">
        <v>426</v>
      </c>
      <c r="F1873" t="s">
        <v>463</v>
      </c>
      <c r="G1873" t="str">
        <f>HYPERLINK("https://ca.linkedin.com/jobs/view/data-analyst-at-vector-institute-3325395506?refId=a5iVABoR3tnuV0dks%2FxZaA%3D%3D&amp;trackingId=c%2BLXnmbvJgfW4sXzGchsnw%3D%3D&amp;position=24&amp;pageNum=0&amp;trk=public_jobs_jserp-result_search-card", "Job Link")</f>
        <v>Job Link</v>
      </c>
      <c r="H1873" t="s">
        <v>478</v>
      </c>
      <c r="I1873" t="s">
        <v>481</v>
      </c>
      <c r="J1873" t="s">
        <v>486</v>
      </c>
      <c r="K1873" t="s">
        <v>520</v>
      </c>
      <c r="L1873" t="s">
        <v>582</v>
      </c>
      <c r="M1873" t="s">
        <v>588</v>
      </c>
      <c r="N1873" t="s">
        <v>601</v>
      </c>
    </row>
    <row r="1874" spans="1:14" x14ac:dyDescent="0.25">
      <c r="A1874" t="s">
        <v>14</v>
      </c>
      <c r="B1874" t="s">
        <v>226</v>
      </c>
      <c r="C1874" t="s">
        <v>386</v>
      </c>
      <c r="D1874" t="s">
        <v>426</v>
      </c>
      <c r="F1874" t="s">
        <v>474</v>
      </c>
      <c r="G1874" t="str">
        <f>HYPERLINK("https://ca.linkedin.com/jobs/view/data-analyst-at-gsl-group-3334387645?refId=a5iVABoR3tnuV0dks%2FxZaA%3D%3D&amp;trackingId=NEHBxA0BQRbOcXD57VjRWw%3D%3D&amp;position=25&amp;pageNum=0&amp;trk=public_jobs_jserp-result_search-card", "Job Link")</f>
        <v>Job Link</v>
      </c>
      <c r="H1874" t="s">
        <v>476</v>
      </c>
      <c r="I1874" t="s">
        <v>481</v>
      </c>
      <c r="J1874" t="s">
        <v>486</v>
      </c>
      <c r="K1874" t="s">
        <v>568</v>
      </c>
      <c r="L1874" t="s">
        <v>590</v>
      </c>
      <c r="M1874" t="s">
        <v>618</v>
      </c>
      <c r="N1874" t="s">
        <v>601</v>
      </c>
    </row>
    <row r="1875" spans="1:14" x14ac:dyDescent="0.25">
      <c r="A1875" t="s">
        <v>14</v>
      </c>
      <c r="B1875" t="s">
        <v>207</v>
      </c>
      <c r="C1875" t="s">
        <v>362</v>
      </c>
      <c r="D1875" t="s">
        <v>426</v>
      </c>
      <c r="F1875" t="s">
        <v>463</v>
      </c>
      <c r="G1875" t="str">
        <f>HYPERLINK("https://ca.linkedin.com/jobs/view/data-analyst-at-onlia-3320897897?refId=%2BlQjdMph3kuMRAPl36xwdg%3D%3D&amp;trackingId=Ae2ZSMo5Ew1rAc18Eh3UnA%3D%3D&amp;position=1&amp;pageNum=0&amp;trk=public_jobs_jserp-result_search-card", "Job Link")</f>
        <v>Job Link</v>
      </c>
      <c r="H1875" t="s">
        <v>477</v>
      </c>
      <c r="I1875" t="s">
        <v>481</v>
      </c>
      <c r="J1875" t="s">
        <v>486</v>
      </c>
      <c r="K1875" t="s">
        <v>523</v>
      </c>
      <c r="L1875" t="s">
        <v>582</v>
      </c>
      <c r="M1875" t="s">
        <v>588</v>
      </c>
      <c r="N1875" t="s">
        <v>601</v>
      </c>
    </row>
    <row r="1876" spans="1:14" x14ac:dyDescent="0.25">
      <c r="A1876" t="s">
        <v>14</v>
      </c>
      <c r="B1876" t="s">
        <v>208</v>
      </c>
      <c r="C1876" t="s">
        <v>363</v>
      </c>
      <c r="D1876" t="s">
        <v>426</v>
      </c>
      <c r="F1876" t="s">
        <v>445</v>
      </c>
      <c r="G1876" t="str">
        <f>HYPERLINK("https://ca.linkedin.com/jobs/view/data-analyst-at-electronic-arts-ea-3325611825?refId=%2BlQjdMph3kuMRAPl36xwdg%3D%3D&amp;trackingId=kLboavX8vrHH39gZhNwo4Q%3D%3D&amp;position=2&amp;pageNum=0&amp;trk=public_jobs_jserp-result_search-card", "Job Link")</f>
        <v>Job Link</v>
      </c>
      <c r="H1876" t="s">
        <v>479</v>
      </c>
      <c r="I1876" t="s">
        <v>481</v>
      </c>
      <c r="J1876" t="s">
        <v>507</v>
      </c>
      <c r="K1876" t="s">
        <v>559</v>
      </c>
      <c r="L1876" t="s">
        <v>582</v>
      </c>
      <c r="M1876" t="s">
        <v>588</v>
      </c>
      <c r="N1876" t="s">
        <v>601</v>
      </c>
    </row>
    <row r="1877" spans="1:14" x14ac:dyDescent="0.25">
      <c r="A1877" t="s">
        <v>14</v>
      </c>
      <c r="B1877" t="s">
        <v>209</v>
      </c>
      <c r="C1877" t="s">
        <v>364</v>
      </c>
      <c r="D1877" t="s">
        <v>426</v>
      </c>
      <c r="F1877" t="s">
        <v>440</v>
      </c>
      <c r="G1877" t="str">
        <f>HYPERLINK("https://ca.linkedin.com/jobs/view/data-analyst-at-frostbite-3370111856?refId=%2BlQjdMph3kuMRAPl36xwdg%3D%3D&amp;trackingId=4xNi7FHk%2Fz9n1nhDwme%2Fdg%3D%3D&amp;position=3&amp;pageNum=0&amp;trk=public_jobs_jserp-result_search-card", "Job Link")</f>
        <v>Job Link</v>
      </c>
      <c r="H1877" t="s">
        <v>479</v>
      </c>
      <c r="I1877" t="s">
        <v>481</v>
      </c>
      <c r="J1877" t="s">
        <v>507</v>
      </c>
      <c r="K1877" t="s">
        <v>559</v>
      </c>
      <c r="L1877" t="s">
        <v>590</v>
      </c>
      <c r="M1877" t="s">
        <v>618</v>
      </c>
      <c r="N1877" t="s">
        <v>601</v>
      </c>
    </row>
    <row r="1878" spans="1:14" x14ac:dyDescent="0.25">
      <c r="A1878" t="s">
        <v>14</v>
      </c>
      <c r="B1878" t="s">
        <v>211</v>
      </c>
      <c r="C1878" t="s">
        <v>366</v>
      </c>
      <c r="D1878" t="s">
        <v>426</v>
      </c>
      <c r="F1878" t="s">
        <v>443</v>
      </c>
      <c r="G1878" t="str">
        <f>HYPERLINK("https://ca.linkedin.com/jobs/view/data-analyst-at-mphasis-3363428246?refId=%2BlQjdMph3kuMRAPl36xwdg%3D%3D&amp;trackingId=tQmNlEceog2w0tnFIyR5%2FQ%3D%3D&amp;position=4&amp;pageNum=0&amp;trk=public_jobs_jserp-result_search-card", "Job Link")</f>
        <v>Job Link</v>
      </c>
      <c r="H1878" t="s">
        <v>477</v>
      </c>
      <c r="I1878" t="s">
        <v>481</v>
      </c>
      <c r="J1878" t="s">
        <v>486</v>
      </c>
      <c r="K1878" t="s">
        <v>521</v>
      </c>
      <c r="L1878" t="s">
        <v>609</v>
      </c>
      <c r="M1878" t="s">
        <v>610</v>
      </c>
      <c r="N1878" t="s">
        <v>601</v>
      </c>
    </row>
    <row r="1879" spans="1:14" x14ac:dyDescent="0.25">
      <c r="A1879" t="s">
        <v>81</v>
      </c>
      <c r="B1879" t="s">
        <v>210</v>
      </c>
      <c r="C1879" t="s">
        <v>365</v>
      </c>
      <c r="D1879" t="s">
        <v>426</v>
      </c>
      <c r="F1879" t="s">
        <v>436</v>
      </c>
      <c r="G1879" t="str">
        <f>HYPERLINK("https://ca.linkedin.com/jobs/view/data-analyst-c117-at-mitsubishi-motor-sales-of-canada-inc-3344852931?refId=%2BlQjdMph3kuMRAPl36xwdg%3D%3D&amp;trackingId=io9NjY9wrrjTXVGnl4KU1Q%3D%3D&amp;position=5&amp;pageNum=0&amp;trk=public_jobs_jserp-result_search-card", "Job Link")</f>
        <v>Job Link</v>
      </c>
      <c r="H1879" t="s">
        <v>477</v>
      </c>
      <c r="I1879" t="s">
        <v>481</v>
      </c>
      <c r="J1879" t="s">
        <v>508</v>
      </c>
      <c r="K1879" t="s">
        <v>561</v>
      </c>
      <c r="L1879" t="s">
        <v>584</v>
      </c>
      <c r="M1879" t="s">
        <v>588</v>
      </c>
      <c r="N1879" t="s">
        <v>601</v>
      </c>
    </row>
    <row r="1880" spans="1:14" x14ac:dyDescent="0.25">
      <c r="A1880" t="s">
        <v>14</v>
      </c>
      <c r="B1880" t="s">
        <v>150</v>
      </c>
      <c r="C1880" t="s">
        <v>367</v>
      </c>
      <c r="D1880" t="s">
        <v>426</v>
      </c>
      <c r="F1880" t="s">
        <v>433</v>
      </c>
      <c r="G1880" t="str">
        <f>HYPERLINK("https://ca.linkedin.com/jobs/view/data-analyst-at-synechron-3348329085?refId=%2BlQjdMph3kuMRAPl36xwdg%3D%3D&amp;trackingId=dsQUNtDp6NeZ7wOtUkBTkA%3D%3D&amp;position=6&amp;pageNum=0&amp;trk=public_jobs_jserp-result_search-card", "Job Link")</f>
        <v>Job Link</v>
      </c>
      <c r="H1880" t="s">
        <v>478</v>
      </c>
      <c r="I1880" t="s">
        <v>481</v>
      </c>
      <c r="J1880" t="s">
        <v>486</v>
      </c>
      <c r="K1880" t="s">
        <v>562</v>
      </c>
      <c r="L1880" t="s">
        <v>584</v>
      </c>
      <c r="M1880" t="s">
        <v>588</v>
      </c>
      <c r="N1880" t="s">
        <v>601</v>
      </c>
    </row>
    <row r="1881" spans="1:14" x14ac:dyDescent="0.25">
      <c r="A1881" t="s">
        <v>82</v>
      </c>
      <c r="B1881" t="s">
        <v>179</v>
      </c>
      <c r="C1881" t="s">
        <v>368</v>
      </c>
      <c r="D1881" t="s">
        <v>426</v>
      </c>
      <c r="F1881" t="s">
        <v>471</v>
      </c>
      <c r="G1881" t="str">
        <f>HYPERLINK("https://ca.linkedin.com/jobs/view/business-data-analyst-at-capgemini-3327624663?refId=%2BlQjdMph3kuMRAPl36xwdg%3D%3D&amp;trackingId=DhUlcpwiGC7Hc%2BXk3WI1Jw%3D%3D&amp;position=7&amp;pageNum=0&amp;trk=public_jobs_jserp-result_search-card", "Job Link")</f>
        <v>Job Link</v>
      </c>
      <c r="H1881" t="s">
        <v>478</v>
      </c>
      <c r="I1881" t="s">
        <v>481</v>
      </c>
      <c r="J1881" t="s">
        <v>486</v>
      </c>
      <c r="K1881" t="s">
        <v>521</v>
      </c>
      <c r="L1881" t="s">
        <v>611</v>
      </c>
      <c r="M1881" t="s">
        <v>601</v>
      </c>
    </row>
    <row r="1882" spans="1:14" x14ac:dyDescent="0.25">
      <c r="A1882" t="s">
        <v>14</v>
      </c>
      <c r="B1882" t="s">
        <v>150</v>
      </c>
      <c r="C1882" t="s">
        <v>369</v>
      </c>
      <c r="D1882" t="s">
        <v>426</v>
      </c>
      <c r="F1882" t="s">
        <v>460</v>
      </c>
      <c r="G1882" t="str">
        <f>HYPERLINK("https://ca.linkedin.com/jobs/view/data-analyst-at-synechron-3364863079?refId=%2BlQjdMph3kuMRAPl36xwdg%3D%3D&amp;trackingId=xPtqjPi1bT8FHJNLVIWkQg%3D%3D&amp;position=8&amp;pageNum=0&amp;trk=public_jobs_jserp-result_search-card", "Job Link")</f>
        <v>Job Link</v>
      </c>
      <c r="H1882" t="s">
        <v>478</v>
      </c>
      <c r="I1882" t="s">
        <v>481</v>
      </c>
      <c r="J1882" t="s">
        <v>486</v>
      </c>
      <c r="K1882" t="s">
        <v>563</v>
      </c>
      <c r="L1882" t="s">
        <v>584</v>
      </c>
      <c r="M1882" t="s">
        <v>588</v>
      </c>
      <c r="N1882" t="s">
        <v>601</v>
      </c>
    </row>
    <row r="1883" spans="1:14" x14ac:dyDescent="0.25">
      <c r="A1883" t="s">
        <v>14</v>
      </c>
      <c r="B1883" t="s">
        <v>150</v>
      </c>
      <c r="C1883" t="s">
        <v>367</v>
      </c>
      <c r="D1883" t="s">
        <v>426</v>
      </c>
      <c r="F1883" t="s">
        <v>460</v>
      </c>
      <c r="G1883" t="str">
        <f>HYPERLINK("https://ca.linkedin.com/jobs/view/data-analyst-at-synechron-3361756851?refId=%2BlQjdMph3kuMRAPl36xwdg%3D%3D&amp;trackingId=8LZFIj0OW8hM%2FfrD4LbMrQ%3D%3D&amp;position=9&amp;pageNum=0&amp;trk=public_jobs_jserp-result_search-card", "Job Link")</f>
        <v>Job Link</v>
      </c>
      <c r="H1883" t="s">
        <v>478</v>
      </c>
      <c r="I1883" t="s">
        <v>481</v>
      </c>
      <c r="J1883" t="s">
        <v>486</v>
      </c>
      <c r="K1883" t="s">
        <v>562</v>
      </c>
      <c r="L1883" t="s">
        <v>584</v>
      </c>
      <c r="M1883" t="s">
        <v>588</v>
      </c>
      <c r="N1883" t="s">
        <v>601</v>
      </c>
    </row>
    <row r="1884" spans="1:14" x14ac:dyDescent="0.25">
      <c r="A1884" t="s">
        <v>14</v>
      </c>
      <c r="B1884" t="s">
        <v>212</v>
      </c>
      <c r="C1884" t="s">
        <v>370</v>
      </c>
      <c r="D1884" t="s">
        <v>426</v>
      </c>
      <c r="F1884" t="s">
        <v>432</v>
      </c>
      <c r="G1884" t="str">
        <f>HYPERLINK("https://ca.linkedin.com/jobs/view/data-analyst-at-agilus-work-solutions-3358673093?refId=%2BlQjdMph3kuMRAPl36xwdg%3D%3D&amp;trackingId=gDCywytSEs9YzgkFDNt5hg%3D%3D&amp;position=10&amp;pageNum=0&amp;trk=public_jobs_jserp-result_search-card", "Job Link")</f>
        <v>Job Link</v>
      </c>
      <c r="H1884" t="s">
        <v>477</v>
      </c>
      <c r="I1884" t="s">
        <v>483</v>
      </c>
      <c r="J1884" t="s">
        <v>486</v>
      </c>
      <c r="K1884" t="s">
        <v>518</v>
      </c>
      <c r="L1884" t="s">
        <v>582</v>
      </c>
      <c r="M1884" t="s">
        <v>588</v>
      </c>
      <c r="N1884" t="s">
        <v>601</v>
      </c>
    </row>
    <row r="1885" spans="1:14" x14ac:dyDescent="0.25">
      <c r="A1885" t="s">
        <v>14</v>
      </c>
      <c r="B1885" t="s">
        <v>214</v>
      </c>
      <c r="C1885" t="s">
        <v>372</v>
      </c>
      <c r="D1885" t="s">
        <v>426</v>
      </c>
      <c r="F1885" t="s">
        <v>432</v>
      </c>
      <c r="G1885" t="str">
        <f>HYPERLINK("https://ca.linkedin.com/jobs/view/data-analyst-at-goeasy-ltd-3358677253?refId=%2BlQjdMph3kuMRAPl36xwdg%3D%3D&amp;trackingId=qRdnKG1yIOur9FZl2JUCuw%3D%3D&amp;position=11&amp;pageNum=0&amp;trk=public_jobs_jserp-result_search-card", "Job Link")</f>
        <v>Job Link</v>
      </c>
      <c r="H1885" t="s">
        <v>476</v>
      </c>
      <c r="I1885" t="s">
        <v>481</v>
      </c>
      <c r="J1885" t="s">
        <v>486</v>
      </c>
      <c r="K1885" t="s">
        <v>550</v>
      </c>
      <c r="L1885" t="s">
        <v>584</v>
      </c>
      <c r="M1885" t="s">
        <v>588</v>
      </c>
      <c r="N1885" t="s">
        <v>601</v>
      </c>
    </row>
    <row r="1886" spans="1:14" x14ac:dyDescent="0.25">
      <c r="A1886" t="s">
        <v>14</v>
      </c>
      <c r="B1886" t="s">
        <v>213</v>
      </c>
      <c r="C1886" t="s">
        <v>371</v>
      </c>
      <c r="D1886" t="s">
        <v>426</v>
      </c>
      <c r="F1886" t="s">
        <v>472</v>
      </c>
      <c r="G1886" t="str">
        <f>HYPERLINK("https://ca.linkedin.com/jobs/view/data-analyst-at-linkus-group-3345817125?refId=%2BlQjdMph3kuMRAPl36xwdg%3D%3D&amp;trackingId=cw6xeP%2BNuF8cVGOR508QLQ%3D%3D&amp;position=12&amp;pageNum=0&amp;trk=public_jobs_jserp-result_search-card", "Job Link")</f>
        <v>Job Link</v>
      </c>
      <c r="H1886" t="s">
        <v>476</v>
      </c>
      <c r="I1886" t="s">
        <v>481</v>
      </c>
      <c r="J1886" t="s">
        <v>486</v>
      </c>
      <c r="K1886" t="s">
        <v>518</v>
      </c>
      <c r="L1886" t="s">
        <v>588</v>
      </c>
      <c r="M1886" t="s">
        <v>601</v>
      </c>
    </row>
    <row r="1887" spans="1:14" x14ac:dyDescent="0.25">
      <c r="A1887" t="s">
        <v>83</v>
      </c>
      <c r="B1887" t="s">
        <v>215</v>
      </c>
      <c r="C1887" t="s">
        <v>373</v>
      </c>
      <c r="D1887" t="s">
        <v>426</v>
      </c>
      <c r="F1887" t="s">
        <v>462</v>
      </c>
      <c r="G1887">
        <v>0</v>
      </c>
      <c r="H1887" t="s">
        <v>478</v>
      </c>
      <c r="I1887" t="s">
        <v>483</v>
      </c>
      <c r="J1887" t="s">
        <v>509</v>
      </c>
      <c r="K1887" t="s">
        <v>550</v>
      </c>
      <c r="L1887" t="s">
        <v>584</v>
      </c>
      <c r="M1887" t="s">
        <v>588</v>
      </c>
      <c r="N1887" t="s">
        <v>601</v>
      </c>
    </row>
    <row r="1888" spans="1:14" x14ac:dyDescent="0.25">
      <c r="A1888" t="s">
        <v>91</v>
      </c>
      <c r="B1888" t="s">
        <v>224</v>
      </c>
      <c r="C1888" t="s">
        <v>384</v>
      </c>
      <c r="D1888" t="s">
        <v>426</v>
      </c>
      <c r="F1888" t="s">
        <v>431</v>
      </c>
      <c r="G1888" t="str">
        <f>HYPERLINK("https://ca.linkedin.com/jobs/view/commercial-data-analyst-at-organigram-inc-3367177254?refId=%2BlQjdMph3kuMRAPl36xwdg%3D%3D&amp;trackingId=2jvSuqcngvhUo31yjCmKCQ%3D%3D&amp;position=14&amp;pageNum=0&amp;trk=public_jobs_jserp-result_search-card", "Job Link")</f>
        <v>Job Link</v>
      </c>
      <c r="I1888" t="s">
        <v>481</v>
      </c>
      <c r="L1888" t="s">
        <v>582</v>
      </c>
      <c r="M1888" t="s">
        <v>588</v>
      </c>
      <c r="N1888" t="s">
        <v>601</v>
      </c>
    </row>
    <row r="1889" spans="1:14" x14ac:dyDescent="0.25">
      <c r="A1889" t="s">
        <v>20</v>
      </c>
      <c r="B1889" t="s">
        <v>207</v>
      </c>
      <c r="C1889" t="s">
        <v>374</v>
      </c>
      <c r="D1889" t="s">
        <v>426</v>
      </c>
      <c r="F1889" t="s">
        <v>463</v>
      </c>
      <c r="G1889" t="str">
        <f>HYPERLINK("https://ca.linkedin.com/jobs/view/senior-data-analyst-at-onlia-3320897882?refId=%2BlQjdMph3kuMRAPl36xwdg%3D%3D&amp;trackingId=DSmIBRdBAbiLSZqks8LeQQ%3D%3D&amp;position=15&amp;pageNum=0&amp;trk=public_jobs_jserp-result_search-card", "Job Link")</f>
        <v>Job Link</v>
      </c>
      <c r="H1889" t="s">
        <v>477</v>
      </c>
      <c r="I1889" t="s">
        <v>481</v>
      </c>
      <c r="J1889" t="s">
        <v>486</v>
      </c>
      <c r="K1889" t="s">
        <v>523</v>
      </c>
      <c r="L1889" t="s">
        <v>582</v>
      </c>
      <c r="M1889" t="s">
        <v>588</v>
      </c>
      <c r="N1889" t="s">
        <v>601</v>
      </c>
    </row>
    <row r="1890" spans="1:14" x14ac:dyDescent="0.25">
      <c r="A1890" t="s">
        <v>84</v>
      </c>
      <c r="B1890" t="s">
        <v>216</v>
      </c>
      <c r="C1890" t="s">
        <v>375</v>
      </c>
      <c r="D1890" t="s">
        <v>426</v>
      </c>
      <c r="F1890" t="s">
        <v>452</v>
      </c>
      <c r="G1890" t="str">
        <f>HYPERLINK("https://ca.linkedin.com/jobs/view/data-analyst-hybrid-at-xylem-3335088701?refId=%2BlQjdMph3kuMRAPl36xwdg%3D%3D&amp;trackingId=%2FpxGsoI1l9lG8G%2BDO0rDXA%3D%3D&amp;position=16&amp;pageNum=0&amp;trk=public_jobs_jserp-result_search-card", "Job Link")</f>
        <v>Job Link</v>
      </c>
      <c r="H1890" t="s">
        <v>476</v>
      </c>
      <c r="I1890" t="s">
        <v>481</v>
      </c>
      <c r="J1890" t="s">
        <v>486</v>
      </c>
      <c r="K1890" t="s">
        <v>564</v>
      </c>
      <c r="L1890" t="s">
        <v>584</v>
      </c>
      <c r="M1890" t="s">
        <v>588</v>
      </c>
      <c r="N1890" t="s">
        <v>601</v>
      </c>
    </row>
    <row r="1891" spans="1:14" x14ac:dyDescent="0.25">
      <c r="A1891" t="s">
        <v>85</v>
      </c>
      <c r="B1891" t="s">
        <v>217</v>
      </c>
      <c r="C1891" t="s">
        <v>376</v>
      </c>
      <c r="D1891" t="s">
        <v>426</v>
      </c>
      <c r="F1891" t="s">
        <v>473</v>
      </c>
      <c r="G1891" t="str">
        <f>HYPERLINK("https://ca.linkedin.com/jobs/view/data-analyst-python-sql-at-geotab-3341823745?refId=%2BlQjdMph3kuMRAPl36xwdg%3D%3D&amp;trackingId=lLzoGgT05fq%2BfTSwibO3ow%3D%3D&amp;position=17&amp;pageNum=0&amp;trk=public_jobs_jserp-result_search-card", "Job Link")</f>
        <v>Job Link</v>
      </c>
      <c r="H1891" t="s">
        <v>479</v>
      </c>
      <c r="I1891" t="s">
        <v>481</v>
      </c>
      <c r="J1891" t="s">
        <v>486</v>
      </c>
      <c r="K1891" t="s">
        <v>521</v>
      </c>
      <c r="L1891" t="s">
        <v>612</v>
      </c>
      <c r="M1891" t="s">
        <v>588</v>
      </c>
      <c r="N1891" t="s">
        <v>601</v>
      </c>
    </row>
    <row r="1892" spans="1:14" x14ac:dyDescent="0.25">
      <c r="A1892" t="s">
        <v>86</v>
      </c>
      <c r="B1892" t="s">
        <v>167</v>
      </c>
      <c r="C1892" t="s">
        <v>377</v>
      </c>
      <c r="D1892" t="s">
        <v>426</v>
      </c>
      <c r="F1892" t="s">
        <v>454</v>
      </c>
      <c r="G1892" t="str">
        <f>HYPERLINK("https://ca.linkedin.com/jobs/view/data-analyst-reporting-at-thescore-3345941286?refId=%2BlQjdMph3kuMRAPl36xwdg%3D%3D&amp;trackingId=lg9S6Okt%2FYJyQQpzX5ecSw%3D%3D&amp;position=18&amp;pageNum=0&amp;trk=public_jobs_jserp-result_search-card", "Job Link")</f>
        <v>Job Link</v>
      </c>
      <c r="H1892" t="s">
        <v>476</v>
      </c>
      <c r="I1892" t="s">
        <v>481</v>
      </c>
      <c r="J1892" t="s">
        <v>486</v>
      </c>
      <c r="K1892" t="s">
        <v>545</v>
      </c>
      <c r="L1892" t="s">
        <v>582</v>
      </c>
      <c r="M1892" t="s">
        <v>588</v>
      </c>
      <c r="N1892" t="s">
        <v>601</v>
      </c>
    </row>
    <row r="1893" spans="1:14" x14ac:dyDescent="0.25">
      <c r="A1893" t="s">
        <v>87</v>
      </c>
      <c r="B1893" t="s">
        <v>218</v>
      </c>
      <c r="C1893" t="s">
        <v>378</v>
      </c>
      <c r="D1893" t="s">
        <v>426</v>
      </c>
      <c r="F1893" t="s">
        <v>432</v>
      </c>
      <c r="G1893">
        <v>0</v>
      </c>
      <c r="H1893" t="s">
        <v>478</v>
      </c>
      <c r="I1893" t="s">
        <v>483</v>
      </c>
      <c r="J1893" t="s">
        <v>486</v>
      </c>
      <c r="K1893" t="s">
        <v>521</v>
      </c>
      <c r="L1893" t="s">
        <v>582</v>
      </c>
      <c r="M1893" t="s">
        <v>588</v>
      </c>
      <c r="N1893" t="s">
        <v>601</v>
      </c>
    </row>
    <row r="1894" spans="1:14" x14ac:dyDescent="0.25">
      <c r="A1894" t="s">
        <v>90</v>
      </c>
      <c r="B1894" t="s">
        <v>223</v>
      </c>
      <c r="C1894" t="s">
        <v>383</v>
      </c>
      <c r="D1894" t="s">
        <v>426</v>
      </c>
      <c r="F1894" t="s">
        <v>443</v>
      </c>
      <c r="G1894" t="str">
        <f>HYPERLINK("https://ca.linkedin.com/jobs/view/data-administrator-data-analyst-at-hays-3369576413?refId=%2BlQjdMph3kuMRAPl36xwdg%3D%3D&amp;trackingId=iYfAapZ6szKhpaRskW54KQ%3D%3D&amp;position=20&amp;pageNum=0&amp;trk=public_jobs_jserp-result_search-card", "Job Link")</f>
        <v>Job Link</v>
      </c>
      <c r="H1894" t="s">
        <v>478</v>
      </c>
      <c r="I1894" t="s">
        <v>481</v>
      </c>
      <c r="J1894" t="s">
        <v>486</v>
      </c>
      <c r="K1894" t="s">
        <v>518</v>
      </c>
      <c r="L1894" t="s">
        <v>583</v>
      </c>
      <c r="M1894" t="s">
        <v>610</v>
      </c>
      <c r="N1894" t="s">
        <v>601</v>
      </c>
    </row>
    <row r="1895" spans="1:14" x14ac:dyDescent="0.25">
      <c r="A1895" t="s">
        <v>88</v>
      </c>
      <c r="B1895" t="s">
        <v>219</v>
      </c>
      <c r="C1895" t="s">
        <v>379</v>
      </c>
      <c r="D1895" t="s">
        <v>426</v>
      </c>
      <c r="F1895" t="s">
        <v>454</v>
      </c>
      <c r="G1895" t="str">
        <f>HYPERLINK("https://ca.linkedin.com/jobs/view/data-analyst-flight-pricing-optimization-at-priceline-3345993633?refId=%2BlQjdMph3kuMRAPl36xwdg%3D%3D&amp;trackingId=FRoF2IKpuZswYDoKlHLB8g%3D%3D&amp;position=21&amp;pageNum=0&amp;trk=public_jobs_jserp-result_search-card", "Job Link")</f>
        <v>Job Link</v>
      </c>
      <c r="H1895" t="s">
        <v>476</v>
      </c>
      <c r="I1895" t="s">
        <v>481</v>
      </c>
      <c r="J1895" t="s">
        <v>486</v>
      </c>
      <c r="K1895" t="s">
        <v>565</v>
      </c>
      <c r="L1895" t="s">
        <v>582</v>
      </c>
      <c r="M1895" t="s">
        <v>588</v>
      </c>
      <c r="N1895" t="s">
        <v>601</v>
      </c>
    </row>
    <row r="1896" spans="1:14" x14ac:dyDescent="0.25">
      <c r="A1896" t="s">
        <v>89</v>
      </c>
      <c r="B1896" t="s">
        <v>221</v>
      </c>
      <c r="C1896" t="s">
        <v>381</v>
      </c>
      <c r="D1896" t="s">
        <v>426</v>
      </c>
      <c r="F1896" t="s">
        <v>461</v>
      </c>
      <c r="G1896">
        <v>0</v>
      </c>
      <c r="H1896" t="s">
        <v>476</v>
      </c>
      <c r="I1896" t="s">
        <v>481</v>
      </c>
      <c r="J1896" t="s">
        <v>488</v>
      </c>
      <c r="K1896" t="s">
        <v>566</v>
      </c>
      <c r="L1896" t="s">
        <v>582</v>
      </c>
      <c r="M1896" t="s">
        <v>588</v>
      </c>
      <c r="N1896" t="s">
        <v>601</v>
      </c>
    </row>
    <row r="1897" spans="1:14" x14ac:dyDescent="0.25">
      <c r="A1897" t="s">
        <v>14</v>
      </c>
      <c r="B1897" t="s">
        <v>222</v>
      </c>
      <c r="C1897" t="s">
        <v>382</v>
      </c>
      <c r="D1897" t="s">
        <v>426</v>
      </c>
      <c r="F1897" t="s">
        <v>431</v>
      </c>
      <c r="G1897" t="str">
        <f>HYPERLINK("https://ca.linkedin.com/jobs/view/data-analyst-at-circle-k-3367192655?refId=%2BlQjdMph3kuMRAPl36xwdg%3D%3D&amp;trackingId=wrUUetIUaCPvhe2o53FJRA%3D%3D&amp;position=23&amp;pageNum=0&amp;trk=public_jobs_jserp-result_search-card", "Job Link")</f>
        <v>Job Link</v>
      </c>
      <c r="H1897" t="s">
        <v>476</v>
      </c>
      <c r="I1897" t="s">
        <v>481</v>
      </c>
      <c r="J1897" t="s">
        <v>486</v>
      </c>
      <c r="K1897" t="s">
        <v>567</v>
      </c>
      <c r="L1897" t="s">
        <v>582</v>
      </c>
      <c r="M1897" t="s">
        <v>588</v>
      </c>
      <c r="N1897" t="s">
        <v>601</v>
      </c>
    </row>
    <row r="1898" spans="1:14" x14ac:dyDescent="0.25">
      <c r="A1898" t="s">
        <v>14</v>
      </c>
      <c r="B1898" t="s">
        <v>225</v>
      </c>
      <c r="C1898" t="s">
        <v>385</v>
      </c>
      <c r="D1898" t="s">
        <v>426</v>
      </c>
      <c r="F1898" t="s">
        <v>463</v>
      </c>
      <c r="G1898" t="str">
        <f>HYPERLINK("https://ca.linkedin.com/jobs/view/data-analyst-at-vector-institute-3325395506?refId=%2BlQjdMph3kuMRAPl36xwdg%3D%3D&amp;trackingId=KGytKI%2FQQtukgL5%2B6zsjkg%3D%3D&amp;position=24&amp;pageNum=0&amp;trk=public_jobs_jserp-result_search-card", "Job Link")</f>
        <v>Job Link</v>
      </c>
      <c r="H1898" t="s">
        <v>478</v>
      </c>
      <c r="I1898" t="s">
        <v>481</v>
      </c>
      <c r="J1898" t="s">
        <v>486</v>
      </c>
      <c r="K1898" t="s">
        <v>520</v>
      </c>
      <c r="L1898" t="s">
        <v>582</v>
      </c>
      <c r="M1898" t="s">
        <v>588</v>
      </c>
      <c r="N1898" t="s">
        <v>601</v>
      </c>
    </row>
    <row r="1899" spans="1:14" x14ac:dyDescent="0.25">
      <c r="A1899" t="s">
        <v>14</v>
      </c>
      <c r="B1899" t="s">
        <v>226</v>
      </c>
      <c r="C1899" t="s">
        <v>386</v>
      </c>
      <c r="D1899" t="s">
        <v>426</v>
      </c>
      <c r="F1899" t="s">
        <v>474</v>
      </c>
      <c r="G1899" t="str">
        <f>HYPERLINK("https://ca.linkedin.com/jobs/view/data-analyst-at-gsl-group-3334387645?refId=%2BlQjdMph3kuMRAPl36xwdg%3D%3D&amp;trackingId=EM6j%2FazvJC2hJisNMh0sZg%3D%3D&amp;position=25&amp;pageNum=0&amp;trk=public_jobs_jserp-result_search-card", "Job Link")</f>
        <v>Job Link</v>
      </c>
      <c r="H1899" t="s">
        <v>476</v>
      </c>
      <c r="I1899" t="s">
        <v>481</v>
      </c>
      <c r="J1899" t="s">
        <v>486</v>
      </c>
      <c r="K1899" t="s">
        <v>568</v>
      </c>
      <c r="L1899" t="s">
        <v>590</v>
      </c>
      <c r="M1899" t="s">
        <v>618</v>
      </c>
      <c r="N1899" t="s">
        <v>601</v>
      </c>
    </row>
    <row r="1900" spans="1:14" x14ac:dyDescent="0.25">
      <c r="A1900" t="s">
        <v>14</v>
      </c>
      <c r="B1900" t="s">
        <v>207</v>
      </c>
      <c r="C1900" t="s">
        <v>362</v>
      </c>
      <c r="D1900" t="s">
        <v>426</v>
      </c>
      <c r="F1900" t="s">
        <v>463</v>
      </c>
      <c r="G1900" t="str">
        <f>HYPERLINK("https://ca.linkedin.com/jobs/view/data-analyst-at-onlia-3320897897?refId=3JvezAs7CDbdECzuO%2F8guA%3D%3D&amp;trackingId=PKPQLeNDzrlJZX1qmaZmdw%3D%3D&amp;position=1&amp;pageNum=0&amp;trk=public_jobs_jserp-result_search-card", "Job Link")</f>
        <v>Job Link</v>
      </c>
      <c r="H1900" t="s">
        <v>477</v>
      </c>
      <c r="I1900" t="s">
        <v>481</v>
      </c>
      <c r="J1900" t="s">
        <v>486</v>
      </c>
      <c r="K1900" t="s">
        <v>523</v>
      </c>
      <c r="L1900" t="s">
        <v>582</v>
      </c>
      <c r="M1900" t="s">
        <v>588</v>
      </c>
      <c r="N1900" t="s">
        <v>601</v>
      </c>
    </row>
    <row r="1901" spans="1:14" x14ac:dyDescent="0.25">
      <c r="A1901" t="s">
        <v>14</v>
      </c>
      <c r="B1901" t="s">
        <v>208</v>
      </c>
      <c r="C1901" t="s">
        <v>363</v>
      </c>
      <c r="D1901" t="s">
        <v>426</v>
      </c>
      <c r="F1901" t="s">
        <v>445</v>
      </c>
      <c r="G1901" t="str">
        <f>HYPERLINK("https://ca.linkedin.com/jobs/view/data-analyst-at-electronic-arts-ea-3325611825?refId=3JvezAs7CDbdECzuO%2F8guA%3D%3D&amp;trackingId=VBEwXnlZRRd4Db76NmhbWA%3D%3D&amp;position=2&amp;pageNum=0&amp;trk=public_jobs_jserp-result_search-card", "Job Link")</f>
        <v>Job Link</v>
      </c>
      <c r="H1901" t="s">
        <v>479</v>
      </c>
      <c r="I1901" t="s">
        <v>481</v>
      </c>
      <c r="J1901" t="s">
        <v>507</v>
      </c>
      <c r="K1901" t="s">
        <v>559</v>
      </c>
      <c r="L1901" t="s">
        <v>582</v>
      </c>
      <c r="M1901" t="s">
        <v>588</v>
      </c>
      <c r="N1901" t="s">
        <v>601</v>
      </c>
    </row>
    <row r="1902" spans="1:14" x14ac:dyDescent="0.25">
      <c r="A1902" t="s">
        <v>14</v>
      </c>
      <c r="B1902" t="s">
        <v>209</v>
      </c>
      <c r="C1902" t="s">
        <v>364</v>
      </c>
      <c r="D1902" t="s">
        <v>426</v>
      </c>
      <c r="F1902" t="s">
        <v>440</v>
      </c>
      <c r="G1902" t="str">
        <f>HYPERLINK("https://ca.linkedin.com/jobs/view/data-analyst-at-frostbite-3370111856?refId=3JvezAs7CDbdECzuO%2F8guA%3D%3D&amp;trackingId=ga2iOjNdSRu0wxvtaoLd0Q%3D%3D&amp;position=3&amp;pageNum=0&amp;trk=public_jobs_jserp-result_search-card", "Job Link")</f>
        <v>Job Link</v>
      </c>
      <c r="H1902" t="s">
        <v>479</v>
      </c>
      <c r="I1902" t="s">
        <v>481</v>
      </c>
      <c r="J1902" t="s">
        <v>507</v>
      </c>
      <c r="K1902" t="s">
        <v>559</v>
      </c>
      <c r="L1902" t="s">
        <v>590</v>
      </c>
      <c r="M1902" t="s">
        <v>618</v>
      </c>
      <c r="N1902" t="s">
        <v>601</v>
      </c>
    </row>
    <row r="1903" spans="1:14" x14ac:dyDescent="0.25">
      <c r="A1903" t="s">
        <v>81</v>
      </c>
      <c r="B1903" t="s">
        <v>210</v>
      </c>
      <c r="C1903" t="s">
        <v>365</v>
      </c>
      <c r="D1903" t="s">
        <v>426</v>
      </c>
      <c r="F1903" t="s">
        <v>436</v>
      </c>
      <c r="G1903" t="str">
        <f>HYPERLINK("https://ca.linkedin.com/jobs/view/data-analyst-c117-at-mitsubishi-motor-sales-of-canada-inc-3344852931?refId=3JvezAs7CDbdECzuO%2F8guA%3D%3D&amp;trackingId=IfwiqBcUopB4tXIomNxZLw%3D%3D&amp;position=4&amp;pageNum=0&amp;trk=public_jobs_jserp-result_search-card", "Job Link")</f>
        <v>Job Link</v>
      </c>
      <c r="H1903" t="s">
        <v>477</v>
      </c>
      <c r="I1903" t="s">
        <v>481</v>
      </c>
      <c r="J1903" t="s">
        <v>508</v>
      </c>
      <c r="K1903" t="s">
        <v>561</v>
      </c>
      <c r="L1903" t="s">
        <v>584</v>
      </c>
      <c r="M1903" t="s">
        <v>588</v>
      </c>
      <c r="N1903" t="s">
        <v>601</v>
      </c>
    </row>
    <row r="1904" spans="1:14" x14ac:dyDescent="0.25">
      <c r="A1904" t="s">
        <v>14</v>
      </c>
      <c r="B1904" t="s">
        <v>211</v>
      </c>
      <c r="C1904" t="s">
        <v>366</v>
      </c>
      <c r="D1904" t="s">
        <v>426</v>
      </c>
      <c r="F1904" t="s">
        <v>443</v>
      </c>
      <c r="G1904" t="str">
        <f>HYPERLINK("https://ca.linkedin.com/jobs/view/data-analyst-at-mphasis-3363428246?refId=3JvezAs7CDbdECzuO%2F8guA%3D%3D&amp;trackingId=jKPEHAMRlaa9WAuu3kRcJg%3D%3D&amp;position=5&amp;pageNum=0&amp;trk=public_jobs_jserp-result_search-card", "Job Link")</f>
        <v>Job Link</v>
      </c>
      <c r="H1904" t="s">
        <v>477</v>
      </c>
      <c r="I1904" t="s">
        <v>481</v>
      </c>
      <c r="J1904" t="s">
        <v>486</v>
      </c>
      <c r="K1904" t="s">
        <v>521</v>
      </c>
      <c r="L1904" t="s">
        <v>609</v>
      </c>
      <c r="M1904" t="s">
        <v>610</v>
      </c>
      <c r="N1904" t="s">
        <v>601</v>
      </c>
    </row>
    <row r="1905" spans="1:14" x14ac:dyDescent="0.25">
      <c r="A1905" t="s">
        <v>14</v>
      </c>
      <c r="B1905" t="s">
        <v>150</v>
      </c>
      <c r="C1905" t="s">
        <v>367</v>
      </c>
      <c r="D1905" t="s">
        <v>426</v>
      </c>
      <c r="F1905" t="s">
        <v>433</v>
      </c>
      <c r="G1905" t="str">
        <f>HYPERLINK("https://ca.linkedin.com/jobs/view/data-analyst-at-synechron-3348329085?refId=3JvezAs7CDbdECzuO%2F8guA%3D%3D&amp;trackingId=aWj7mlU5eYhWA%2FR6e5eIdg%3D%3D&amp;position=6&amp;pageNum=0&amp;trk=public_jobs_jserp-result_search-card", "Job Link")</f>
        <v>Job Link</v>
      </c>
      <c r="H1905" t="s">
        <v>478</v>
      </c>
      <c r="I1905" t="s">
        <v>481</v>
      </c>
      <c r="J1905" t="s">
        <v>486</v>
      </c>
      <c r="K1905" t="s">
        <v>562</v>
      </c>
      <c r="L1905" t="s">
        <v>584</v>
      </c>
      <c r="M1905" t="s">
        <v>588</v>
      </c>
      <c r="N1905" t="s">
        <v>601</v>
      </c>
    </row>
    <row r="1906" spans="1:14" x14ac:dyDescent="0.25">
      <c r="A1906" t="s">
        <v>82</v>
      </c>
      <c r="B1906" t="s">
        <v>179</v>
      </c>
      <c r="C1906" t="s">
        <v>368</v>
      </c>
      <c r="D1906" t="s">
        <v>426</v>
      </c>
      <c r="F1906" t="s">
        <v>471</v>
      </c>
      <c r="G1906" t="str">
        <f>HYPERLINK("https://ca.linkedin.com/jobs/view/business-data-analyst-at-capgemini-3327624663?refId=3JvezAs7CDbdECzuO%2F8guA%3D%3D&amp;trackingId=nIcS7OoP26dA7mL73oMLKw%3D%3D&amp;position=7&amp;pageNum=0&amp;trk=public_jobs_jserp-result_search-card", "Job Link")</f>
        <v>Job Link</v>
      </c>
      <c r="H1906" t="s">
        <v>478</v>
      </c>
      <c r="I1906" t="s">
        <v>481</v>
      </c>
      <c r="J1906" t="s">
        <v>486</v>
      </c>
      <c r="K1906" t="s">
        <v>521</v>
      </c>
      <c r="L1906" t="s">
        <v>611</v>
      </c>
      <c r="M1906" t="s">
        <v>601</v>
      </c>
    </row>
    <row r="1907" spans="1:14" x14ac:dyDescent="0.25">
      <c r="A1907" t="s">
        <v>14</v>
      </c>
      <c r="B1907" t="s">
        <v>150</v>
      </c>
      <c r="C1907" t="s">
        <v>369</v>
      </c>
      <c r="D1907" t="s">
        <v>426</v>
      </c>
      <c r="F1907" t="s">
        <v>460</v>
      </c>
      <c r="G1907" t="str">
        <f>HYPERLINK("https://ca.linkedin.com/jobs/view/data-analyst-at-synechron-3364863079?refId=3JvezAs7CDbdECzuO%2F8guA%3D%3D&amp;trackingId=sPRSpfBUyQt3oZFJJR%2F%2Byw%3D%3D&amp;position=8&amp;pageNum=0&amp;trk=public_jobs_jserp-result_search-card", "Job Link")</f>
        <v>Job Link</v>
      </c>
      <c r="H1907" t="s">
        <v>478</v>
      </c>
      <c r="I1907" t="s">
        <v>481</v>
      </c>
      <c r="J1907" t="s">
        <v>486</v>
      </c>
      <c r="K1907" t="s">
        <v>563</v>
      </c>
      <c r="L1907" t="s">
        <v>584</v>
      </c>
      <c r="M1907" t="s">
        <v>588</v>
      </c>
      <c r="N1907" t="s">
        <v>601</v>
      </c>
    </row>
    <row r="1908" spans="1:14" x14ac:dyDescent="0.25">
      <c r="A1908" t="s">
        <v>14</v>
      </c>
      <c r="B1908" t="s">
        <v>150</v>
      </c>
      <c r="C1908" t="s">
        <v>367</v>
      </c>
      <c r="D1908" t="s">
        <v>426</v>
      </c>
      <c r="F1908" t="s">
        <v>460</v>
      </c>
      <c r="G1908" t="str">
        <f>HYPERLINK("https://ca.linkedin.com/jobs/view/data-analyst-at-synechron-3361756851?refId=3JvezAs7CDbdECzuO%2F8guA%3D%3D&amp;trackingId=H2%2BrL9picWeP8jZE%2FO4Afw%3D%3D&amp;position=9&amp;pageNum=0&amp;trk=public_jobs_jserp-result_search-card", "Job Link")</f>
        <v>Job Link</v>
      </c>
      <c r="H1908" t="s">
        <v>478</v>
      </c>
      <c r="I1908" t="s">
        <v>481</v>
      </c>
      <c r="J1908" t="s">
        <v>486</v>
      </c>
      <c r="K1908" t="s">
        <v>562</v>
      </c>
      <c r="L1908" t="s">
        <v>584</v>
      </c>
      <c r="M1908" t="s">
        <v>588</v>
      </c>
      <c r="N1908" t="s">
        <v>601</v>
      </c>
    </row>
    <row r="1909" spans="1:14" x14ac:dyDescent="0.25">
      <c r="A1909" t="s">
        <v>14</v>
      </c>
      <c r="B1909" t="s">
        <v>212</v>
      </c>
      <c r="C1909" t="s">
        <v>370</v>
      </c>
      <c r="D1909" t="s">
        <v>426</v>
      </c>
      <c r="F1909" t="s">
        <v>432</v>
      </c>
      <c r="G1909" t="str">
        <f>HYPERLINK("https://ca.linkedin.com/jobs/view/data-analyst-at-agilus-work-solutions-3358673093?refId=3JvezAs7CDbdECzuO%2F8guA%3D%3D&amp;trackingId=q9s%2FHdmK4KvkuHSeMWYLUQ%3D%3D&amp;position=10&amp;pageNum=0&amp;trk=public_jobs_jserp-result_search-card", "Job Link")</f>
        <v>Job Link</v>
      </c>
      <c r="H1909" t="s">
        <v>477</v>
      </c>
      <c r="I1909" t="s">
        <v>483</v>
      </c>
      <c r="J1909" t="s">
        <v>486</v>
      </c>
      <c r="K1909" t="s">
        <v>518</v>
      </c>
      <c r="L1909" t="s">
        <v>582</v>
      </c>
      <c r="M1909" t="s">
        <v>588</v>
      </c>
      <c r="N1909" t="s">
        <v>601</v>
      </c>
    </row>
    <row r="1910" spans="1:14" x14ac:dyDescent="0.25">
      <c r="A1910" t="s">
        <v>14</v>
      </c>
      <c r="B1910" t="s">
        <v>213</v>
      </c>
      <c r="C1910" t="s">
        <v>371</v>
      </c>
      <c r="D1910" t="s">
        <v>426</v>
      </c>
      <c r="F1910" t="s">
        <v>472</v>
      </c>
      <c r="G1910" t="str">
        <f>HYPERLINK("https://ca.linkedin.com/jobs/view/data-analyst-at-linkus-group-3345817125?refId=3JvezAs7CDbdECzuO%2F8guA%3D%3D&amp;trackingId=pilL1ksce%2B7tsEYX2juhvg%3D%3D&amp;position=11&amp;pageNum=0&amp;trk=public_jobs_jserp-result_search-card", "Job Link")</f>
        <v>Job Link</v>
      </c>
      <c r="H1910" t="s">
        <v>476</v>
      </c>
      <c r="I1910" t="s">
        <v>481</v>
      </c>
      <c r="J1910" t="s">
        <v>486</v>
      </c>
      <c r="K1910" t="s">
        <v>518</v>
      </c>
      <c r="L1910" t="s">
        <v>588</v>
      </c>
      <c r="M1910" t="s">
        <v>601</v>
      </c>
    </row>
    <row r="1911" spans="1:14" x14ac:dyDescent="0.25">
      <c r="A1911" t="s">
        <v>14</v>
      </c>
      <c r="B1911" t="s">
        <v>214</v>
      </c>
      <c r="C1911" t="s">
        <v>372</v>
      </c>
      <c r="D1911" t="s">
        <v>426</v>
      </c>
      <c r="F1911" t="s">
        <v>432</v>
      </c>
      <c r="G1911" t="str">
        <f>HYPERLINK("https://ca.linkedin.com/jobs/view/data-analyst-at-goeasy-ltd-3358677253?refId=3JvezAs7CDbdECzuO%2F8guA%3D%3D&amp;trackingId=aidvPNTGE2WOJWmw5eCJVQ%3D%3D&amp;position=12&amp;pageNum=0&amp;trk=public_jobs_jserp-result_search-card", "Job Link")</f>
        <v>Job Link</v>
      </c>
      <c r="H1911" t="s">
        <v>476</v>
      </c>
      <c r="I1911" t="s">
        <v>481</v>
      </c>
      <c r="J1911" t="s">
        <v>486</v>
      </c>
      <c r="K1911" t="s">
        <v>550</v>
      </c>
      <c r="L1911" t="s">
        <v>584</v>
      </c>
      <c r="M1911" t="s">
        <v>588</v>
      </c>
      <c r="N1911" t="s">
        <v>601</v>
      </c>
    </row>
    <row r="1912" spans="1:14" x14ac:dyDescent="0.25">
      <c r="A1912" t="s">
        <v>83</v>
      </c>
      <c r="B1912" t="s">
        <v>215</v>
      </c>
      <c r="C1912" t="s">
        <v>373</v>
      </c>
      <c r="D1912" t="s">
        <v>426</v>
      </c>
      <c r="F1912" t="s">
        <v>462</v>
      </c>
      <c r="G1912">
        <v>0</v>
      </c>
      <c r="H1912" t="s">
        <v>478</v>
      </c>
      <c r="I1912" t="s">
        <v>483</v>
      </c>
      <c r="J1912" t="s">
        <v>509</v>
      </c>
      <c r="K1912" t="s">
        <v>550</v>
      </c>
      <c r="L1912" t="s">
        <v>584</v>
      </c>
      <c r="M1912" t="s">
        <v>588</v>
      </c>
      <c r="N1912" t="s">
        <v>601</v>
      </c>
    </row>
    <row r="1913" spans="1:14" x14ac:dyDescent="0.25">
      <c r="A1913" t="s">
        <v>20</v>
      </c>
      <c r="B1913" t="s">
        <v>207</v>
      </c>
      <c r="C1913" t="s">
        <v>374</v>
      </c>
      <c r="D1913" t="s">
        <v>426</v>
      </c>
      <c r="F1913" t="s">
        <v>463</v>
      </c>
      <c r="G1913" t="str">
        <f>HYPERLINK("https://ca.linkedin.com/jobs/view/senior-data-analyst-at-onlia-3320897882?refId=3JvezAs7CDbdECzuO%2F8guA%3D%3D&amp;trackingId=pzupVapW%2FU5hS4BLg6Nijw%3D%3D&amp;position=14&amp;pageNum=0&amp;trk=public_jobs_jserp-result_search-card", "Job Link")</f>
        <v>Job Link</v>
      </c>
      <c r="H1913" t="s">
        <v>477</v>
      </c>
      <c r="I1913" t="s">
        <v>481</v>
      </c>
      <c r="J1913" t="s">
        <v>486</v>
      </c>
      <c r="K1913" t="s">
        <v>523</v>
      </c>
      <c r="L1913" t="s">
        <v>582</v>
      </c>
      <c r="M1913" t="s">
        <v>588</v>
      </c>
      <c r="N1913" t="s">
        <v>601</v>
      </c>
    </row>
    <row r="1914" spans="1:14" x14ac:dyDescent="0.25">
      <c r="A1914" t="s">
        <v>84</v>
      </c>
      <c r="B1914" t="s">
        <v>216</v>
      </c>
      <c r="C1914" t="s">
        <v>375</v>
      </c>
      <c r="D1914" t="s">
        <v>426</v>
      </c>
      <c r="F1914" t="s">
        <v>452</v>
      </c>
      <c r="G1914" t="str">
        <f>HYPERLINK("https://ca.linkedin.com/jobs/view/data-analyst-hybrid-at-xylem-3335088701?refId=3JvezAs7CDbdECzuO%2F8guA%3D%3D&amp;trackingId=u2yyEHGfTRDriWym0NvWXw%3D%3D&amp;position=15&amp;pageNum=0&amp;trk=public_jobs_jserp-result_search-card", "Job Link")</f>
        <v>Job Link</v>
      </c>
      <c r="H1914" t="s">
        <v>476</v>
      </c>
      <c r="I1914" t="s">
        <v>481</v>
      </c>
      <c r="J1914" t="s">
        <v>486</v>
      </c>
      <c r="K1914" t="s">
        <v>564</v>
      </c>
      <c r="L1914" t="s">
        <v>584</v>
      </c>
      <c r="M1914" t="s">
        <v>588</v>
      </c>
      <c r="N1914" t="s">
        <v>601</v>
      </c>
    </row>
    <row r="1915" spans="1:14" x14ac:dyDescent="0.25">
      <c r="A1915" t="s">
        <v>85</v>
      </c>
      <c r="B1915" t="s">
        <v>217</v>
      </c>
      <c r="C1915" t="s">
        <v>376</v>
      </c>
      <c r="D1915" t="s">
        <v>426</v>
      </c>
      <c r="F1915" t="s">
        <v>473</v>
      </c>
      <c r="G1915" t="str">
        <f>HYPERLINK("https://ca.linkedin.com/jobs/view/data-analyst-python-sql-at-geotab-3341823745?refId=3JvezAs7CDbdECzuO%2F8guA%3D%3D&amp;trackingId=PMALZvW6cEPbjKsVh9XGjg%3D%3D&amp;position=16&amp;pageNum=0&amp;trk=public_jobs_jserp-result_search-card", "Job Link")</f>
        <v>Job Link</v>
      </c>
      <c r="H1915" t="s">
        <v>479</v>
      </c>
      <c r="I1915" t="s">
        <v>481</v>
      </c>
      <c r="J1915" t="s">
        <v>486</v>
      </c>
      <c r="K1915" t="s">
        <v>521</v>
      </c>
      <c r="L1915" t="s">
        <v>612</v>
      </c>
      <c r="M1915" t="s">
        <v>588</v>
      </c>
      <c r="N1915" t="s">
        <v>601</v>
      </c>
    </row>
    <row r="1916" spans="1:14" x14ac:dyDescent="0.25">
      <c r="A1916" t="s">
        <v>86</v>
      </c>
      <c r="B1916" t="s">
        <v>167</v>
      </c>
      <c r="C1916" t="s">
        <v>377</v>
      </c>
      <c r="D1916" t="s">
        <v>426</v>
      </c>
      <c r="F1916" t="s">
        <v>454</v>
      </c>
      <c r="G1916" t="str">
        <f>HYPERLINK("https://ca.linkedin.com/jobs/view/data-analyst-reporting-at-thescore-3345941286?refId=3JvezAs7CDbdECzuO%2F8guA%3D%3D&amp;trackingId=7RM7XvGIa765E5SntXay%2Bg%3D%3D&amp;position=17&amp;pageNum=0&amp;trk=public_jobs_jserp-result_search-card", "Job Link")</f>
        <v>Job Link</v>
      </c>
      <c r="H1916" t="s">
        <v>476</v>
      </c>
      <c r="I1916" t="s">
        <v>481</v>
      </c>
      <c r="J1916" t="s">
        <v>486</v>
      </c>
      <c r="K1916" t="s">
        <v>545</v>
      </c>
      <c r="L1916" t="s">
        <v>582</v>
      </c>
      <c r="M1916" t="s">
        <v>588</v>
      </c>
      <c r="N1916" t="s">
        <v>601</v>
      </c>
    </row>
    <row r="1917" spans="1:14" x14ac:dyDescent="0.25">
      <c r="A1917" t="s">
        <v>87</v>
      </c>
      <c r="B1917" t="s">
        <v>218</v>
      </c>
      <c r="C1917" t="s">
        <v>378</v>
      </c>
      <c r="D1917" t="s">
        <v>426</v>
      </c>
      <c r="F1917" t="s">
        <v>432</v>
      </c>
      <c r="G1917">
        <v>0</v>
      </c>
      <c r="H1917" t="s">
        <v>478</v>
      </c>
      <c r="I1917" t="s">
        <v>483</v>
      </c>
      <c r="J1917" t="s">
        <v>486</v>
      </c>
      <c r="K1917" t="s">
        <v>521</v>
      </c>
      <c r="L1917" t="s">
        <v>582</v>
      </c>
      <c r="M1917" t="s">
        <v>588</v>
      </c>
      <c r="N1917" t="s">
        <v>601</v>
      </c>
    </row>
    <row r="1918" spans="1:14" x14ac:dyDescent="0.25">
      <c r="A1918" t="s">
        <v>88</v>
      </c>
      <c r="B1918" t="s">
        <v>219</v>
      </c>
      <c r="C1918" t="s">
        <v>379</v>
      </c>
      <c r="D1918" t="s">
        <v>426</v>
      </c>
      <c r="F1918" t="s">
        <v>454</v>
      </c>
      <c r="G1918" t="str">
        <f>HYPERLINK("https://ca.linkedin.com/jobs/view/data-analyst-flight-pricing-optimization-at-priceline-3345993633?refId=3JvezAs7CDbdECzuO%2F8guA%3D%3D&amp;trackingId=ZiJ94I2W7N9KkcdaRq6m6g%3D%3D&amp;position=19&amp;pageNum=0&amp;trk=public_jobs_jserp-result_search-card", "Job Link")</f>
        <v>Job Link</v>
      </c>
      <c r="H1918" t="s">
        <v>476</v>
      </c>
      <c r="I1918" t="s">
        <v>481</v>
      </c>
      <c r="J1918" t="s">
        <v>486</v>
      </c>
      <c r="K1918" t="s">
        <v>565</v>
      </c>
      <c r="L1918" t="s">
        <v>582</v>
      </c>
      <c r="M1918" t="s">
        <v>588</v>
      </c>
      <c r="N1918" t="s">
        <v>601</v>
      </c>
    </row>
    <row r="1919" spans="1:14" x14ac:dyDescent="0.25">
      <c r="A1919" t="s">
        <v>27</v>
      </c>
      <c r="B1919" t="s">
        <v>220</v>
      </c>
      <c r="C1919" t="s">
        <v>380</v>
      </c>
      <c r="D1919" t="s">
        <v>426</v>
      </c>
      <c r="F1919" t="s">
        <v>434</v>
      </c>
      <c r="G1919" t="str">
        <f>HYPERLINK("https://ca.linkedin.com/jobs/view/sr-data-analyst-at-randstad-canada-3354999789?refId=3JvezAs7CDbdECzuO%2F8guA%3D%3D&amp;trackingId=gdEheZ6ZO8yvT1CRjjdgng%3D%3D&amp;position=20&amp;pageNum=0&amp;trk=public_jobs_jserp-result_search-card", "Job Link")</f>
        <v>Job Link</v>
      </c>
      <c r="H1919" t="s">
        <v>478</v>
      </c>
      <c r="I1919" t="s">
        <v>483</v>
      </c>
      <c r="J1919" t="s">
        <v>486</v>
      </c>
      <c r="K1919" t="s">
        <v>518</v>
      </c>
      <c r="L1919" t="s">
        <v>584</v>
      </c>
      <c r="M1919" t="s">
        <v>588</v>
      </c>
      <c r="N1919" t="s">
        <v>601</v>
      </c>
    </row>
    <row r="1920" spans="1:14" x14ac:dyDescent="0.25">
      <c r="A1920" t="s">
        <v>89</v>
      </c>
      <c r="B1920" t="s">
        <v>221</v>
      </c>
      <c r="C1920" t="s">
        <v>381</v>
      </c>
      <c r="D1920" t="s">
        <v>426</v>
      </c>
      <c r="F1920" t="s">
        <v>461</v>
      </c>
      <c r="G1920">
        <v>0</v>
      </c>
      <c r="H1920" t="s">
        <v>476</v>
      </c>
      <c r="I1920" t="s">
        <v>481</v>
      </c>
      <c r="J1920" t="s">
        <v>488</v>
      </c>
      <c r="K1920" t="s">
        <v>566</v>
      </c>
      <c r="L1920" t="s">
        <v>582</v>
      </c>
      <c r="M1920" t="s">
        <v>588</v>
      </c>
      <c r="N1920" t="s">
        <v>601</v>
      </c>
    </row>
    <row r="1921" spans="1:14" x14ac:dyDescent="0.25">
      <c r="A1921" t="s">
        <v>14</v>
      </c>
      <c r="B1921" t="s">
        <v>222</v>
      </c>
      <c r="C1921" t="s">
        <v>382</v>
      </c>
      <c r="D1921" t="s">
        <v>426</v>
      </c>
      <c r="F1921" t="s">
        <v>431</v>
      </c>
      <c r="G1921" t="str">
        <f>HYPERLINK("https://ca.linkedin.com/jobs/view/data-analyst-at-circle-k-3367192655?refId=3JvezAs7CDbdECzuO%2F8guA%3D%3D&amp;trackingId=Y2XuMAnnDXZkAh5e4DJshA%3D%3D&amp;position=22&amp;pageNum=0&amp;trk=public_jobs_jserp-result_search-card", "Job Link")</f>
        <v>Job Link</v>
      </c>
      <c r="H1921" t="s">
        <v>476</v>
      </c>
      <c r="I1921" t="s">
        <v>481</v>
      </c>
      <c r="J1921" t="s">
        <v>486</v>
      </c>
      <c r="K1921" t="s">
        <v>567</v>
      </c>
      <c r="L1921" t="s">
        <v>582</v>
      </c>
      <c r="M1921" t="s">
        <v>588</v>
      </c>
      <c r="N1921" t="s">
        <v>601</v>
      </c>
    </row>
    <row r="1922" spans="1:14" x14ac:dyDescent="0.25">
      <c r="A1922" t="s">
        <v>90</v>
      </c>
      <c r="B1922" t="s">
        <v>223</v>
      </c>
      <c r="C1922" t="s">
        <v>383</v>
      </c>
      <c r="D1922" t="s">
        <v>426</v>
      </c>
      <c r="F1922" t="s">
        <v>443</v>
      </c>
      <c r="G1922" t="str">
        <f>HYPERLINK("https://ca.linkedin.com/jobs/view/data-administrator-data-analyst-at-hays-3369576413?refId=3JvezAs7CDbdECzuO%2F8guA%3D%3D&amp;trackingId=9wdB1vOx368hVC%2BXqtxY2A%3D%3D&amp;position=23&amp;pageNum=0&amp;trk=public_jobs_jserp-result_search-card", "Job Link")</f>
        <v>Job Link</v>
      </c>
      <c r="H1922" t="s">
        <v>478</v>
      </c>
      <c r="I1922" t="s">
        <v>481</v>
      </c>
      <c r="J1922" t="s">
        <v>486</v>
      </c>
      <c r="K1922" t="s">
        <v>518</v>
      </c>
      <c r="L1922" t="s">
        <v>583</v>
      </c>
      <c r="M1922" t="s">
        <v>610</v>
      </c>
      <c r="N1922" t="s">
        <v>601</v>
      </c>
    </row>
    <row r="1923" spans="1:14" x14ac:dyDescent="0.25">
      <c r="A1923" t="s">
        <v>91</v>
      </c>
      <c r="B1923" t="s">
        <v>224</v>
      </c>
      <c r="C1923" t="s">
        <v>384</v>
      </c>
      <c r="D1923" t="s">
        <v>426</v>
      </c>
      <c r="F1923" t="s">
        <v>431</v>
      </c>
      <c r="G1923" t="str">
        <f>HYPERLINK("https://ca.linkedin.com/jobs/view/commercial-data-analyst-at-organigram-inc-3367177254?refId=3JvezAs7CDbdECzuO%2F8guA%3D%3D&amp;trackingId=YET7zyLxkIDWF8gkWcMI%2Fw%3D%3D&amp;position=24&amp;pageNum=0&amp;trk=public_jobs_jserp-result_search-card", "Job Link")</f>
        <v>Job Link</v>
      </c>
      <c r="I1923" t="s">
        <v>481</v>
      </c>
      <c r="L1923" t="s">
        <v>582</v>
      </c>
      <c r="M1923" t="s">
        <v>588</v>
      </c>
      <c r="N1923" t="s">
        <v>601</v>
      </c>
    </row>
    <row r="1924" spans="1:14" x14ac:dyDescent="0.25">
      <c r="A1924" t="s">
        <v>14</v>
      </c>
      <c r="B1924" t="s">
        <v>225</v>
      </c>
      <c r="C1924" t="s">
        <v>385</v>
      </c>
      <c r="D1924" t="s">
        <v>426</v>
      </c>
      <c r="F1924" t="s">
        <v>463</v>
      </c>
      <c r="G1924" t="str">
        <f>HYPERLINK("https://ca.linkedin.com/jobs/view/data-analyst-at-vector-institute-3325395506?refId=3JvezAs7CDbdECzuO%2F8guA%3D%3D&amp;trackingId=DwxdKDkTqGxYhVZq3DBVOQ%3D%3D&amp;position=25&amp;pageNum=0&amp;trk=public_jobs_jserp-result_search-card", "Job Link")</f>
        <v>Job Link</v>
      </c>
      <c r="H1924" t="s">
        <v>478</v>
      </c>
      <c r="I1924" t="s">
        <v>481</v>
      </c>
      <c r="J1924" t="s">
        <v>486</v>
      </c>
      <c r="K1924" t="s">
        <v>520</v>
      </c>
      <c r="L1924" t="s">
        <v>582</v>
      </c>
      <c r="M1924" t="s">
        <v>588</v>
      </c>
      <c r="N1924" t="s">
        <v>601</v>
      </c>
    </row>
    <row r="1925" spans="1:14" x14ac:dyDescent="0.25">
      <c r="A1925" t="s">
        <v>14</v>
      </c>
      <c r="B1925" t="s">
        <v>207</v>
      </c>
      <c r="C1925" t="s">
        <v>362</v>
      </c>
      <c r="D1925" t="s">
        <v>426</v>
      </c>
      <c r="F1925" t="s">
        <v>463</v>
      </c>
      <c r="G1925" t="str">
        <f>HYPERLINK("https://ca.linkedin.com/jobs/view/data-analyst-at-onlia-3320897897?refId=jF%2FeyfiZNtRO5BGJOH%2BT4A%3D%3D&amp;trackingId=k7DugrO4DiMy%2Fq1JhcL5Ng%3D%3D&amp;position=1&amp;pageNum=0&amp;trk=public_jobs_jserp-result_search-card", "Job Link")</f>
        <v>Job Link</v>
      </c>
      <c r="H1925" t="s">
        <v>477</v>
      </c>
      <c r="I1925" t="s">
        <v>481</v>
      </c>
      <c r="J1925" t="s">
        <v>486</v>
      </c>
      <c r="K1925" t="s">
        <v>523</v>
      </c>
      <c r="L1925" t="s">
        <v>582</v>
      </c>
      <c r="M1925" t="s">
        <v>588</v>
      </c>
      <c r="N1925" t="s">
        <v>601</v>
      </c>
    </row>
    <row r="1926" spans="1:14" x14ac:dyDescent="0.25">
      <c r="A1926" t="s">
        <v>14</v>
      </c>
      <c r="B1926" t="s">
        <v>208</v>
      </c>
      <c r="C1926" t="s">
        <v>363</v>
      </c>
      <c r="D1926" t="s">
        <v>426</v>
      </c>
      <c r="F1926" t="s">
        <v>445</v>
      </c>
      <c r="G1926" t="str">
        <f>HYPERLINK("https://ca.linkedin.com/jobs/view/data-analyst-at-electronic-arts-ea-3325611825?refId=jF%2FeyfiZNtRO5BGJOH%2BT4A%3D%3D&amp;trackingId=FztWEnOxIIjDa%2BHSXYoq6g%3D%3D&amp;position=2&amp;pageNum=0&amp;trk=public_jobs_jserp-result_search-card", "Job Link")</f>
        <v>Job Link</v>
      </c>
      <c r="H1926" t="s">
        <v>479</v>
      </c>
      <c r="I1926" t="s">
        <v>481</v>
      </c>
      <c r="J1926" t="s">
        <v>507</v>
      </c>
      <c r="K1926" t="s">
        <v>559</v>
      </c>
      <c r="L1926" t="s">
        <v>582</v>
      </c>
      <c r="M1926" t="s">
        <v>588</v>
      </c>
      <c r="N1926" t="s">
        <v>601</v>
      </c>
    </row>
    <row r="1927" spans="1:14" x14ac:dyDescent="0.25">
      <c r="A1927" t="s">
        <v>14</v>
      </c>
      <c r="B1927" t="s">
        <v>209</v>
      </c>
      <c r="C1927" t="s">
        <v>364</v>
      </c>
      <c r="D1927" t="s">
        <v>426</v>
      </c>
      <c r="F1927" t="s">
        <v>440</v>
      </c>
      <c r="G1927" t="str">
        <f>HYPERLINK("https://ca.linkedin.com/jobs/view/data-analyst-at-frostbite-3370111856?refId=jF%2FeyfiZNtRO5BGJOH%2BT4A%3D%3D&amp;trackingId=oCt9K29zA4a9sffKc7Km6A%3D%3D&amp;position=3&amp;pageNum=0&amp;trk=public_jobs_jserp-result_search-card", "Job Link")</f>
        <v>Job Link</v>
      </c>
      <c r="H1927" t="s">
        <v>479</v>
      </c>
      <c r="I1927" t="s">
        <v>481</v>
      </c>
      <c r="J1927" t="s">
        <v>507</v>
      </c>
      <c r="K1927" t="s">
        <v>559</v>
      </c>
      <c r="L1927" t="s">
        <v>590</v>
      </c>
      <c r="M1927" t="s">
        <v>618</v>
      </c>
      <c r="N1927" t="s">
        <v>601</v>
      </c>
    </row>
    <row r="1928" spans="1:14" x14ac:dyDescent="0.25">
      <c r="A1928" t="s">
        <v>81</v>
      </c>
      <c r="B1928" t="s">
        <v>210</v>
      </c>
      <c r="C1928" t="s">
        <v>365</v>
      </c>
      <c r="D1928" t="s">
        <v>426</v>
      </c>
      <c r="F1928" t="s">
        <v>436</v>
      </c>
      <c r="G1928" t="str">
        <f>HYPERLINK("https://ca.linkedin.com/jobs/view/data-analyst-c117-at-mitsubishi-motor-sales-of-canada-inc-3344852931?refId=jF%2FeyfiZNtRO5BGJOH%2BT4A%3D%3D&amp;trackingId=CMrDO%2FVNW4H%2FbsROjjww4Q%3D%3D&amp;position=4&amp;pageNum=0&amp;trk=public_jobs_jserp-result_search-card", "Job Link")</f>
        <v>Job Link</v>
      </c>
      <c r="H1928" t="s">
        <v>477</v>
      </c>
      <c r="I1928" t="s">
        <v>481</v>
      </c>
      <c r="J1928" t="s">
        <v>508</v>
      </c>
      <c r="K1928" t="s">
        <v>561</v>
      </c>
      <c r="L1928" t="s">
        <v>584</v>
      </c>
      <c r="M1928" t="s">
        <v>588</v>
      </c>
      <c r="N1928" t="s">
        <v>601</v>
      </c>
    </row>
    <row r="1929" spans="1:14" x14ac:dyDescent="0.25">
      <c r="A1929" t="s">
        <v>14</v>
      </c>
      <c r="B1929" t="s">
        <v>211</v>
      </c>
      <c r="C1929" t="s">
        <v>366</v>
      </c>
      <c r="D1929" t="s">
        <v>426</v>
      </c>
      <c r="F1929" t="s">
        <v>443</v>
      </c>
      <c r="G1929" t="str">
        <f>HYPERLINK("https://ca.linkedin.com/jobs/view/data-analyst-at-mphasis-3363428246?refId=jF%2FeyfiZNtRO5BGJOH%2BT4A%3D%3D&amp;trackingId=VdcSsZoY5EMaO5wH8A3IaQ%3D%3D&amp;position=5&amp;pageNum=0&amp;trk=public_jobs_jserp-result_search-card", "Job Link")</f>
        <v>Job Link</v>
      </c>
      <c r="H1929" t="s">
        <v>477</v>
      </c>
      <c r="I1929" t="s">
        <v>481</v>
      </c>
      <c r="J1929" t="s">
        <v>486</v>
      </c>
      <c r="K1929" t="s">
        <v>521</v>
      </c>
      <c r="L1929" t="s">
        <v>609</v>
      </c>
      <c r="M1929" t="s">
        <v>610</v>
      </c>
      <c r="N1929" t="s">
        <v>601</v>
      </c>
    </row>
    <row r="1930" spans="1:14" x14ac:dyDescent="0.25">
      <c r="A1930" t="s">
        <v>14</v>
      </c>
      <c r="B1930" t="s">
        <v>150</v>
      </c>
      <c r="C1930" t="s">
        <v>367</v>
      </c>
      <c r="D1930" t="s">
        <v>426</v>
      </c>
      <c r="F1930" t="s">
        <v>433</v>
      </c>
      <c r="G1930" t="str">
        <f>HYPERLINK("https://ca.linkedin.com/jobs/view/data-analyst-at-synechron-3348329085?refId=jF%2FeyfiZNtRO5BGJOH%2BT4A%3D%3D&amp;trackingId=So%2FyxhvWO5Ic1%2FopFA2Z9w%3D%3D&amp;position=6&amp;pageNum=0&amp;trk=public_jobs_jserp-result_search-card", "Job Link")</f>
        <v>Job Link</v>
      </c>
      <c r="H1930" t="s">
        <v>478</v>
      </c>
      <c r="I1930" t="s">
        <v>481</v>
      </c>
      <c r="J1930" t="s">
        <v>486</v>
      </c>
      <c r="K1930" t="s">
        <v>562</v>
      </c>
      <c r="L1930" t="s">
        <v>584</v>
      </c>
      <c r="M1930" t="s">
        <v>588</v>
      </c>
      <c r="N1930" t="s">
        <v>601</v>
      </c>
    </row>
    <row r="1931" spans="1:14" x14ac:dyDescent="0.25">
      <c r="A1931" t="s">
        <v>82</v>
      </c>
      <c r="B1931" t="s">
        <v>179</v>
      </c>
      <c r="C1931" t="s">
        <v>368</v>
      </c>
      <c r="D1931" t="s">
        <v>426</v>
      </c>
      <c r="F1931" t="s">
        <v>471</v>
      </c>
      <c r="G1931" t="str">
        <f>HYPERLINK("https://ca.linkedin.com/jobs/view/business-data-analyst-at-capgemini-3327624663?refId=jF%2FeyfiZNtRO5BGJOH%2BT4A%3D%3D&amp;trackingId=TXmp0rZwfcKaVHJ6RdoGVQ%3D%3D&amp;position=7&amp;pageNum=0&amp;trk=public_jobs_jserp-result_search-card", "Job Link")</f>
        <v>Job Link</v>
      </c>
      <c r="H1931" t="s">
        <v>478</v>
      </c>
      <c r="I1931" t="s">
        <v>481</v>
      </c>
      <c r="J1931" t="s">
        <v>486</v>
      </c>
      <c r="K1931" t="s">
        <v>521</v>
      </c>
      <c r="L1931" t="s">
        <v>611</v>
      </c>
      <c r="M1931" t="s">
        <v>601</v>
      </c>
    </row>
    <row r="1932" spans="1:14" x14ac:dyDescent="0.25">
      <c r="A1932" t="s">
        <v>14</v>
      </c>
      <c r="B1932" t="s">
        <v>150</v>
      </c>
      <c r="C1932" t="s">
        <v>369</v>
      </c>
      <c r="D1932" t="s">
        <v>426</v>
      </c>
      <c r="F1932" t="s">
        <v>460</v>
      </c>
      <c r="G1932" t="str">
        <f>HYPERLINK("https://ca.linkedin.com/jobs/view/data-analyst-at-synechron-3364863079?refId=jF%2FeyfiZNtRO5BGJOH%2BT4A%3D%3D&amp;trackingId=Cw2O%2FZnn9T%2FIielC3xeVCQ%3D%3D&amp;position=8&amp;pageNum=0&amp;trk=public_jobs_jserp-result_search-card", "Job Link")</f>
        <v>Job Link</v>
      </c>
      <c r="H1932" t="s">
        <v>478</v>
      </c>
      <c r="I1932" t="s">
        <v>481</v>
      </c>
      <c r="J1932" t="s">
        <v>486</v>
      </c>
      <c r="K1932" t="s">
        <v>563</v>
      </c>
      <c r="L1932" t="s">
        <v>584</v>
      </c>
      <c r="M1932" t="s">
        <v>588</v>
      </c>
      <c r="N1932" t="s">
        <v>601</v>
      </c>
    </row>
    <row r="1933" spans="1:14" x14ac:dyDescent="0.25">
      <c r="A1933" t="s">
        <v>14</v>
      </c>
      <c r="B1933" t="s">
        <v>150</v>
      </c>
      <c r="C1933" t="s">
        <v>367</v>
      </c>
      <c r="D1933" t="s">
        <v>426</v>
      </c>
      <c r="F1933" t="s">
        <v>460</v>
      </c>
      <c r="G1933" t="str">
        <f>HYPERLINK("https://ca.linkedin.com/jobs/view/data-analyst-at-synechron-3361756851?refId=jF%2FeyfiZNtRO5BGJOH%2BT4A%3D%3D&amp;trackingId=L3mOKvxX3QtylyLu37HCHA%3D%3D&amp;position=9&amp;pageNum=0&amp;trk=public_jobs_jserp-result_search-card", "Job Link")</f>
        <v>Job Link</v>
      </c>
      <c r="H1933" t="s">
        <v>478</v>
      </c>
      <c r="I1933" t="s">
        <v>481</v>
      </c>
      <c r="J1933" t="s">
        <v>486</v>
      </c>
      <c r="K1933" t="s">
        <v>562</v>
      </c>
      <c r="L1933" t="s">
        <v>584</v>
      </c>
      <c r="M1933" t="s">
        <v>588</v>
      </c>
      <c r="N1933" t="s">
        <v>601</v>
      </c>
    </row>
    <row r="1934" spans="1:14" x14ac:dyDescent="0.25">
      <c r="A1934" t="s">
        <v>14</v>
      </c>
      <c r="B1934" t="s">
        <v>212</v>
      </c>
      <c r="C1934" t="s">
        <v>370</v>
      </c>
      <c r="D1934" t="s">
        <v>426</v>
      </c>
      <c r="F1934" t="s">
        <v>432</v>
      </c>
      <c r="G1934" t="str">
        <f>HYPERLINK("https://ca.linkedin.com/jobs/view/data-analyst-at-agilus-work-solutions-3358673093?refId=jF%2FeyfiZNtRO5BGJOH%2BT4A%3D%3D&amp;trackingId=OK1FQ0FIiHU3FJp6RQF87Q%3D%3D&amp;position=10&amp;pageNum=0&amp;trk=public_jobs_jserp-result_search-card", "Job Link")</f>
        <v>Job Link</v>
      </c>
      <c r="H1934" t="s">
        <v>477</v>
      </c>
      <c r="I1934" t="s">
        <v>483</v>
      </c>
      <c r="J1934" t="s">
        <v>486</v>
      </c>
      <c r="K1934" t="s">
        <v>518</v>
      </c>
      <c r="L1934" t="s">
        <v>582</v>
      </c>
      <c r="M1934" t="s">
        <v>588</v>
      </c>
      <c r="N1934" t="s">
        <v>601</v>
      </c>
    </row>
    <row r="1935" spans="1:14" x14ac:dyDescent="0.25">
      <c r="A1935" t="s">
        <v>14</v>
      </c>
      <c r="B1935" t="s">
        <v>213</v>
      </c>
      <c r="C1935" t="s">
        <v>371</v>
      </c>
      <c r="D1935" t="s">
        <v>426</v>
      </c>
      <c r="F1935" t="s">
        <v>472</v>
      </c>
      <c r="G1935" t="str">
        <f>HYPERLINK("https://ca.linkedin.com/jobs/view/data-analyst-at-linkus-group-3345817125?refId=jF%2FeyfiZNtRO5BGJOH%2BT4A%3D%3D&amp;trackingId=vPNtJcLW%2B5eey0yfbrHXSA%3D%3D&amp;position=11&amp;pageNum=0&amp;trk=public_jobs_jserp-result_search-card", "Job Link")</f>
        <v>Job Link</v>
      </c>
      <c r="H1935" t="s">
        <v>476</v>
      </c>
      <c r="I1935" t="s">
        <v>481</v>
      </c>
      <c r="J1935" t="s">
        <v>486</v>
      </c>
      <c r="K1935" t="s">
        <v>518</v>
      </c>
      <c r="L1935" t="s">
        <v>588</v>
      </c>
      <c r="M1935" t="s">
        <v>601</v>
      </c>
    </row>
    <row r="1936" spans="1:14" x14ac:dyDescent="0.25">
      <c r="A1936" t="s">
        <v>14</v>
      </c>
      <c r="B1936" t="s">
        <v>214</v>
      </c>
      <c r="C1936" t="s">
        <v>372</v>
      </c>
      <c r="D1936" t="s">
        <v>426</v>
      </c>
      <c r="F1936" t="s">
        <v>432</v>
      </c>
      <c r="G1936" t="str">
        <f>HYPERLINK("https://ca.linkedin.com/jobs/view/data-analyst-at-goeasy-ltd-3358677253?refId=jF%2FeyfiZNtRO5BGJOH%2BT4A%3D%3D&amp;trackingId=ldKqXXPmL6aIYN9SPFsnKA%3D%3D&amp;position=12&amp;pageNum=0&amp;trk=public_jobs_jserp-result_search-card", "Job Link")</f>
        <v>Job Link</v>
      </c>
      <c r="H1936" t="s">
        <v>476</v>
      </c>
      <c r="I1936" t="s">
        <v>481</v>
      </c>
      <c r="J1936" t="s">
        <v>486</v>
      </c>
      <c r="K1936" t="s">
        <v>550</v>
      </c>
      <c r="L1936" t="s">
        <v>584</v>
      </c>
      <c r="M1936" t="s">
        <v>588</v>
      </c>
      <c r="N1936" t="s">
        <v>601</v>
      </c>
    </row>
    <row r="1937" spans="1:14" x14ac:dyDescent="0.25">
      <c r="A1937" t="s">
        <v>83</v>
      </c>
      <c r="B1937" t="s">
        <v>215</v>
      </c>
      <c r="C1937" t="s">
        <v>373</v>
      </c>
      <c r="D1937" t="s">
        <v>426</v>
      </c>
      <c r="F1937" t="s">
        <v>462</v>
      </c>
      <c r="G1937">
        <v>0</v>
      </c>
      <c r="H1937" t="s">
        <v>478</v>
      </c>
      <c r="I1937" t="s">
        <v>483</v>
      </c>
      <c r="J1937" t="s">
        <v>509</v>
      </c>
      <c r="K1937" t="s">
        <v>550</v>
      </c>
      <c r="L1937" t="s">
        <v>584</v>
      </c>
      <c r="M1937" t="s">
        <v>588</v>
      </c>
      <c r="N1937" t="s">
        <v>601</v>
      </c>
    </row>
    <row r="1938" spans="1:14" x14ac:dyDescent="0.25">
      <c r="A1938" t="s">
        <v>20</v>
      </c>
      <c r="B1938" t="s">
        <v>207</v>
      </c>
      <c r="C1938" t="s">
        <v>374</v>
      </c>
      <c r="D1938" t="s">
        <v>426</v>
      </c>
      <c r="F1938" t="s">
        <v>463</v>
      </c>
      <c r="G1938" t="str">
        <f>HYPERLINK("https://ca.linkedin.com/jobs/view/senior-data-analyst-at-onlia-3320897882?refId=jF%2FeyfiZNtRO5BGJOH%2BT4A%3D%3D&amp;trackingId=kHZAItDhNEXgwhrEj%2BIlQQ%3D%3D&amp;position=14&amp;pageNum=0&amp;trk=public_jobs_jserp-result_search-card", "Job Link")</f>
        <v>Job Link</v>
      </c>
      <c r="H1938" t="s">
        <v>477</v>
      </c>
      <c r="I1938" t="s">
        <v>481</v>
      </c>
      <c r="J1938" t="s">
        <v>486</v>
      </c>
      <c r="K1938" t="s">
        <v>523</v>
      </c>
      <c r="L1938" t="s">
        <v>582</v>
      </c>
      <c r="M1938" t="s">
        <v>588</v>
      </c>
      <c r="N1938" t="s">
        <v>601</v>
      </c>
    </row>
    <row r="1939" spans="1:14" x14ac:dyDescent="0.25">
      <c r="A1939" t="s">
        <v>84</v>
      </c>
      <c r="B1939" t="s">
        <v>216</v>
      </c>
      <c r="C1939" t="s">
        <v>375</v>
      </c>
      <c r="D1939" t="s">
        <v>426</v>
      </c>
      <c r="F1939" t="s">
        <v>452</v>
      </c>
      <c r="G1939" t="str">
        <f>HYPERLINK("https://ca.linkedin.com/jobs/view/data-analyst-hybrid-at-xylem-3335088701?refId=jF%2FeyfiZNtRO5BGJOH%2BT4A%3D%3D&amp;trackingId=4yWbLNFzLHiTq1htx18NBw%3D%3D&amp;position=15&amp;pageNum=0&amp;trk=public_jobs_jserp-result_search-card", "Job Link")</f>
        <v>Job Link</v>
      </c>
      <c r="H1939" t="s">
        <v>476</v>
      </c>
      <c r="I1939" t="s">
        <v>481</v>
      </c>
      <c r="J1939" t="s">
        <v>486</v>
      </c>
      <c r="K1939" t="s">
        <v>564</v>
      </c>
      <c r="L1939" t="s">
        <v>584</v>
      </c>
      <c r="M1939" t="s">
        <v>588</v>
      </c>
      <c r="N1939" t="s">
        <v>601</v>
      </c>
    </row>
    <row r="1940" spans="1:14" x14ac:dyDescent="0.25">
      <c r="A1940" t="s">
        <v>85</v>
      </c>
      <c r="B1940" t="s">
        <v>217</v>
      </c>
      <c r="C1940" t="s">
        <v>376</v>
      </c>
      <c r="D1940" t="s">
        <v>426</v>
      </c>
      <c r="F1940" t="s">
        <v>473</v>
      </c>
      <c r="G1940" t="str">
        <f>HYPERLINK("https://ca.linkedin.com/jobs/view/data-analyst-python-sql-at-geotab-3341823745?refId=jF%2FeyfiZNtRO5BGJOH%2BT4A%3D%3D&amp;trackingId=pWuBcBCzxzjbV1qCP0q6Rg%3D%3D&amp;position=16&amp;pageNum=0&amp;trk=public_jobs_jserp-result_search-card", "Job Link")</f>
        <v>Job Link</v>
      </c>
      <c r="H1940" t="s">
        <v>479</v>
      </c>
      <c r="I1940" t="s">
        <v>481</v>
      </c>
      <c r="J1940" t="s">
        <v>486</v>
      </c>
      <c r="K1940" t="s">
        <v>521</v>
      </c>
      <c r="L1940" t="s">
        <v>612</v>
      </c>
      <c r="M1940" t="s">
        <v>588</v>
      </c>
      <c r="N1940" t="s">
        <v>601</v>
      </c>
    </row>
    <row r="1941" spans="1:14" x14ac:dyDescent="0.25">
      <c r="A1941" t="s">
        <v>86</v>
      </c>
      <c r="B1941" t="s">
        <v>167</v>
      </c>
      <c r="C1941" t="s">
        <v>377</v>
      </c>
      <c r="D1941" t="s">
        <v>426</v>
      </c>
      <c r="F1941" t="s">
        <v>454</v>
      </c>
      <c r="G1941" t="str">
        <f>HYPERLINK("https://ca.linkedin.com/jobs/view/data-analyst-reporting-at-thescore-3345941286?refId=jF%2FeyfiZNtRO5BGJOH%2BT4A%3D%3D&amp;trackingId=FPAShGJbRSg%2FXzaTgDMqOg%3D%3D&amp;position=17&amp;pageNum=0&amp;trk=public_jobs_jserp-result_search-card", "Job Link")</f>
        <v>Job Link</v>
      </c>
      <c r="H1941" t="s">
        <v>476</v>
      </c>
      <c r="I1941" t="s">
        <v>481</v>
      </c>
      <c r="J1941" t="s">
        <v>486</v>
      </c>
      <c r="K1941" t="s">
        <v>545</v>
      </c>
      <c r="L1941" t="s">
        <v>582</v>
      </c>
      <c r="M1941" t="s">
        <v>588</v>
      </c>
      <c r="N1941" t="s">
        <v>601</v>
      </c>
    </row>
    <row r="1942" spans="1:14" x14ac:dyDescent="0.25">
      <c r="A1942" t="s">
        <v>87</v>
      </c>
      <c r="B1942" t="s">
        <v>218</v>
      </c>
      <c r="C1942" t="s">
        <v>378</v>
      </c>
      <c r="D1942" t="s">
        <v>426</v>
      </c>
      <c r="F1942" t="s">
        <v>432</v>
      </c>
      <c r="G1942">
        <v>0</v>
      </c>
      <c r="H1942" t="s">
        <v>478</v>
      </c>
      <c r="I1942" t="s">
        <v>483</v>
      </c>
      <c r="J1942" t="s">
        <v>486</v>
      </c>
      <c r="K1942" t="s">
        <v>521</v>
      </c>
      <c r="L1942" t="s">
        <v>582</v>
      </c>
      <c r="M1942" t="s">
        <v>588</v>
      </c>
      <c r="N1942" t="s">
        <v>601</v>
      </c>
    </row>
    <row r="1943" spans="1:14" x14ac:dyDescent="0.25">
      <c r="A1943" t="s">
        <v>88</v>
      </c>
      <c r="B1943" t="s">
        <v>219</v>
      </c>
      <c r="C1943" t="s">
        <v>379</v>
      </c>
      <c r="D1943" t="s">
        <v>426</v>
      </c>
      <c r="F1943" t="s">
        <v>454</v>
      </c>
      <c r="G1943" t="str">
        <f>HYPERLINK("https://ca.linkedin.com/jobs/view/data-analyst-flight-pricing-optimization-at-priceline-3345993633?refId=jF%2FeyfiZNtRO5BGJOH%2BT4A%3D%3D&amp;trackingId=SjGh5acN8bg15F2wQ2N0dw%3D%3D&amp;position=19&amp;pageNum=0&amp;trk=public_jobs_jserp-result_search-card", "Job Link")</f>
        <v>Job Link</v>
      </c>
      <c r="H1943" t="s">
        <v>476</v>
      </c>
      <c r="I1943" t="s">
        <v>481</v>
      </c>
      <c r="J1943" t="s">
        <v>486</v>
      </c>
      <c r="K1943" t="s">
        <v>565</v>
      </c>
      <c r="L1943" t="s">
        <v>582</v>
      </c>
      <c r="M1943" t="s">
        <v>588</v>
      </c>
      <c r="N1943" t="s">
        <v>601</v>
      </c>
    </row>
    <row r="1944" spans="1:14" x14ac:dyDescent="0.25">
      <c r="A1944" t="s">
        <v>27</v>
      </c>
      <c r="B1944" t="s">
        <v>220</v>
      </c>
      <c r="C1944" t="s">
        <v>380</v>
      </c>
      <c r="D1944" t="s">
        <v>426</v>
      </c>
      <c r="F1944" t="s">
        <v>434</v>
      </c>
      <c r="G1944" t="str">
        <f>HYPERLINK("https://ca.linkedin.com/jobs/view/sr-data-analyst-at-randstad-canada-3354999789?refId=jF%2FeyfiZNtRO5BGJOH%2BT4A%3D%3D&amp;trackingId=IP8qY7DbzWltz6kp962uqA%3D%3D&amp;position=20&amp;pageNum=0&amp;trk=public_jobs_jserp-result_search-card", "Job Link")</f>
        <v>Job Link</v>
      </c>
      <c r="H1944" t="s">
        <v>478</v>
      </c>
      <c r="I1944" t="s">
        <v>483</v>
      </c>
      <c r="J1944" t="s">
        <v>486</v>
      </c>
      <c r="K1944" t="s">
        <v>518</v>
      </c>
      <c r="L1944" t="s">
        <v>584</v>
      </c>
      <c r="M1944" t="s">
        <v>588</v>
      </c>
      <c r="N1944" t="s">
        <v>601</v>
      </c>
    </row>
    <row r="1945" spans="1:14" x14ac:dyDescent="0.25">
      <c r="A1945" t="s">
        <v>89</v>
      </c>
      <c r="B1945" t="s">
        <v>221</v>
      </c>
      <c r="C1945" t="s">
        <v>381</v>
      </c>
      <c r="D1945" t="s">
        <v>426</v>
      </c>
      <c r="F1945" t="s">
        <v>461</v>
      </c>
      <c r="G1945">
        <v>0</v>
      </c>
      <c r="H1945" t="s">
        <v>476</v>
      </c>
      <c r="I1945" t="s">
        <v>481</v>
      </c>
      <c r="J1945" t="s">
        <v>488</v>
      </c>
      <c r="K1945" t="s">
        <v>566</v>
      </c>
      <c r="L1945" t="s">
        <v>582</v>
      </c>
      <c r="M1945" t="s">
        <v>588</v>
      </c>
      <c r="N1945" t="s">
        <v>601</v>
      </c>
    </row>
    <row r="1946" spans="1:14" x14ac:dyDescent="0.25">
      <c r="A1946" t="s">
        <v>14</v>
      </c>
      <c r="B1946" t="s">
        <v>222</v>
      </c>
      <c r="C1946" t="s">
        <v>382</v>
      </c>
      <c r="D1946" t="s">
        <v>426</v>
      </c>
      <c r="F1946" t="s">
        <v>431</v>
      </c>
      <c r="G1946" t="str">
        <f>HYPERLINK("https://ca.linkedin.com/jobs/view/data-analyst-at-circle-k-3367192655?refId=jF%2FeyfiZNtRO5BGJOH%2BT4A%3D%3D&amp;trackingId=ZkcD6EQejOHx5%2By96xpPAQ%3D%3D&amp;position=22&amp;pageNum=0&amp;trk=public_jobs_jserp-result_search-card", "Job Link")</f>
        <v>Job Link</v>
      </c>
      <c r="H1946" t="s">
        <v>476</v>
      </c>
      <c r="I1946" t="s">
        <v>481</v>
      </c>
      <c r="J1946" t="s">
        <v>486</v>
      </c>
      <c r="K1946" t="s">
        <v>567</v>
      </c>
      <c r="L1946" t="s">
        <v>582</v>
      </c>
      <c r="M1946" t="s">
        <v>588</v>
      </c>
      <c r="N1946" t="s">
        <v>601</v>
      </c>
    </row>
    <row r="1947" spans="1:14" x14ac:dyDescent="0.25">
      <c r="A1947" t="s">
        <v>90</v>
      </c>
      <c r="B1947" t="s">
        <v>223</v>
      </c>
      <c r="C1947" t="s">
        <v>383</v>
      </c>
      <c r="D1947" t="s">
        <v>426</v>
      </c>
      <c r="F1947" t="s">
        <v>443</v>
      </c>
      <c r="G1947" t="str">
        <f>HYPERLINK("https://ca.linkedin.com/jobs/view/data-administrator-data-analyst-at-hays-3369576413?refId=jF%2FeyfiZNtRO5BGJOH%2BT4A%3D%3D&amp;trackingId=BL3nOpqmxrTwhV7QIHz9NQ%3D%3D&amp;position=23&amp;pageNum=0&amp;trk=public_jobs_jserp-result_search-card", "Job Link")</f>
        <v>Job Link</v>
      </c>
      <c r="H1947" t="s">
        <v>478</v>
      </c>
      <c r="I1947" t="s">
        <v>481</v>
      </c>
      <c r="J1947" t="s">
        <v>486</v>
      </c>
      <c r="K1947" t="s">
        <v>518</v>
      </c>
      <c r="L1947" t="s">
        <v>583</v>
      </c>
      <c r="M1947" t="s">
        <v>610</v>
      </c>
      <c r="N1947" t="s">
        <v>601</v>
      </c>
    </row>
    <row r="1948" spans="1:14" x14ac:dyDescent="0.25">
      <c r="A1948" t="s">
        <v>91</v>
      </c>
      <c r="B1948" t="s">
        <v>224</v>
      </c>
      <c r="C1948" t="s">
        <v>384</v>
      </c>
      <c r="D1948" t="s">
        <v>426</v>
      </c>
      <c r="F1948" t="s">
        <v>431</v>
      </c>
      <c r="G1948" t="str">
        <f>HYPERLINK("https://ca.linkedin.com/jobs/view/commercial-data-analyst-at-organigram-inc-3367177254?refId=jF%2FeyfiZNtRO5BGJOH%2BT4A%3D%3D&amp;trackingId=JlJr%2FJoeuUsEqJHVKrb80Q%3D%3D&amp;position=24&amp;pageNum=0&amp;trk=public_jobs_jserp-result_search-card", "Job Link")</f>
        <v>Job Link</v>
      </c>
      <c r="I1948" t="s">
        <v>481</v>
      </c>
      <c r="L1948" t="s">
        <v>582</v>
      </c>
      <c r="M1948" t="s">
        <v>588</v>
      </c>
      <c r="N1948" t="s">
        <v>601</v>
      </c>
    </row>
    <row r="1949" spans="1:14" x14ac:dyDescent="0.25">
      <c r="A1949" t="s">
        <v>14</v>
      </c>
      <c r="B1949" t="s">
        <v>225</v>
      </c>
      <c r="C1949" t="s">
        <v>385</v>
      </c>
      <c r="D1949" t="s">
        <v>426</v>
      </c>
      <c r="F1949" t="s">
        <v>463</v>
      </c>
      <c r="G1949" t="str">
        <f>HYPERLINK("https://ca.linkedin.com/jobs/view/data-analyst-at-vector-institute-3325395506?refId=jF%2FeyfiZNtRO5BGJOH%2BT4A%3D%3D&amp;trackingId=dwqWiKeIHu7McpZ9MKsQgg%3D%3D&amp;position=25&amp;pageNum=0&amp;trk=public_jobs_jserp-result_search-card", "Job Link")</f>
        <v>Job Link</v>
      </c>
      <c r="H1949" t="s">
        <v>478</v>
      </c>
      <c r="I1949" t="s">
        <v>481</v>
      </c>
      <c r="J1949" t="s">
        <v>486</v>
      </c>
      <c r="K1949" t="s">
        <v>520</v>
      </c>
      <c r="L1949" t="s">
        <v>582</v>
      </c>
      <c r="M1949" t="s">
        <v>588</v>
      </c>
      <c r="N1949" t="s">
        <v>601</v>
      </c>
    </row>
    <row r="1950" spans="1:14" x14ac:dyDescent="0.25">
      <c r="A1950" t="s">
        <v>14</v>
      </c>
      <c r="B1950" t="s">
        <v>207</v>
      </c>
      <c r="C1950" t="s">
        <v>362</v>
      </c>
      <c r="D1950" t="s">
        <v>426</v>
      </c>
      <c r="F1950" t="s">
        <v>463</v>
      </c>
      <c r="G1950" t="str">
        <f>HYPERLINK("https://ca.linkedin.com/jobs/view/data-analyst-at-onlia-3320897897?refId=wVIxb%2B%2BUjHjC4EWxqfCNsg%3D%3D&amp;trackingId=5G%2B06t3cqDnhURjiBtJMGw%3D%3D&amp;position=1&amp;pageNum=0&amp;trk=public_jobs_jserp-result_search-card", "Job Link")</f>
        <v>Job Link</v>
      </c>
      <c r="H1950" t="s">
        <v>477</v>
      </c>
      <c r="I1950" t="s">
        <v>481</v>
      </c>
      <c r="J1950" t="s">
        <v>486</v>
      </c>
      <c r="K1950" t="s">
        <v>523</v>
      </c>
      <c r="L1950" t="s">
        <v>582</v>
      </c>
      <c r="M1950" t="s">
        <v>588</v>
      </c>
      <c r="N1950" t="s">
        <v>601</v>
      </c>
    </row>
    <row r="1951" spans="1:14" x14ac:dyDescent="0.25">
      <c r="A1951" t="s">
        <v>14</v>
      </c>
      <c r="B1951" t="s">
        <v>208</v>
      </c>
      <c r="C1951" t="s">
        <v>363</v>
      </c>
      <c r="D1951" t="s">
        <v>426</v>
      </c>
      <c r="F1951" t="s">
        <v>445</v>
      </c>
      <c r="G1951" t="str">
        <f>HYPERLINK("https://ca.linkedin.com/jobs/view/data-analyst-at-electronic-arts-ea-3325611825?refId=wVIxb%2B%2BUjHjC4EWxqfCNsg%3D%3D&amp;trackingId=el5lSTAGoO21xOSD%2BHjpfw%3D%3D&amp;position=2&amp;pageNum=0&amp;trk=public_jobs_jserp-result_search-card", "Job Link")</f>
        <v>Job Link</v>
      </c>
      <c r="H1951" t="s">
        <v>479</v>
      </c>
      <c r="I1951" t="s">
        <v>481</v>
      </c>
      <c r="J1951" t="s">
        <v>507</v>
      </c>
      <c r="K1951" t="s">
        <v>559</v>
      </c>
      <c r="L1951" t="s">
        <v>582</v>
      </c>
      <c r="M1951" t="s">
        <v>588</v>
      </c>
      <c r="N1951" t="s">
        <v>601</v>
      </c>
    </row>
    <row r="1952" spans="1:14" x14ac:dyDescent="0.25">
      <c r="A1952" t="s">
        <v>14</v>
      </c>
      <c r="B1952" t="s">
        <v>209</v>
      </c>
      <c r="C1952" t="s">
        <v>364</v>
      </c>
      <c r="D1952" t="s">
        <v>426</v>
      </c>
      <c r="F1952" t="s">
        <v>440</v>
      </c>
      <c r="G1952" t="str">
        <f>HYPERLINK("https://ca.linkedin.com/jobs/view/data-analyst-at-frostbite-3370111856?refId=wVIxb%2B%2BUjHjC4EWxqfCNsg%3D%3D&amp;trackingId=9oDg1nJGS6NR%2F5TENB%2BZmQ%3D%3D&amp;position=3&amp;pageNum=0&amp;trk=public_jobs_jserp-result_search-card", "Job Link")</f>
        <v>Job Link</v>
      </c>
      <c r="H1952" t="s">
        <v>479</v>
      </c>
      <c r="I1952" t="s">
        <v>481</v>
      </c>
      <c r="J1952" t="s">
        <v>507</v>
      </c>
      <c r="K1952" t="s">
        <v>559</v>
      </c>
      <c r="L1952" t="s">
        <v>590</v>
      </c>
      <c r="M1952" t="s">
        <v>618</v>
      </c>
      <c r="N1952" t="s">
        <v>601</v>
      </c>
    </row>
    <row r="1953" spans="1:14" x14ac:dyDescent="0.25">
      <c r="A1953" t="s">
        <v>14</v>
      </c>
      <c r="B1953" t="s">
        <v>211</v>
      </c>
      <c r="C1953" t="s">
        <v>366</v>
      </c>
      <c r="D1953" t="s">
        <v>426</v>
      </c>
      <c r="F1953" t="s">
        <v>443</v>
      </c>
      <c r="G1953" t="str">
        <f>HYPERLINK("https://ca.linkedin.com/jobs/view/data-analyst-at-mphasis-3363428246?refId=wVIxb%2B%2BUjHjC4EWxqfCNsg%3D%3D&amp;trackingId=cG0mR3Ggem%2FKO%2BHLCyYERA%3D%3D&amp;position=4&amp;pageNum=0&amp;trk=public_jobs_jserp-result_search-card", "Job Link")</f>
        <v>Job Link</v>
      </c>
      <c r="H1953" t="s">
        <v>477</v>
      </c>
      <c r="I1953" t="s">
        <v>481</v>
      </c>
      <c r="J1953" t="s">
        <v>486</v>
      </c>
      <c r="K1953" t="s">
        <v>521</v>
      </c>
      <c r="L1953" t="s">
        <v>609</v>
      </c>
      <c r="M1953" t="s">
        <v>610</v>
      </c>
      <c r="N1953" t="s">
        <v>601</v>
      </c>
    </row>
    <row r="1954" spans="1:14" x14ac:dyDescent="0.25">
      <c r="A1954" t="s">
        <v>81</v>
      </c>
      <c r="B1954" t="s">
        <v>210</v>
      </c>
      <c r="C1954" t="s">
        <v>365</v>
      </c>
      <c r="D1954" t="s">
        <v>426</v>
      </c>
      <c r="F1954" t="s">
        <v>436</v>
      </c>
      <c r="G1954" t="str">
        <f>HYPERLINK("https://ca.linkedin.com/jobs/view/data-analyst-c117-at-mitsubishi-motor-sales-of-canada-inc-3344852931?refId=wVIxb%2B%2BUjHjC4EWxqfCNsg%3D%3D&amp;trackingId=NZDmTlXvwJWW50R%2FbgoWnA%3D%3D&amp;position=5&amp;pageNum=0&amp;trk=public_jobs_jserp-result_search-card", "Job Link")</f>
        <v>Job Link</v>
      </c>
      <c r="H1954" t="s">
        <v>477</v>
      </c>
      <c r="I1954" t="s">
        <v>481</v>
      </c>
      <c r="J1954" t="s">
        <v>508</v>
      </c>
      <c r="K1954" t="s">
        <v>561</v>
      </c>
      <c r="L1954" t="s">
        <v>584</v>
      </c>
      <c r="M1954" t="s">
        <v>588</v>
      </c>
      <c r="N1954" t="s">
        <v>601</v>
      </c>
    </row>
    <row r="1955" spans="1:14" x14ac:dyDescent="0.25">
      <c r="A1955" t="s">
        <v>14</v>
      </c>
      <c r="B1955" t="s">
        <v>150</v>
      </c>
      <c r="C1955" t="s">
        <v>367</v>
      </c>
      <c r="D1955" t="s">
        <v>426</v>
      </c>
      <c r="F1955" t="s">
        <v>433</v>
      </c>
      <c r="G1955" t="str">
        <f>HYPERLINK("https://ca.linkedin.com/jobs/view/data-analyst-at-synechron-3348329085?refId=wVIxb%2B%2BUjHjC4EWxqfCNsg%3D%3D&amp;trackingId=n1GG92dICbZjjNHRCeAaYQ%3D%3D&amp;position=6&amp;pageNum=0&amp;trk=public_jobs_jserp-result_search-card", "Job Link")</f>
        <v>Job Link</v>
      </c>
      <c r="H1955" t="s">
        <v>478</v>
      </c>
      <c r="I1955" t="s">
        <v>481</v>
      </c>
      <c r="J1955" t="s">
        <v>486</v>
      </c>
      <c r="K1955" t="s">
        <v>562</v>
      </c>
      <c r="L1955" t="s">
        <v>584</v>
      </c>
      <c r="M1955" t="s">
        <v>588</v>
      </c>
      <c r="N1955" t="s">
        <v>601</v>
      </c>
    </row>
    <row r="1956" spans="1:14" x14ac:dyDescent="0.25">
      <c r="A1956" t="s">
        <v>82</v>
      </c>
      <c r="B1956" t="s">
        <v>179</v>
      </c>
      <c r="C1956" t="s">
        <v>368</v>
      </c>
      <c r="D1956" t="s">
        <v>426</v>
      </c>
      <c r="F1956" t="s">
        <v>471</v>
      </c>
      <c r="G1956" t="str">
        <f>HYPERLINK("https://ca.linkedin.com/jobs/view/business-data-analyst-at-capgemini-3327624663?refId=wVIxb%2B%2BUjHjC4EWxqfCNsg%3D%3D&amp;trackingId=8G8U6g08SlXLaosd%2Bq9X8Q%3D%3D&amp;position=7&amp;pageNum=0&amp;trk=public_jobs_jserp-result_search-card", "Job Link")</f>
        <v>Job Link</v>
      </c>
      <c r="H1956" t="s">
        <v>478</v>
      </c>
      <c r="I1956" t="s">
        <v>481</v>
      </c>
      <c r="J1956" t="s">
        <v>486</v>
      </c>
      <c r="K1956" t="s">
        <v>521</v>
      </c>
      <c r="L1956" t="s">
        <v>611</v>
      </c>
      <c r="M1956" t="s">
        <v>601</v>
      </c>
    </row>
    <row r="1957" spans="1:14" x14ac:dyDescent="0.25">
      <c r="A1957" t="s">
        <v>14</v>
      </c>
      <c r="B1957" t="s">
        <v>150</v>
      </c>
      <c r="C1957" t="s">
        <v>369</v>
      </c>
      <c r="D1957" t="s">
        <v>426</v>
      </c>
      <c r="F1957" t="s">
        <v>460</v>
      </c>
      <c r="G1957" t="str">
        <f>HYPERLINK("https://ca.linkedin.com/jobs/view/data-analyst-at-synechron-3364863079?refId=wVIxb%2B%2BUjHjC4EWxqfCNsg%3D%3D&amp;trackingId=0uFh5bvDLWXxeqoP9svX9Q%3D%3D&amp;position=8&amp;pageNum=0&amp;trk=public_jobs_jserp-result_search-card", "Job Link")</f>
        <v>Job Link</v>
      </c>
      <c r="H1957" t="s">
        <v>478</v>
      </c>
      <c r="I1957" t="s">
        <v>481</v>
      </c>
      <c r="J1957" t="s">
        <v>486</v>
      </c>
      <c r="K1957" t="s">
        <v>563</v>
      </c>
      <c r="L1957" t="s">
        <v>584</v>
      </c>
      <c r="M1957" t="s">
        <v>588</v>
      </c>
      <c r="N1957" t="s">
        <v>601</v>
      </c>
    </row>
    <row r="1958" spans="1:14" x14ac:dyDescent="0.25">
      <c r="A1958" t="s">
        <v>14</v>
      </c>
      <c r="B1958" t="s">
        <v>150</v>
      </c>
      <c r="C1958" t="s">
        <v>367</v>
      </c>
      <c r="D1958" t="s">
        <v>426</v>
      </c>
      <c r="F1958" t="s">
        <v>460</v>
      </c>
      <c r="G1958" t="str">
        <f>HYPERLINK("https://ca.linkedin.com/jobs/view/data-analyst-at-synechron-3361756851?refId=wVIxb%2B%2BUjHjC4EWxqfCNsg%3D%3D&amp;trackingId=suRXFIsRbzzJChBTWfA7jg%3D%3D&amp;position=9&amp;pageNum=0&amp;trk=public_jobs_jserp-result_search-card", "Job Link")</f>
        <v>Job Link</v>
      </c>
      <c r="H1958" t="s">
        <v>478</v>
      </c>
      <c r="I1958" t="s">
        <v>481</v>
      </c>
      <c r="J1958" t="s">
        <v>486</v>
      </c>
      <c r="K1958" t="s">
        <v>562</v>
      </c>
      <c r="L1958" t="s">
        <v>584</v>
      </c>
      <c r="M1958" t="s">
        <v>588</v>
      </c>
      <c r="N1958" t="s">
        <v>601</v>
      </c>
    </row>
    <row r="1959" spans="1:14" x14ac:dyDescent="0.25">
      <c r="A1959" t="s">
        <v>14</v>
      </c>
      <c r="B1959" t="s">
        <v>212</v>
      </c>
      <c r="C1959" t="s">
        <v>370</v>
      </c>
      <c r="D1959" t="s">
        <v>426</v>
      </c>
      <c r="F1959" t="s">
        <v>432</v>
      </c>
      <c r="G1959" t="str">
        <f>HYPERLINK("https://ca.linkedin.com/jobs/view/data-analyst-at-agilus-work-solutions-3358673093?refId=wVIxb%2B%2BUjHjC4EWxqfCNsg%3D%3D&amp;trackingId=Ox1un5%2BT61SkcGEh84fWRg%3D%3D&amp;position=10&amp;pageNum=0&amp;trk=public_jobs_jserp-result_search-card", "Job Link")</f>
        <v>Job Link</v>
      </c>
      <c r="H1959" t="s">
        <v>477</v>
      </c>
      <c r="I1959" t="s">
        <v>483</v>
      </c>
      <c r="J1959" t="s">
        <v>486</v>
      </c>
      <c r="K1959" t="s">
        <v>518</v>
      </c>
      <c r="L1959" t="s">
        <v>582</v>
      </c>
      <c r="M1959" t="s">
        <v>588</v>
      </c>
      <c r="N1959" t="s">
        <v>601</v>
      </c>
    </row>
    <row r="1960" spans="1:14" x14ac:dyDescent="0.25">
      <c r="A1960" t="s">
        <v>14</v>
      </c>
      <c r="B1960" t="s">
        <v>214</v>
      </c>
      <c r="C1960" t="s">
        <v>372</v>
      </c>
      <c r="D1960" t="s">
        <v>426</v>
      </c>
      <c r="F1960" t="s">
        <v>432</v>
      </c>
      <c r="G1960" t="str">
        <f>HYPERLINK("https://ca.linkedin.com/jobs/view/data-analyst-at-goeasy-ltd-3358677253?refId=wVIxb%2B%2BUjHjC4EWxqfCNsg%3D%3D&amp;trackingId=YxpoUg08RULOwFcDRW5gxg%3D%3D&amp;position=11&amp;pageNum=0&amp;trk=public_jobs_jserp-result_search-card", "Job Link")</f>
        <v>Job Link</v>
      </c>
      <c r="H1960" t="s">
        <v>476</v>
      </c>
      <c r="I1960" t="s">
        <v>481</v>
      </c>
      <c r="J1960" t="s">
        <v>486</v>
      </c>
      <c r="K1960" t="s">
        <v>550</v>
      </c>
      <c r="L1960" t="s">
        <v>584</v>
      </c>
      <c r="M1960" t="s">
        <v>588</v>
      </c>
      <c r="N1960" t="s">
        <v>601</v>
      </c>
    </row>
    <row r="1961" spans="1:14" x14ac:dyDescent="0.25">
      <c r="A1961" t="s">
        <v>14</v>
      </c>
      <c r="B1961" t="s">
        <v>213</v>
      </c>
      <c r="C1961" t="s">
        <v>371</v>
      </c>
      <c r="D1961" t="s">
        <v>426</v>
      </c>
      <c r="F1961" t="s">
        <v>472</v>
      </c>
      <c r="G1961" t="str">
        <f>HYPERLINK("https://ca.linkedin.com/jobs/view/data-analyst-at-linkus-group-3345817125?refId=wVIxb%2B%2BUjHjC4EWxqfCNsg%3D%3D&amp;trackingId=wklnJeAjgAitE2ZtvltFqw%3D%3D&amp;position=12&amp;pageNum=0&amp;trk=public_jobs_jserp-result_search-card", "Job Link")</f>
        <v>Job Link</v>
      </c>
      <c r="H1961" t="s">
        <v>476</v>
      </c>
      <c r="I1961" t="s">
        <v>481</v>
      </c>
      <c r="J1961" t="s">
        <v>486</v>
      </c>
      <c r="K1961" t="s">
        <v>518</v>
      </c>
      <c r="L1961" t="s">
        <v>588</v>
      </c>
      <c r="M1961" t="s">
        <v>601</v>
      </c>
    </row>
    <row r="1962" spans="1:14" x14ac:dyDescent="0.25">
      <c r="A1962" t="s">
        <v>83</v>
      </c>
      <c r="B1962" t="s">
        <v>215</v>
      </c>
      <c r="C1962" t="s">
        <v>373</v>
      </c>
      <c r="D1962" t="s">
        <v>426</v>
      </c>
      <c r="F1962" t="s">
        <v>462</v>
      </c>
      <c r="G1962">
        <v>0</v>
      </c>
      <c r="H1962" t="s">
        <v>478</v>
      </c>
      <c r="I1962" t="s">
        <v>483</v>
      </c>
      <c r="J1962" t="s">
        <v>509</v>
      </c>
      <c r="K1962" t="s">
        <v>550</v>
      </c>
      <c r="L1962" t="s">
        <v>584</v>
      </c>
      <c r="M1962" t="s">
        <v>588</v>
      </c>
      <c r="N1962" t="s">
        <v>601</v>
      </c>
    </row>
    <row r="1963" spans="1:14" x14ac:dyDescent="0.25">
      <c r="A1963" t="s">
        <v>91</v>
      </c>
      <c r="B1963" t="s">
        <v>224</v>
      </c>
      <c r="C1963" t="s">
        <v>384</v>
      </c>
      <c r="D1963" t="s">
        <v>426</v>
      </c>
      <c r="F1963" t="s">
        <v>431</v>
      </c>
      <c r="G1963" t="str">
        <f>HYPERLINK("https://ca.linkedin.com/jobs/view/commercial-data-analyst-at-organigram-inc-3367177254?refId=wVIxb%2B%2BUjHjC4EWxqfCNsg%3D%3D&amp;trackingId=D173rS6r6RCFFKNHJNDWwg%3D%3D&amp;position=14&amp;pageNum=0&amp;trk=public_jobs_jserp-result_search-card", "Job Link")</f>
        <v>Job Link</v>
      </c>
      <c r="I1963" t="s">
        <v>481</v>
      </c>
      <c r="L1963" t="s">
        <v>582</v>
      </c>
      <c r="M1963" t="s">
        <v>588</v>
      </c>
      <c r="N1963" t="s">
        <v>601</v>
      </c>
    </row>
    <row r="1964" spans="1:14" x14ac:dyDescent="0.25">
      <c r="A1964" t="s">
        <v>20</v>
      </c>
      <c r="B1964" t="s">
        <v>207</v>
      </c>
      <c r="C1964" t="s">
        <v>374</v>
      </c>
      <c r="D1964" t="s">
        <v>426</v>
      </c>
      <c r="F1964" t="s">
        <v>463</v>
      </c>
      <c r="G1964" t="str">
        <f>HYPERLINK("https://ca.linkedin.com/jobs/view/senior-data-analyst-at-onlia-3320897882?refId=wVIxb%2B%2BUjHjC4EWxqfCNsg%3D%3D&amp;trackingId=nSTkWHh5FeoRplrvWhkDuA%3D%3D&amp;position=15&amp;pageNum=0&amp;trk=public_jobs_jserp-result_search-card", "Job Link")</f>
        <v>Job Link</v>
      </c>
      <c r="H1964" t="s">
        <v>477</v>
      </c>
      <c r="I1964" t="s">
        <v>481</v>
      </c>
      <c r="J1964" t="s">
        <v>486</v>
      </c>
      <c r="K1964" t="s">
        <v>523</v>
      </c>
      <c r="L1964" t="s">
        <v>582</v>
      </c>
      <c r="M1964" t="s">
        <v>588</v>
      </c>
      <c r="N1964" t="s">
        <v>601</v>
      </c>
    </row>
    <row r="1965" spans="1:14" x14ac:dyDescent="0.25">
      <c r="A1965" t="s">
        <v>84</v>
      </c>
      <c r="B1965" t="s">
        <v>216</v>
      </c>
      <c r="C1965" t="s">
        <v>375</v>
      </c>
      <c r="D1965" t="s">
        <v>426</v>
      </c>
      <c r="F1965" t="s">
        <v>452</v>
      </c>
      <c r="G1965" t="str">
        <f>HYPERLINK("https://ca.linkedin.com/jobs/view/data-analyst-hybrid-at-xylem-3335088701?refId=wVIxb%2B%2BUjHjC4EWxqfCNsg%3D%3D&amp;trackingId=w9PuipDml4IXiUc7%2B4RYgw%3D%3D&amp;position=16&amp;pageNum=0&amp;trk=public_jobs_jserp-result_search-card", "Job Link")</f>
        <v>Job Link</v>
      </c>
      <c r="H1965" t="s">
        <v>476</v>
      </c>
      <c r="I1965" t="s">
        <v>481</v>
      </c>
      <c r="J1965" t="s">
        <v>486</v>
      </c>
      <c r="K1965" t="s">
        <v>564</v>
      </c>
      <c r="L1965" t="s">
        <v>584</v>
      </c>
      <c r="M1965" t="s">
        <v>588</v>
      </c>
      <c r="N1965" t="s">
        <v>601</v>
      </c>
    </row>
    <row r="1966" spans="1:14" x14ac:dyDescent="0.25">
      <c r="A1966" t="s">
        <v>85</v>
      </c>
      <c r="B1966" t="s">
        <v>217</v>
      </c>
      <c r="C1966" t="s">
        <v>376</v>
      </c>
      <c r="D1966" t="s">
        <v>426</v>
      </c>
      <c r="F1966" t="s">
        <v>473</v>
      </c>
      <c r="G1966" t="str">
        <f>HYPERLINK("https://ca.linkedin.com/jobs/view/data-analyst-python-sql-at-geotab-3341823745?refId=wVIxb%2B%2BUjHjC4EWxqfCNsg%3D%3D&amp;trackingId=pAAeeMb8rDgTOWQqo61yVw%3D%3D&amp;position=17&amp;pageNum=0&amp;trk=public_jobs_jserp-result_search-card", "Job Link")</f>
        <v>Job Link</v>
      </c>
      <c r="H1966" t="s">
        <v>479</v>
      </c>
      <c r="I1966" t="s">
        <v>481</v>
      </c>
      <c r="J1966" t="s">
        <v>486</v>
      </c>
      <c r="K1966" t="s">
        <v>521</v>
      </c>
      <c r="L1966" t="s">
        <v>612</v>
      </c>
      <c r="M1966" t="s">
        <v>588</v>
      </c>
      <c r="N1966" t="s">
        <v>601</v>
      </c>
    </row>
    <row r="1967" spans="1:14" x14ac:dyDescent="0.25">
      <c r="A1967" t="s">
        <v>86</v>
      </c>
      <c r="B1967" t="s">
        <v>167</v>
      </c>
      <c r="C1967" t="s">
        <v>377</v>
      </c>
      <c r="D1967" t="s">
        <v>426</v>
      </c>
      <c r="F1967" t="s">
        <v>454</v>
      </c>
      <c r="G1967" t="str">
        <f>HYPERLINK("https://ca.linkedin.com/jobs/view/data-analyst-reporting-at-thescore-3345941286?refId=wVIxb%2B%2BUjHjC4EWxqfCNsg%3D%3D&amp;trackingId=gS0w4jq5lazQnUD0MgyzRQ%3D%3D&amp;position=18&amp;pageNum=0&amp;trk=public_jobs_jserp-result_search-card", "Job Link")</f>
        <v>Job Link</v>
      </c>
      <c r="H1967" t="s">
        <v>476</v>
      </c>
      <c r="I1967" t="s">
        <v>481</v>
      </c>
      <c r="J1967" t="s">
        <v>486</v>
      </c>
      <c r="K1967" t="s">
        <v>545</v>
      </c>
      <c r="L1967" t="s">
        <v>582</v>
      </c>
      <c r="M1967" t="s">
        <v>588</v>
      </c>
      <c r="N1967" t="s">
        <v>601</v>
      </c>
    </row>
    <row r="1968" spans="1:14" x14ac:dyDescent="0.25">
      <c r="A1968" t="s">
        <v>87</v>
      </c>
      <c r="B1968" t="s">
        <v>218</v>
      </c>
      <c r="C1968" t="s">
        <v>378</v>
      </c>
      <c r="D1968" t="s">
        <v>426</v>
      </c>
      <c r="F1968" t="s">
        <v>432</v>
      </c>
      <c r="G1968">
        <v>0</v>
      </c>
      <c r="H1968" t="s">
        <v>478</v>
      </c>
      <c r="I1968" t="s">
        <v>483</v>
      </c>
      <c r="J1968" t="s">
        <v>486</v>
      </c>
      <c r="K1968" t="s">
        <v>521</v>
      </c>
      <c r="L1968" t="s">
        <v>582</v>
      </c>
      <c r="M1968" t="s">
        <v>588</v>
      </c>
      <c r="N1968" t="s">
        <v>601</v>
      </c>
    </row>
    <row r="1969" spans="1:14" x14ac:dyDescent="0.25">
      <c r="A1969" t="s">
        <v>90</v>
      </c>
      <c r="B1969" t="s">
        <v>223</v>
      </c>
      <c r="C1969" t="s">
        <v>383</v>
      </c>
      <c r="D1969" t="s">
        <v>426</v>
      </c>
      <c r="F1969" t="s">
        <v>443</v>
      </c>
      <c r="G1969" t="str">
        <f>HYPERLINK("https://ca.linkedin.com/jobs/view/data-administrator-data-analyst-at-hays-3369576413?refId=wVIxb%2B%2BUjHjC4EWxqfCNsg%3D%3D&amp;trackingId=A6OT5vMyzpSHPNP8G98yzQ%3D%3D&amp;position=20&amp;pageNum=0&amp;trk=public_jobs_jserp-result_search-card", "Job Link")</f>
        <v>Job Link</v>
      </c>
      <c r="H1969" t="s">
        <v>478</v>
      </c>
      <c r="I1969" t="s">
        <v>481</v>
      </c>
      <c r="J1969" t="s">
        <v>486</v>
      </c>
      <c r="K1969" t="s">
        <v>518</v>
      </c>
      <c r="L1969" t="s">
        <v>583</v>
      </c>
      <c r="M1969" t="s">
        <v>610</v>
      </c>
      <c r="N1969" t="s">
        <v>601</v>
      </c>
    </row>
    <row r="1970" spans="1:14" x14ac:dyDescent="0.25">
      <c r="A1970" t="s">
        <v>88</v>
      </c>
      <c r="B1970" t="s">
        <v>219</v>
      </c>
      <c r="C1970" t="s">
        <v>379</v>
      </c>
      <c r="D1970" t="s">
        <v>426</v>
      </c>
      <c r="F1970" t="s">
        <v>454</v>
      </c>
      <c r="G1970" t="str">
        <f>HYPERLINK("https://ca.linkedin.com/jobs/view/data-analyst-flight-pricing-optimization-at-priceline-3345993633?refId=wVIxb%2B%2BUjHjC4EWxqfCNsg%3D%3D&amp;trackingId=vEGNxTfIomP3gapDoVlx%2FA%3D%3D&amp;position=21&amp;pageNum=0&amp;trk=public_jobs_jserp-result_search-card", "Job Link")</f>
        <v>Job Link</v>
      </c>
      <c r="H1970" t="s">
        <v>476</v>
      </c>
      <c r="I1970" t="s">
        <v>481</v>
      </c>
      <c r="J1970" t="s">
        <v>486</v>
      </c>
      <c r="K1970" t="s">
        <v>565</v>
      </c>
      <c r="L1970" t="s">
        <v>582</v>
      </c>
      <c r="M1970" t="s">
        <v>588</v>
      </c>
      <c r="N1970" t="s">
        <v>601</v>
      </c>
    </row>
    <row r="1971" spans="1:14" x14ac:dyDescent="0.25">
      <c r="A1971" t="s">
        <v>89</v>
      </c>
      <c r="B1971" t="s">
        <v>221</v>
      </c>
      <c r="C1971" t="s">
        <v>381</v>
      </c>
      <c r="D1971" t="s">
        <v>426</v>
      </c>
      <c r="F1971" t="s">
        <v>461</v>
      </c>
      <c r="G1971">
        <v>0</v>
      </c>
      <c r="H1971" t="s">
        <v>476</v>
      </c>
      <c r="I1971" t="s">
        <v>481</v>
      </c>
      <c r="J1971" t="s">
        <v>488</v>
      </c>
      <c r="K1971" t="s">
        <v>566</v>
      </c>
      <c r="L1971" t="s">
        <v>582</v>
      </c>
      <c r="M1971" t="s">
        <v>588</v>
      </c>
      <c r="N1971" t="s">
        <v>601</v>
      </c>
    </row>
    <row r="1972" spans="1:14" x14ac:dyDescent="0.25">
      <c r="A1972" t="s">
        <v>14</v>
      </c>
      <c r="B1972" t="s">
        <v>222</v>
      </c>
      <c r="C1972" t="s">
        <v>382</v>
      </c>
      <c r="D1972" t="s">
        <v>426</v>
      </c>
      <c r="F1972" t="s">
        <v>431</v>
      </c>
      <c r="G1972" t="str">
        <f>HYPERLINK("https://ca.linkedin.com/jobs/view/data-analyst-at-circle-k-3367192655?refId=wVIxb%2B%2BUjHjC4EWxqfCNsg%3D%3D&amp;trackingId=OmO5pvSCt8EDnqINZKJZWQ%3D%3D&amp;position=23&amp;pageNum=0&amp;trk=public_jobs_jserp-result_search-card", "Job Link")</f>
        <v>Job Link</v>
      </c>
      <c r="H1972" t="s">
        <v>476</v>
      </c>
      <c r="I1972" t="s">
        <v>481</v>
      </c>
      <c r="J1972" t="s">
        <v>486</v>
      </c>
      <c r="K1972" t="s">
        <v>567</v>
      </c>
      <c r="L1972" t="s">
        <v>582</v>
      </c>
      <c r="M1972" t="s">
        <v>588</v>
      </c>
      <c r="N1972" t="s">
        <v>601</v>
      </c>
    </row>
    <row r="1973" spans="1:14" x14ac:dyDescent="0.25">
      <c r="A1973" t="s">
        <v>14</v>
      </c>
      <c r="B1973" t="s">
        <v>225</v>
      </c>
      <c r="C1973" t="s">
        <v>385</v>
      </c>
      <c r="D1973" t="s">
        <v>426</v>
      </c>
      <c r="F1973" t="s">
        <v>463</v>
      </c>
      <c r="G1973" t="str">
        <f>HYPERLINK("https://ca.linkedin.com/jobs/view/data-analyst-at-vector-institute-3325395506?refId=wVIxb%2B%2BUjHjC4EWxqfCNsg%3D%3D&amp;trackingId=6wO7V40pbcs%2F4Hn1m0k7qg%3D%3D&amp;position=24&amp;pageNum=0&amp;trk=public_jobs_jserp-result_search-card", "Job Link")</f>
        <v>Job Link</v>
      </c>
      <c r="H1973" t="s">
        <v>478</v>
      </c>
      <c r="I1973" t="s">
        <v>481</v>
      </c>
      <c r="J1973" t="s">
        <v>486</v>
      </c>
      <c r="K1973" t="s">
        <v>520</v>
      </c>
      <c r="L1973" t="s">
        <v>582</v>
      </c>
      <c r="M1973" t="s">
        <v>588</v>
      </c>
      <c r="N1973" t="s">
        <v>601</v>
      </c>
    </row>
    <row r="1974" spans="1:14" x14ac:dyDescent="0.25">
      <c r="A1974" t="s">
        <v>14</v>
      </c>
      <c r="B1974" t="s">
        <v>226</v>
      </c>
      <c r="C1974" t="s">
        <v>386</v>
      </c>
      <c r="D1974" t="s">
        <v>426</v>
      </c>
      <c r="F1974" t="s">
        <v>474</v>
      </c>
      <c r="G1974" t="str">
        <f>HYPERLINK("https://ca.linkedin.com/jobs/view/data-analyst-at-gsl-group-3334387645?refId=wVIxb%2B%2BUjHjC4EWxqfCNsg%3D%3D&amp;trackingId=jIrAkDquG4L7eeFHYCu%2FXQ%3D%3D&amp;position=25&amp;pageNum=0&amp;trk=public_jobs_jserp-result_search-card", "Job Link")</f>
        <v>Job Link</v>
      </c>
      <c r="H1974" t="s">
        <v>476</v>
      </c>
      <c r="I1974" t="s">
        <v>481</v>
      </c>
      <c r="J1974" t="s">
        <v>486</v>
      </c>
      <c r="K1974" t="s">
        <v>568</v>
      </c>
      <c r="L1974" t="s">
        <v>590</v>
      </c>
      <c r="M1974" t="s">
        <v>618</v>
      </c>
      <c r="N1974" t="s">
        <v>601</v>
      </c>
    </row>
    <row r="1975" spans="1:14" x14ac:dyDescent="0.25">
      <c r="A1975" t="s">
        <v>14</v>
      </c>
      <c r="B1975" t="s">
        <v>207</v>
      </c>
      <c r="C1975" t="s">
        <v>362</v>
      </c>
      <c r="D1975" t="s">
        <v>426</v>
      </c>
      <c r="F1975" t="s">
        <v>463</v>
      </c>
      <c r="G1975" t="str">
        <f>HYPERLINK("https://ca.linkedin.com/jobs/view/data-analyst-at-onlia-3320897897?refId=zqBKzLa9%2FQU3so%2FFsYI3rA%3D%3D&amp;trackingId=FaIT%2FywLnAFIu9vwbPMTNA%3D%3D&amp;position=1&amp;pageNum=0&amp;trk=public_jobs_jserp-result_search-card", "Job Link")</f>
        <v>Job Link</v>
      </c>
      <c r="H1975" t="s">
        <v>477</v>
      </c>
      <c r="I1975" t="s">
        <v>481</v>
      </c>
      <c r="J1975" t="s">
        <v>486</v>
      </c>
      <c r="K1975" t="s">
        <v>523</v>
      </c>
      <c r="L1975" t="s">
        <v>582</v>
      </c>
      <c r="M1975" t="s">
        <v>588</v>
      </c>
      <c r="N1975" t="s">
        <v>601</v>
      </c>
    </row>
    <row r="1976" spans="1:14" x14ac:dyDescent="0.25">
      <c r="A1976" t="s">
        <v>14</v>
      </c>
      <c r="B1976" t="s">
        <v>208</v>
      </c>
      <c r="C1976" t="s">
        <v>363</v>
      </c>
      <c r="D1976" t="s">
        <v>426</v>
      </c>
      <c r="F1976" t="s">
        <v>445</v>
      </c>
      <c r="G1976" t="str">
        <f>HYPERLINK("https://ca.linkedin.com/jobs/view/data-analyst-at-electronic-arts-ea-3325611825?refId=zqBKzLa9%2FQU3so%2FFsYI3rA%3D%3D&amp;trackingId=nQzg90YBI8EqQIfJBlkaiQ%3D%3D&amp;position=2&amp;pageNum=0&amp;trk=public_jobs_jserp-result_search-card", "Job Link")</f>
        <v>Job Link</v>
      </c>
      <c r="H1976" t="s">
        <v>479</v>
      </c>
      <c r="I1976" t="s">
        <v>481</v>
      </c>
      <c r="J1976" t="s">
        <v>507</v>
      </c>
      <c r="K1976" t="s">
        <v>559</v>
      </c>
      <c r="L1976" t="s">
        <v>582</v>
      </c>
      <c r="M1976" t="s">
        <v>588</v>
      </c>
      <c r="N1976" t="s">
        <v>601</v>
      </c>
    </row>
    <row r="1977" spans="1:14" x14ac:dyDescent="0.25">
      <c r="A1977" t="s">
        <v>14</v>
      </c>
      <c r="B1977" t="s">
        <v>209</v>
      </c>
      <c r="C1977" t="s">
        <v>364</v>
      </c>
      <c r="D1977" t="s">
        <v>426</v>
      </c>
      <c r="F1977" t="s">
        <v>440</v>
      </c>
      <c r="G1977" t="str">
        <f>HYPERLINK("https://ca.linkedin.com/jobs/view/data-analyst-at-frostbite-3370111856?refId=zqBKzLa9%2FQU3so%2FFsYI3rA%3D%3D&amp;trackingId=BEfXMVdUQkuBw7bGFP0NvQ%3D%3D&amp;position=3&amp;pageNum=0&amp;trk=public_jobs_jserp-result_search-card", "Job Link")</f>
        <v>Job Link</v>
      </c>
      <c r="H1977" t="s">
        <v>479</v>
      </c>
      <c r="I1977" t="s">
        <v>481</v>
      </c>
      <c r="J1977" t="s">
        <v>507</v>
      </c>
      <c r="K1977" t="s">
        <v>559</v>
      </c>
      <c r="L1977" t="s">
        <v>590</v>
      </c>
      <c r="M1977" t="s">
        <v>618</v>
      </c>
      <c r="N1977" t="s">
        <v>601</v>
      </c>
    </row>
    <row r="1978" spans="1:14" x14ac:dyDescent="0.25">
      <c r="A1978" t="s">
        <v>14</v>
      </c>
      <c r="B1978" t="s">
        <v>211</v>
      </c>
      <c r="C1978" t="s">
        <v>366</v>
      </c>
      <c r="D1978" t="s">
        <v>426</v>
      </c>
      <c r="F1978" t="s">
        <v>443</v>
      </c>
      <c r="G1978" t="str">
        <f>HYPERLINK("https://ca.linkedin.com/jobs/view/data-analyst-at-mphasis-3363428246?refId=zqBKzLa9%2FQU3so%2FFsYI3rA%3D%3D&amp;trackingId=ypqUpREFClgN0Go08hY%2Baw%3D%3D&amp;position=4&amp;pageNum=0&amp;trk=public_jobs_jserp-result_search-card", "Job Link")</f>
        <v>Job Link</v>
      </c>
      <c r="H1978" t="s">
        <v>477</v>
      </c>
      <c r="I1978" t="s">
        <v>481</v>
      </c>
      <c r="J1978" t="s">
        <v>486</v>
      </c>
      <c r="K1978" t="s">
        <v>521</v>
      </c>
      <c r="L1978" t="s">
        <v>609</v>
      </c>
      <c r="M1978" t="s">
        <v>610</v>
      </c>
      <c r="N1978" t="s">
        <v>601</v>
      </c>
    </row>
    <row r="1979" spans="1:14" x14ac:dyDescent="0.25">
      <c r="A1979" t="s">
        <v>81</v>
      </c>
      <c r="B1979" t="s">
        <v>210</v>
      </c>
      <c r="C1979" t="s">
        <v>365</v>
      </c>
      <c r="D1979" t="s">
        <v>426</v>
      </c>
      <c r="F1979" t="s">
        <v>436</v>
      </c>
      <c r="G1979" t="str">
        <f>HYPERLINK("https://ca.linkedin.com/jobs/view/data-analyst-c117-at-mitsubishi-motor-sales-of-canada-inc-3344852931?refId=zqBKzLa9%2FQU3so%2FFsYI3rA%3D%3D&amp;trackingId=J4HrHd5fCexl2QxJX%2B2ayg%3D%3D&amp;position=5&amp;pageNum=0&amp;trk=public_jobs_jserp-result_search-card", "Job Link")</f>
        <v>Job Link</v>
      </c>
      <c r="H1979" t="s">
        <v>477</v>
      </c>
      <c r="I1979" t="s">
        <v>481</v>
      </c>
      <c r="J1979" t="s">
        <v>508</v>
      </c>
      <c r="K1979" t="s">
        <v>561</v>
      </c>
      <c r="L1979" t="s">
        <v>584</v>
      </c>
      <c r="M1979" t="s">
        <v>588</v>
      </c>
      <c r="N1979" t="s">
        <v>601</v>
      </c>
    </row>
    <row r="1980" spans="1:14" x14ac:dyDescent="0.25">
      <c r="A1980" t="s">
        <v>14</v>
      </c>
      <c r="B1980" t="s">
        <v>150</v>
      </c>
      <c r="C1980" t="s">
        <v>367</v>
      </c>
      <c r="D1980" t="s">
        <v>426</v>
      </c>
      <c r="F1980" t="s">
        <v>433</v>
      </c>
      <c r="G1980" t="str">
        <f>HYPERLINK("https://ca.linkedin.com/jobs/view/data-analyst-at-synechron-3348329085?refId=zqBKzLa9%2FQU3so%2FFsYI3rA%3D%3D&amp;trackingId=p1lVjAcPsmMCeE2Ey0L%2F9w%3D%3D&amp;position=6&amp;pageNum=0&amp;trk=public_jobs_jserp-result_search-card", "Job Link")</f>
        <v>Job Link</v>
      </c>
      <c r="H1980" t="s">
        <v>478</v>
      </c>
      <c r="I1980" t="s">
        <v>481</v>
      </c>
      <c r="J1980" t="s">
        <v>486</v>
      </c>
      <c r="K1980" t="s">
        <v>562</v>
      </c>
      <c r="L1980" t="s">
        <v>584</v>
      </c>
      <c r="M1980" t="s">
        <v>588</v>
      </c>
      <c r="N1980" t="s">
        <v>601</v>
      </c>
    </row>
    <row r="1981" spans="1:14" x14ac:dyDescent="0.25">
      <c r="A1981" t="s">
        <v>82</v>
      </c>
      <c r="B1981" t="s">
        <v>179</v>
      </c>
      <c r="C1981" t="s">
        <v>368</v>
      </c>
      <c r="D1981" t="s">
        <v>426</v>
      </c>
      <c r="F1981" t="s">
        <v>471</v>
      </c>
      <c r="G1981" t="str">
        <f>HYPERLINK("https://ca.linkedin.com/jobs/view/business-data-analyst-at-capgemini-3327624663?refId=zqBKzLa9%2FQU3so%2FFsYI3rA%3D%3D&amp;trackingId=wLl1OYRRFVm0uo860C75Ww%3D%3D&amp;position=7&amp;pageNum=0&amp;trk=public_jobs_jserp-result_search-card", "Job Link")</f>
        <v>Job Link</v>
      </c>
      <c r="H1981" t="s">
        <v>478</v>
      </c>
      <c r="I1981" t="s">
        <v>481</v>
      </c>
      <c r="J1981" t="s">
        <v>486</v>
      </c>
      <c r="K1981" t="s">
        <v>521</v>
      </c>
      <c r="L1981" t="s">
        <v>611</v>
      </c>
      <c r="M1981" t="s">
        <v>601</v>
      </c>
    </row>
    <row r="1982" spans="1:14" x14ac:dyDescent="0.25">
      <c r="A1982" t="s">
        <v>14</v>
      </c>
      <c r="B1982" t="s">
        <v>212</v>
      </c>
      <c r="C1982" t="s">
        <v>370</v>
      </c>
      <c r="D1982" t="s">
        <v>426</v>
      </c>
      <c r="F1982" t="s">
        <v>432</v>
      </c>
      <c r="G1982" t="str">
        <f>HYPERLINK("https://ca.linkedin.com/jobs/view/data-analyst-at-agilus-work-solutions-3358673093?refId=zqBKzLa9%2FQU3so%2FFsYI3rA%3D%3D&amp;trackingId=JSvN7JVMBr524FI8yCYFtA%3D%3D&amp;position=8&amp;pageNum=0&amp;trk=public_jobs_jserp-result_search-card", "Job Link")</f>
        <v>Job Link</v>
      </c>
      <c r="H1982" t="s">
        <v>477</v>
      </c>
      <c r="I1982" t="s">
        <v>483</v>
      </c>
      <c r="J1982" t="s">
        <v>486</v>
      </c>
      <c r="K1982" t="s">
        <v>518</v>
      </c>
      <c r="L1982" t="s">
        <v>582</v>
      </c>
      <c r="M1982" t="s">
        <v>588</v>
      </c>
      <c r="N1982" t="s">
        <v>601</v>
      </c>
    </row>
    <row r="1983" spans="1:14" x14ac:dyDescent="0.25">
      <c r="A1983" t="s">
        <v>14</v>
      </c>
      <c r="B1983" t="s">
        <v>150</v>
      </c>
      <c r="C1983" t="s">
        <v>369</v>
      </c>
      <c r="D1983" t="s">
        <v>426</v>
      </c>
      <c r="F1983" t="s">
        <v>460</v>
      </c>
      <c r="G1983" t="str">
        <f>HYPERLINK("https://ca.linkedin.com/jobs/view/data-analyst-at-synechron-3364863079?refId=zqBKzLa9%2FQU3so%2FFsYI3rA%3D%3D&amp;trackingId=gOzWr0Js2aiBgWJScNhfYA%3D%3D&amp;position=9&amp;pageNum=0&amp;trk=public_jobs_jserp-result_search-card", "Job Link")</f>
        <v>Job Link</v>
      </c>
      <c r="H1983" t="s">
        <v>478</v>
      </c>
      <c r="I1983" t="s">
        <v>481</v>
      </c>
      <c r="J1983" t="s">
        <v>486</v>
      </c>
      <c r="K1983" t="s">
        <v>563</v>
      </c>
      <c r="L1983" t="s">
        <v>584</v>
      </c>
      <c r="M1983" t="s">
        <v>588</v>
      </c>
      <c r="N1983" t="s">
        <v>601</v>
      </c>
    </row>
    <row r="1984" spans="1:14" x14ac:dyDescent="0.25">
      <c r="A1984" t="s">
        <v>14</v>
      </c>
      <c r="B1984" t="s">
        <v>150</v>
      </c>
      <c r="C1984" t="s">
        <v>367</v>
      </c>
      <c r="D1984" t="s">
        <v>426</v>
      </c>
      <c r="F1984" t="s">
        <v>460</v>
      </c>
      <c r="G1984" t="str">
        <f>HYPERLINK("https://ca.linkedin.com/jobs/view/data-analyst-at-synechron-3361756851?refId=zqBKzLa9%2FQU3so%2FFsYI3rA%3D%3D&amp;trackingId=Ll24ZS5%2FLrTcWJ6vzlU6KQ%3D%3D&amp;position=10&amp;pageNum=0&amp;trk=public_jobs_jserp-result_search-card", "Job Link")</f>
        <v>Job Link</v>
      </c>
      <c r="H1984" t="s">
        <v>478</v>
      </c>
      <c r="I1984" t="s">
        <v>481</v>
      </c>
      <c r="J1984" t="s">
        <v>486</v>
      </c>
      <c r="K1984" t="s">
        <v>562</v>
      </c>
      <c r="L1984" t="s">
        <v>584</v>
      </c>
      <c r="M1984" t="s">
        <v>588</v>
      </c>
      <c r="N1984" t="s">
        <v>601</v>
      </c>
    </row>
    <row r="1985" spans="1:14" x14ac:dyDescent="0.25">
      <c r="A1985" t="s">
        <v>14</v>
      </c>
      <c r="B1985" t="s">
        <v>213</v>
      </c>
      <c r="C1985" t="s">
        <v>371</v>
      </c>
      <c r="D1985" t="s">
        <v>426</v>
      </c>
      <c r="F1985" t="s">
        <v>472</v>
      </c>
      <c r="G1985" t="str">
        <f>HYPERLINK("https://ca.linkedin.com/jobs/view/data-analyst-at-linkus-group-3345817125?refId=zqBKzLa9%2FQU3so%2FFsYI3rA%3D%3D&amp;trackingId=DMa8ooC2Ah%2BF8R9PnOTxTA%3D%3D&amp;position=11&amp;pageNum=0&amp;trk=public_jobs_jserp-result_search-card", "Job Link")</f>
        <v>Job Link</v>
      </c>
      <c r="H1985" t="s">
        <v>476</v>
      </c>
      <c r="I1985" t="s">
        <v>481</v>
      </c>
      <c r="J1985" t="s">
        <v>486</v>
      </c>
      <c r="K1985" t="s">
        <v>518</v>
      </c>
      <c r="L1985" t="s">
        <v>588</v>
      </c>
      <c r="M1985" t="s">
        <v>601</v>
      </c>
    </row>
    <row r="1986" spans="1:14" x14ac:dyDescent="0.25">
      <c r="A1986" t="s">
        <v>14</v>
      </c>
      <c r="B1986" t="s">
        <v>214</v>
      </c>
      <c r="C1986" t="s">
        <v>372</v>
      </c>
      <c r="D1986" t="s">
        <v>426</v>
      </c>
      <c r="F1986" t="s">
        <v>432</v>
      </c>
      <c r="G1986" t="str">
        <f>HYPERLINK("https://ca.linkedin.com/jobs/view/data-analyst-at-goeasy-ltd-3358677253?refId=zqBKzLa9%2FQU3so%2FFsYI3rA%3D%3D&amp;trackingId=KMaL%2BAMt33Br%2Fht0qvVUdQ%3D%3D&amp;position=12&amp;pageNum=0&amp;trk=public_jobs_jserp-result_search-card", "Job Link")</f>
        <v>Job Link</v>
      </c>
      <c r="H1986" t="s">
        <v>476</v>
      </c>
      <c r="I1986" t="s">
        <v>481</v>
      </c>
      <c r="J1986" t="s">
        <v>486</v>
      </c>
      <c r="K1986" t="s">
        <v>550</v>
      </c>
      <c r="L1986" t="s">
        <v>584</v>
      </c>
      <c r="M1986" t="s">
        <v>588</v>
      </c>
      <c r="N1986" t="s">
        <v>601</v>
      </c>
    </row>
    <row r="1987" spans="1:14" x14ac:dyDescent="0.25">
      <c r="A1987" t="s">
        <v>83</v>
      </c>
      <c r="B1987" t="s">
        <v>215</v>
      </c>
      <c r="C1987" t="s">
        <v>373</v>
      </c>
      <c r="D1987" t="s">
        <v>426</v>
      </c>
      <c r="F1987" t="s">
        <v>462</v>
      </c>
      <c r="G1987">
        <v>0</v>
      </c>
      <c r="H1987" t="s">
        <v>478</v>
      </c>
      <c r="I1987" t="s">
        <v>483</v>
      </c>
      <c r="J1987" t="s">
        <v>509</v>
      </c>
      <c r="K1987" t="s">
        <v>550</v>
      </c>
      <c r="L1987" t="s">
        <v>584</v>
      </c>
      <c r="M1987" t="s">
        <v>588</v>
      </c>
      <c r="N1987" t="s">
        <v>601</v>
      </c>
    </row>
    <row r="1988" spans="1:14" x14ac:dyDescent="0.25">
      <c r="A1988" t="s">
        <v>91</v>
      </c>
      <c r="B1988" t="s">
        <v>224</v>
      </c>
      <c r="C1988" t="s">
        <v>384</v>
      </c>
      <c r="D1988" t="s">
        <v>426</v>
      </c>
      <c r="F1988" t="s">
        <v>431</v>
      </c>
      <c r="G1988" t="str">
        <f>HYPERLINK("https://ca.linkedin.com/jobs/view/commercial-data-analyst-at-organigram-inc-3367177254?refId=zqBKzLa9%2FQU3so%2FFsYI3rA%3D%3D&amp;trackingId=aKmiC99YSiAEczN8KTJHyQ%3D%3D&amp;position=14&amp;pageNum=0&amp;trk=public_jobs_jserp-result_search-card", "Job Link")</f>
        <v>Job Link</v>
      </c>
      <c r="I1988" t="s">
        <v>481</v>
      </c>
      <c r="L1988" t="s">
        <v>582</v>
      </c>
      <c r="M1988" t="s">
        <v>588</v>
      </c>
      <c r="N1988" t="s">
        <v>601</v>
      </c>
    </row>
    <row r="1989" spans="1:14" x14ac:dyDescent="0.25">
      <c r="A1989" t="s">
        <v>20</v>
      </c>
      <c r="B1989" t="s">
        <v>207</v>
      </c>
      <c r="C1989" t="s">
        <v>374</v>
      </c>
      <c r="D1989" t="s">
        <v>426</v>
      </c>
      <c r="F1989" t="s">
        <v>463</v>
      </c>
      <c r="G1989" t="str">
        <f>HYPERLINK("https://ca.linkedin.com/jobs/view/senior-data-analyst-at-onlia-3320897882?refId=zqBKzLa9%2FQU3so%2FFsYI3rA%3D%3D&amp;trackingId=fttCd%2FZhjJ6RrYd0mq97Tw%3D%3D&amp;position=15&amp;pageNum=0&amp;trk=public_jobs_jserp-result_search-card", "Job Link")</f>
        <v>Job Link</v>
      </c>
      <c r="H1989" t="s">
        <v>477</v>
      </c>
      <c r="I1989" t="s">
        <v>481</v>
      </c>
      <c r="J1989" t="s">
        <v>486</v>
      </c>
      <c r="K1989" t="s">
        <v>523</v>
      </c>
      <c r="L1989" t="s">
        <v>582</v>
      </c>
      <c r="M1989" t="s">
        <v>588</v>
      </c>
      <c r="N1989" t="s">
        <v>601</v>
      </c>
    </row>
    <row r="1990" spans="1:14" x14ac:dyDescent="0.25">
      <c r="A1990" t="s">
        <v>84</v>
      </c>
      <c r="B1990" t="s">
        <v>216</v>
      </c>
      <c r="C1990" t="s">
        <v>375</v>
      </c>
      <c r="D1990" t="s">
        <v>426</v>
      </c>
      <c r="F1990" t="s">
        <v>452</v>
      </c>
      <c r="G1990" t="str">
        <f>HYPERLINK("https://ca.linkedin.com/jobs/view/data-analyst-hybrid-at-xylem-3335088701?refId=zqBKzLa9%2FQU3so%2FFsYI3rA%3D%3D&amp;trackingId=i8DN6ZnU39nY3R4CteXhyw%3D%3D&amp;position=16&amp;pageNum=0&amp;trk=public_jobs_jserp-result_search-card", "Job Link")</f>
        <v>Job Link</v>
      </c>
      <c r="H1990" t="s">
        <v>476</v>
      </c>
      <c r="I1990" t="s">
        <v>481</v>
      </c>
      <c r="J1990" t="s">
        <v>486</v>
      </c>
      <c r="K1990" t="s">
        <v>564</v>
      </c>
      <c r="L1990" t="s">
        <v>584</v>
      </c>
      <c r="M1990" t="s">
        <v>588</v>
      </c>
      <c r="N1990" t="s">
        <v>601</v>
      </c>
    </row>
    <row r="1991" spans="1:14" x14ac:dyDescent="0.25">
      <c r="A1991" t="s">
        <v>85</v>
      </c>
      <c r="B1991" t="s">
        <v>217</v>
      </c>
      <c r="C1991" t="s">
        <v>376</v>
      </c>
      <c r="D1991" t="s">
        <v>426</v>
      </c>
      <c r="F1991" t="s">
        <v>473</v>
      </c>
      <c r="G1991" t="str">
        <f>HYPERLINK("https://ca.linkedin.com/jobs/view/data-analyst-python-sql-at-geotab-3341823745?refId=zqBKzLa9%2FQU3so%2FFsYI3rA%3D%3D&amp;trackingId=LVqMJuLzfYKWSS6rsIHELg%3D%3D&amp;position=17&amp;pageNum=0&amp;trk=public_jobs_jserp-result_search-card", "Job Link")</f>
        <v>Job Link</v>
      </c>
      <c r="H1991" t="s">
        <v>479</v>
      </c>
      <c r="I1991" t="s">
        <v>481</v>
      </c>
      <c r="J1991" t="s">
        <v>486</v>
      </c>
      <c r="K1991" t="s">
        <v>521</v>
      </c>
      <c r="L1991" t="s">
        <v>612</v>
      </c>
      <c r="M1991" t="s">
        <v>588</v>
      </c>
      <c r="N1991" t="s">
        <v>601</v>
      </c>
    </row>
    <row r="1992" spans="1:14" x14ac:dyDescent="0.25">
      <c r="A1992" t="s">
        <v>86</v>
      </c>
      <c r="B1992" t="s">
        <v>167</v>
      </c>
      <c r="C1992" t="s">
        <v>377</v>
      </c>
      <c r="D1992" t="s">
        <v>426</v>
      </c>
      <c r="F1992" t="s">
        <v>454</v>
      </c>
      <c r="G1992" t="str">
        <f>HYPERLINK("https://ca.linkedin.com/jobs/view/data-analyst-reporting-at-thescore-3345941286?refId=zqBKzLa9%2FQU3so%2FFsYI3rA%3D%3D&amp;trackingId=2VdD%2F5Hk5pRfUBh59D5Cbg%3D%3D&amp;position=18&amp;pageNum=0&amp;trk=public_jobs_jserp-result_search-card", "Job Link")</f>
        <v>Job Link</v>
      </c>
      <c r="H1992" t="s">
        <v>476</v>
      </c>
      <c r="I1992" t="s">
        <v>481</v>
      </c>
      <c r="J1992" t="s">
        <v>486</v>
      </c>
      <c r="K1992" t="s">
        <v>545</v>
      </c>
      <c r="L1992" t="s">
        <v>582</v>
      </c>
      <c r="M1992" t="s">
        <v>588</v>
      </c>
      <c r="N1992" t="s">
        <v>601</v>
      </c>
    </row>
    <row r="1993" spans="1:14" x14ac:dyDescent="0.25">
      <c r="A1993" t="s">
        <v>87</v>
      </c>
      <c r="B1993" t="s">
        <v>218</v>
      </c>
      <c r="C1993" t="s">
        <v>378</v>
      </c>
      <c r="D1993" t="s">
        <v>426</v>
      </c>
      <c r="F1993" t="s">
        <v>432</v>
      </c>
      <c r="G1993">
        <v>0</v>
      </c>
      <c r="H1993" t="s">
        <v>478</v>
      </c>
      <c r="I1993" t="s">
        <v>483</v>
      </c>
      <c r="J1993" t="s">
        <v>486</v>
      </c>
      <c r="K1993" t="s">
        <v>521</v>
      </c>
      <c r="L1993" t="s">
        <v>582</v>
      </c>
      <c r="M1993" t="s">
        <v>588</v>
      </c>
      <c r="N1993" t="s">
        <v>601</v>
      </c>
    </row>
    <row r="1994" spans="1:14" x14ac:dyDescent="0.25">
      <c r="A1994" t="s">
        <v>90</v>
      </c>
      <c r="B1994" t="s">
        <v>223</v>
      </c>
      <c r="C1994" t="s">
        <v>383</v>
      </c>
      <c r="D1994" t="s">
        <v>426</v>
      </c>
      <c r="F1994" t="s">
        <v>443</v>
      </c>
      <c r="G1994" t="str">
        <f>HYPERLINK("https://ca.linkedin.com/jobs/view/data-administrator-data-analyst-at-hays-3369576413?refId=zqBKzLa9%2FQU3so%2FFsYI3rA%3D%3D&amp;trackingId=HTIrhl%2FIdtdzd736V7vf3g%3D%3D&amp;position=20&amp;pageNum=0&amp;trk=public_jobs_jserp-result_search-card", "Job Link")</f>
        <v>Job Link</v>
      </c>
      <c r="H1994" t="s">
        <v>478</v>
      </c>
      <c r="I1994" t="s">
        <v>481</v>
      </c>
      <c r="J1994" t="s">
        <v>486</v>
      </c>
      <c r="K1994" t="s">
        <v>518</v>
      </c>
      <c r="L1994" t="s">
        <v>583</v>
      </c>
      <c r="M1994" t="s">
        <v>610</v>
      </c>
      <c r="N1994" t="s">
        <v>601</v>
      </c>
    </row>
    <row r="1995" spans="1:14" x14ac:dyDescent="0.25">
      <c r="A1995" t="s">
        <v>88</v>
      </c>
      <c r="B1995" t="s">
        <v>219</v>
      </c>
      <c r="C1995" t="s">
        <v>379</v>
      </c>
      <c r="D1995" t="s">
        <v>426</v>
      </c>
      <c r="F1995" t="s">
        <v>454</v>
      </c>
      <c r="G1995" t="str">
        <f>HYPERLINK("https://ca.linkedin.com/jobs/view/data-analyst-flight-pricing-optimization-at-priceline-3345993633?refId=zqBKzLa9%2FQU3so%2FFsYI3rA%3D%3D&amp;trackingId=Q0hWh3ESeCMPq0EzPvBRjw%3D%3D&amp;position=21&amp;pageNum=0&amp;trk=public_jobs_jserp-result_search-card", "Job Link")</f>
        <v>Job Link</v>
      </c>
      <c r="H1995" t="s">
        <v>476</v>
      </c>
      <c r="I1995" t="s">
        <v>481</v>
      </c>
      <c r="J1995" t="s">
        <v>486</v>
      </c>
      <c r="K1995" t="s">
        <v>565</v>
      </c>
      <c r="L1995" t="s">
        <v>582</v>
      </c>
      <c r="M1995" t="s">
        <v>588</v>
      </c>
      <c r="N1995" t="s">
        <v>601</v>
      </c>
    </row>
    <row r="1996" spans="1:14" x14ac:dyDescent="0.25">
      <c r="A1996" t="s">
        <v>27</v>
      </c>
      <c r="B1996" t="s">
        <v>220</v>
      </c>
      <c r="C1996" t="s">
        <v>380</v>
      </c>
      <c r="D1996" t="s">
        <v>426</v>
      </c>
      <c r="F1996" t="s">
        <v>434</v>
      </c>
      <c r="G1996" t="str">
        <f>HYPERLINK("https://ca.linkedin.com/jobs/view/sr-data-analyst-at-randstad-canada-3354999789?refId=zqBKzLa9%2FQU3so%2FFsYI3rA%3D%3D&amp;trackingId=q135L5YRCsMj7p%2BuT2q4ng%3D%3D&amp;position=22&amp;pageNum=0&amp;trk=public_jobs_jserp-result_search-card", "Job Link")</f>
        <v>Job Link</v>
      </c>
      <c r="H1996" t="s">
        <v>478</v>
      </c>
      <c r="I1996" t="s">
        <v>483</v>
      </c>
      <c r="J1996" t="s">
        <v>486</v>
      </c>
      <c r="K1996" t="s">
        <v>518</v>
      </c>
      <c r="L1996" t="s">
        <v>584</v>
      </c>
      <c r="M1996" t="s">
        <v>588</v>
      </c>
      <c r="N1996" t="s">
        <v>601</v>
      </c>
    </row>
    <row r="1997" spans="1:14" x14ac:dyDescent="0.25">
      <c r="A1997" t="s">
        <v>89</v>
      </c>
      <c r="B1997" t="s">
        <v>221</v>
      </c>
      <c r="C1997" t="s">
        <v>381</v>
      </c>
      <c r="D1997" t="s">
        <v>426</v>
      </c>
      <c r="F1997" t="s">
        <v>461</v>
      </c>
      <c r="G1997">
        <v>0</v>
      </c>
      <c r="H1997" t="s">
        <v>476</v>
      </c>
      <c r="I1997" t="s">
        <v>481</v>
      </c>
      <c r="J1997" t="s">
        <v>488</v>
      </c>
      <c r="K1997" t="s">
        <v>566</v>
      </c>
      <c r="L1997" t="s">
        <v>582</v>
      </c>
      <c r="M1997" t="s">
        <v>588</v>
      </c>
      <c r="N1997" t="s">
        <v>601</v>
      </c>
    </row>
    <row r="1998" spans="1:14" x14ac:dyDescent="0.25">
      <c r="A1998" t="s">
        <v>14</v>
      </c>
      <c r="B1998" t="s">
        <v>222</v>
      </c>
      <c r="C1998" t="s">
        <v>382</v>
      </c>
      <c r="D1998" t="s">
        <v>426</v>
      </c>
      <c r="F1998" t="s">
        <v>431</v>
      </c>
      <c r="G1998" t="str">
        <f>HYPERLINK("https://ca.linkedin.com/jobs/view/data-analyst-at-circle-k-3367192655?refId=zqBKzLa9%2FQU3so%2FFsYI3rA%3D%3D&amp;trackingId=EaEi%2Buema1b53YhdkNf78A%3D%3D&amp;position=24&amp;pageNum=0&amp;trk=public_jobs_jserp-result_search-card", "Job Link")</f>
        <v>Job Link</v>
      </c>
      <c r="H1998" t="s">
        <v>476</v>
      </c>
      <c r="I1998" t="s">
        <v>481</v>
      </c>
      <c r="J1998" t="s">
        <v>486</v>
      </c>
      <c r="K1998" t="s">
        <v>567</v>
      </c>
      <c r="L1998" t="s">
        <v>582</v>
      </c>
      <c r="M1998" t="s">
        <v>588</v>
      </c>
      <c r="N1998" t="s">
        <v>601</v>
      </c>
    </row>
    <row r="1999" spans="1:14" x14ac:dyDescent="0.25">
      <c r="A1999" t="s">
        <v>14</v>
      </c>
      <c r="B1999" t="s">
        <v>225</v>
      </c>
      <c r="C1999" t="s">
        <v>385</v>
      </c>
      <c r="D1999" t="s">
        <v>426</v>
      </c>
      <c r="F1999" t="s">
        <v>463</v>
      </c>
      <c r="G1999" t="str">
        <f>HYPERLINK("https://ca.linkedin.com/jobs/view/data-analyst-at-vector-institute-3325395506?refId=zqBKzLa9%2FQU3so%2FFsYI3rA%3D%3D&amp;trackingId=%2Brg3lq59p%2BEDa%2BZ0jDA8%2BA%3D%3D&amp;position=25&amp;pageNum=0&amp;trk=public_jobs_jserp-result_search-card", "Job Link")</f>
        <v>Job Link</v>
      </c>
      <c r="H1999" t="s">
        <v>478</v>
      </c>
      <c r="I1999" t="s">
        <v>481</v>
      </c>
      <c r="J1999" t="s">
        <v>486</v>
      </c>
      <c r="K1999" t="s">
        <v>520</v>
      </c>
      <c r="L1999" t="s">
        <v>582</v>
      </c>
      <c r="M1999" t="s">
        <v>588</v>
      </c>
      <c r="N1999" t="s">
        <v>601</v>
      </c>
    </row>
    <row r="2000" spans="1:14" x14ac:dyDescent="0.25">
      <c r="A2000" t="s">
        <v>14</v>
      </c>
      <c r="B2000" t="s">
        <v>207</v>
      </c>
      <c r="C2000" t="s">
        <v>362</v>
      </c>
      <c r="D2000" t="s">
        <v>426</v>
      </c>
      <c r="F2000" t="s">
        <v>463</v>
      </c>
      <c r="G2000" t="str">
        <f>HYPERLINK("https://ca.linkedin.com/jobs/view/data-analyst-at-onlia-3320897897?refId=W9loXSxfiS8NY6KiR9Ta9A%3D%3D&amp;trackingId=cKJDQoiKnpccgEVI%2BarO8w%3D%3D&amp;position=1&amp;pageNum=0&amp;trk=public_jobs_jserp-result_search-card", "Job Link")</f>
        <v>Job Link</v>
      </c>
      <c r="H2000" t="s">
        <v>477</v>
      </c>
      <c r="I2000" t="s">
        <v>481</v>
      </c>
      <c r="J2000" t="s">
        <v>486</v>
      </c>
      <c r="K2000" t="s">
        <v>523</v>
      </c>
      <c r="L2000" t="s">
        <v>582</v>
      </c>
      <c r="M2000" t="s">
        <v>588</v>
      </c>
      <c r="N2000" t="s">
        <v>601</v>
      </c>
    </row>
    <row r="2001" spans="1:14" x14ac:dyDescent="0.25">
      <c r="A2001" t="s">
        <v>14</v>
      </c>
      <c r="B2001" t="s">
        <v>208</v>
      </c>
      <c r="C2001" t="s">
        <v>363</v>
      </c>
      <c r="D2001" t="s">
        <v>426</v>
      </c>
      <c r="F2001" t="s">
        <v>445</v>
      </c>
      <c r="G2001" t="str">
        <f>HYPERLINK("https://ca.linkedin.com/jobs/view/data-analyst-at-electronic-arts-ea-3325611825?refId=W9loXSxfiS8NY6KiR9Ta9A%3D%3D&amp;trackingId=Qkgbzlc0wKRB0VMvlv7WQA%3D%3D&amp;position=2&amp;pageNum=0&amp;trk=public_jobs_jserp-result_search-card", "Job Link")</f>
        <v>Job Link</v>
      </c>
      <c r="H2001" t="s">
        <v>479</v>
      </c>
      <c r="I2001" t="s">
        <v>481</v>
      </c>
      <c r="J2001" t="s">
        <v>507</v>
      </c>
      <c r="K2001" t="s">
        <v>559</v>
      </c>
      <c r="L2001" t="s">
        <v>582</v>
      </c>
      <c r="M2001" t="s">
        <v>588</v>
      </c>
      <c r="N2001" t="s">
        <v>601</v>
      </c>
    </row>
    <row r="2002" spans="1:14" x14ac:dyDescent="0.25">
      <c r="A2002" t="s">
        <v>14</v>
      </c>
      <c r="B2002" t="s">
        <v>209</v>
      </c>
      <c r="C2002" t="s">
        <v>364</v>
      </c>
      <c r="D2002" t="s">
        <v>426</v>
      </c>
      <c r="F2002" t="s">
        <v>440</v>
      </c>
      <c r="G2002" t="str">
        <f>HYPERLINK("https://ca.linkedin.com/jobs/view/data-analyst-at-frostbite-3370111856?refId=W9loXSxfiS8NY6KiR9Ta9A%3D%3D&amp;trackingId=8NbIs8CBd24toAETWXRIzg%3D%3D&amp;position=3&amp;pageNum=0&amp;trk=public_jobs_jserp-result_search-card", "Job Link")</f>
        <v>Job Link</v>
      </c>
      <c r="H2002" t="s">
        <v>479</v>
      </c>
      <c r="I2002" t="s">
        <v>481</v>
      </c>
      <c r="J2002" t="s">
        <v>507</v>
      </c>
      <c r="K2002" t="s">
        <v>559</v>
      </c>
      <c r="L2002" t="s">
        <v>590</v>
      </c>
      <c r="M2002" t="s">
        <v>618</v>
      </c>
      <c r="N2002" t="s">
        <v>601</v>
      </c>
    </row>
    <row r="2003" spans="1:14" x14ac:dyDescent="0.25">
      <c r="A2003" t="s">
        <v>14</v>
      </c>
      <c r="B2003" t="s">
        <v>211</v>
      </c>
      <c r="C2003" t="s">
        <v>366</v>
      </c>
      <c r="D2003" t="s">
        <v>426</v>
      </c>
      <c r="F2003" t="s">
        <v>443</v>
      </c>
      <c r="G2003" t="str">
        <f>HYPERLINK("https://ca.linkedin.com/jobs/view/data-analyst-at-mphasis-3363428246?refId=W9loXSxfiS8NY6KiR9Ta9A%3D%3D&amp;trackingId=8Y%2FpoYg6gJAALRasfcO9rg%3D%3D&amp;position=4&amp;pageNum=0&amp;trk=public_jobs_jserp-result_search-card", "Job Link")</f>
        <v>Job Link</v>
      </c>
      <c r="H2003" t="s">
        <v>477</v>
      </c>
      <c r="I2003" t="s">
        <v>481</v>
      </c>
      <c r="J2003" t="s">
        <v>486</v>
      </c>
      <c r="K2003" t="s">
        <v>521</v>
      </c>
      <c r="L2003" t="s">
        <v>609</v>
      </c>
      <c r="M2003" t="s">
        <v>610</v>
      </c>
      <c r="N2003" t="s">
        <v>601</v>
      </c>
    </row>
    <row r="2004" spans="1:14" x14ac:dyDescent="0.25">
      <c r="A2004" t="s">
        <v>81</v>
      </c>
      <c r="B2004" t="s">
        <v>210</v>
      </c>
      <c r="C2004" t="s">
        <v>365</v>
      </c>
      <c r="D2004" t="s">
        <v>426</v>
      </c>
      <c r="F2004" t="s">
        <v>436</v>
      </c>
      <c r="G2004" t="str">
        <f>HYPERLINK("https://ca.linkedin.com/jobs/view/data-analyst-c117-at-mitsubishi-motor-sales-of-canada-inc-3344852931?refId=W9loXSxfiS8NY6KiR9Ta9A%3D%3D&amp;trackingId=446Gu3RIYor5Qv2pC1jELA%3D%3D&amp;position=5&amp;pageNum=0&amp;trk=public_jobs_jserp-result_search-card", "Job Link")</f>
        <v>Job Link</v>
      </c>
      <c r="H2004" t="s">
        <v>477</v>
      </c>
      <c r="I2004" t="s">
        <v>481</v>
      </c>
      <c r="J2004" t="s">
        <v>508</v>
      </c>
      <c r="K2004" t="s">
        <v>561</v>
      </c>
      <c r="L2004" t="s">
        <v>584</v>
      </c>
      <c r="M2004" t="s">
        <v>588</v>
      </c>
      <c r="N2004" t="s">
        <v>601</v>
      </c>
    </row>
    <row r="2005" spans="1:14" x14ac:dyDescent="0.25">
      <c r="A2005" t="s">
        <v>14</v>
      </c>
      <c r="B2005" t="s">
        <v>150</v>
      </c>
      <c r="C2005" t="s">
        <v>367</v>
      </c>
      <c r="D2005" t="s">
        <v>426</v>
      </c>
      <c r="F2005" t="s">
        <v>433</v>
      </c>
      <c r="G2005" t="str">
        <f>HYPERLINK("https://ca.linkedin.com/jobs/view/data-analyst-at-synechron-3348329085?refId=W9loXSxfiS8NY6KiR9Ta9A%3D%3D&amp;trackingId=ZYb58pvuurUNiXbsCHA7bA%3D%3D&amp;position=6&amp;pageNum=0&amp;trk=public_jobs_jserp-result_search-card", "Job Link")</f>
        <v>Job Link</v>
      </c>
      <c r="H2005" t="s">
        <v>478</v>
      </c>
      <c r="I2005" t="s">
        <v>481</v>
      </c>
      <c r="J2005" t="s">
        <v>486</v>
      </c>
      <c r="K2005" t="s">
        <v>562</v>
      </c>
      <c r="L2005" t="s">
        <v>584</v>
      </c>
      <c r="M2005" t="s">
        <v>588</v>
      </c>
      <c r="N2005" t="s">
        <v>601</v>
      </c>
    </row>
    <row r="2006" spans="1:14" x14ac:dyDescent="0.25">
      <c r="A2006" t="s">
        <v>82</v>
      </c>
      <c r="B2006" t="s">
        <v>179</v>
      </c>
      <c r="C2006" t="s">
        <v>368</v>
      </c>
      <c r="D2006" t="s">
        <v>426</v>
      </c>
      <c r="F2006" t="s">
        <v>471</v>
      </c>
      <c r="G2006" t="str">
        <f>HYPERLINK("https://ca.linkedin.com/jobs/view/business-data-analyst-at-capgemini-3327624663?refId=W9loXSxfiS8NY6KiR9Ta9A%3D%3D&amp;trackingId=1yPqrMa8%2BOx%2F2upyNn5n4w%3D%3D&amp;position=7&amp;pageNum=0&amp;trk=public_jobs_jserp-result_search-card", "Job Link")</f>
        <v>Job Link</v>
      </c>
      <c r="H2006" t="s">
        <v>478</v>
      </c>
      <c r="I2006" t="s">
        <v>481</v>
      </c>
      <c r="J2006" t="s">
        <v>486</v>
      </c>
      <c r="K2006" t="s">
        <v>521</v>
      </c>
      <c r="L2006" t="s">
        <v>611</v>
      </c>
      <c r="M2006" t="s">
        <v>601</v>
      </c>
    </row>
    <row r="2007" spans="1:14" x14ac:dyDescent="0.25">
      <c r="A2007" t="s">
        <v>14</v>
      </c>
      <c r="B2007" t="s">
        <v>212</v>
      </c>
      <c r="C2007" t="s">
        <v>370</v>
      </c>
      <c r="D2007" t="s">
        <v>426</v>
      </c>
      <c r="F2007" t="s">
        <v>432</v>
      </c>
      <c r="G2007" t="str">
        <f>HYPERLINK("https://ca.linkedin.com/jobs/view/data-analyst-at-agilus-work-solutions-3358673093?refId=W9loXSxfiS8NY6KiR9Ta9A%3D%3D&amp;trackingId=JE2%2B2lsdRUNM%2FoU6y1UUsQ%3D%3D&amp;position=8&amp;pageNum=0&amp;trk=public_jobs_jserp-result_search-card", "Job Link")</f>
        <v>Job Link</v>
      </c>
      <c r="H2007" t="s">
        <v>477</v>
      </c>
      <c r="I2007" t="s">
        <v>483</v>
      </c>
      <c r="J2007" t="s">
        <v>486</v>
      </c>
      <c r="K2007" t="s">
        <v>518</v>
      </c>
      <c r="L2007" t="s">
        <v>582</v>
      </c>
      <c r="M2007" t="s">
        <v>588</v>
      </c>
      <c r="N2007" t="s">
        <v>601</v>
      </c>
    </row>
    <row r="2008" spans="1:14" x14ac:dyDescent="0.25">
      <c r="A2008" t="s">
        <v>14</v>
      </c>
      <c r="B2008" t="s">
        <v>150</v>
      </c>
      <c r="C2008" t="s">
        <v>369</v>
      </c>
      <c r="D2008" t="s">
        <v>426</v>
      </c>
      <c r="F2008" t="s">
        <v>460</v>
      </c>
      <c r="G2008" t="str">
        <f>HYPERLINK("https://ca.linkedin.com/jobs/view/data-analyst-at-synechron-3364863079?refId=W9loXSxfiS8NY6KiR9Ta9A%3D%3D&amp;trackingId=O%2BQcYstcO2HzG2JMZZAB1g%3D%3D&amp;position=9&amp;pageNum=0&amp;trk=public_jobs_jserp-result_search-card", "Job Link")</f>
        <v>Job Link</v>
      </c>
      <c r="H2008" t="s">
        <v>478</v>
      </c>
      <c r="I2008" t="s">
        <v>481</v>
      </c>
      <c r="J2008" t="s">
        <v>486</v>
      </c>
      <c r="K2008" t="s">
        <v>563</v>
      </c>
      <c r="L2008" t="s">
        <v>584</v>
      </c>
      <c r="M2008" t="s">
        <v>588</v>
      </c>
      <c r="N2008" t="s">
        <v>601</v>
      </c>
    </row>
    <row r="2009" spans="1:14" x14ac:dyDescent="0.25">
      <c r="A2009" t="s">
        <v>14</v>
      </c>
      <c r="B2009" t="s">
        <v>150</v>
      </c>
      <c r="C2009" t="s">
        <v>367</v>
      </c>
      <c r="D2009" t="s">
        <v>426</v>
      </c>
      <c r="F2009" t="s">
        <v>460</v>
      </c>
      <c r="G2009" t="str">
        <f>HYPERLINK("https://ca.linkedin.com/jobs/view/data-analyst-at-synechron-3361756851?refId=W9loXSxfiS8NY6KiR9Ta9A%3D%3D&amp;trackingId=d0kYdPRvPiSsaJ9NEl3amg%3D%3D&amp;position=10&amp;pageNum=0&amp;trk=public_jobs_jserp-result_search-card", "Job Link")</f>
        <v>Job Link</v>
      </c>
      <c r="H2009" t="s">
        <v>478</v>
      </c>
      <c r="I2009" t="s">
        <v>481</v>
      </c>
      <c r="J2009" t="s">
        <v>486</v>
      </c>
      <c r="K2009" t="s">
        <v>562</v>
      </c>
      <c r="L2009" t="s">
        <v>584</v>
      </c>
      <c r="M2009" t="s">
        <v>588</v>
      </c>
      <c r="N2009" t="s">
        <v>601</v>
      </c>
    </row>
    <row r="2010" spans="1:14" x14ac:dyDescent="0.25">
      <c r="A2010" t="s">
        <v>14</v>
      </c>
      <c r="B2010" t="s">
        <v>213</v>
      </c>
      <c r="C2010" t="s">
        <v>371</v>
      </c>
      <c r="D2010" t="s">
        <v>426</v>
      </c>
      <c r="F2010" t="s">
        <v>472</v>
      </c>
      <c r="G2010" t="str">
        <f>HYPERLINK("https://ca.linkedin.com/jobs/view/data-analyst-at-linkus-group-3345817125?refId=W9loXSxfiS8NY6KiR9Ta9A%3D%3D&amp;trackingId=ueYFMJS1WyLBCNMG%2BmGIsw%3D%3D&amp;position=11&amp;pageNum=0&amp;trk=public_jobs_jserp-result_search-card", "Job Link")</f>
        <v>Job Link</v>
      </c>
      <c r="H2010" t="s">
        <v>476</v>
      </c>
      <c r="I2010" t="s">
        <v>481</v>
      </c>
      <c r="J2010" t="s">
        <v>486</v>
      </c>
      <c r="K2010" t="s">
        <v>518</v>
      </c>
      <c r="L2010" t="s">
        <v>588</v>
      </c>
      <c r="M2010" t="s">
        <v>601</v>
      </c>
    </row>
    <row r="2011" spans="1:14" x14ac:dyDescent="0.25">
      <c r="A2011" t="s">
        <v>14</v>
      </c>
      <c r="B2011" t="s">
        <v>214</v>
      </c>
      <c r="C2011" t="s">
        <v>372</v>
      </c>
      <c r="D2011" t="s">
        <v>426</v>
      </c>
      <c r="F2011" t="s">
        <v>432</v>
      </c>
      <c r="G2011" t="str">
        <f>HYPERLINK("https://ca.linkedin.com/jobs/view/data-analyst-at-goeasy-ltd-3358677253?refId=W9loXSxfiS8NY6KiR9Ta9A%3D%3D&amp;trackingId=ZSrEHQ00PL9%2BdffUh2VaNw%3D%3D&amp;position=12&amp;pageNum=0&amp;trk=public_jobs_jserp-result_search-card", "Job Link")</f>
        <v>Job Link</v>
      </c>
      <c r="H2011" t="s">
        <v>476</v>
      </c>
      <c r="I2011" t="s">
        <v>481</v>
      </c>
      <c r="J2011" t="s">
        <v>486</v>
      </c>
      <c r="K2011" t="s">
        <v>550</v>
      </c>
      <c r="L2011" t="s">
        <v>584</v>
      </c>
      <c r="M2011" t="s">
        <v>588</v>
      </c>
      <c r="N2011" t="s">
        <v>601</v>
      </c>
    </row>
    <row r="2012" spans="1:14" x14ac:dyDescent="0.25">
      <c r="A2012" t="s">
        <v>83</v>
      </c>
      <c r="B2012" t="s">
        <v>215</v>
      </c>
      <c r="C2012" t="s">
        <v>373</v>
      </c>
      <c r="D2012" t="s">
        <v>426</v>
      </c>
      <c r="F2012" t="s">
        <v>462</v>
      </c>
      <c r="G2012">
        <v>0</v>
      </c>
      <c r="H2012" t="s">
        <v>478</v>
      </c>
      <c r="I2012" t="s">
        <v>483</v>
      </c>
      <c r="J2012" t="s">
        <v>509</v>
      </c>
      <c r="K2012" t="s">
        <v>550</v>
      </c>
      <c r="L2012" t="s">
        <v>584</v>
      </c>
      <c r="M2012" t="s">
        <v>588</v>
      </c>
      <c r="N2012" t="s">
        <v>601</v>
      </c>
    </row>
    <row r="2013" spans="1:14" x14ac:dyDescent="0.25">
      <c r="A2013" t="s">
        <v>91</v>
      </c>
      <c r="B2013" t="s">
        <v>224</v>
      </c>
      <c r="C2013" t="s">
        <v>284</v>
      </c>
      <c r="D2013" t="s">
        <v>426</v>
      </c>
      <c r="F2013" t="s">
        <v>431</v>
      </c>
      <c r="G2013" t="str">
        <f>HYPERLINK("https://ca.linkedin.com/jobs/view/commercial-data-analyst-at-organigram-inc-3367177254?refId=W9loXSxfiS8NY6KiR9Ta9A%3D%3D&amp;trackingId=iYeZNIyD9YpDFOZbVRyUgw%3D%3D&amp;position=14&amp;pageNum=0&amp;trk=public_jobs_jserp-result_search-card", "Job Link")</f>
        <v>Job Link</v>
      </c>
      <c r="L2013" t="s">
        <v>582</v>
      </c>
      <c r="M2013" t="s">
        <v>588</v>
      </c>
      <c r="N2013" t="s">
        <v>601</v>
      </c>
    </row>
    <row r="2014" spans="1:14" x14ac:dyDescent="0.25">
      <c r="A2014" t="s">
        <v>20</v>
      </c>
      <c r="B2014" t="s">
        <v>207</v>
      </c>
      <c r="C2014" t="s">
        <v>374</v>
      </c>
      <c r="D2014" t="s">
        <v>426</v>
      </c>
      <c r="F2014" t="s">
        <v>463</v>
      </c>
      <c r="G2014" t="str">
        <f>HYPERLINK("https://ca.linkedin.com/jobs/view/senior-data-analyst-at-onlia-3320897882?refId=W9loXSxfiS8NY6KiR9Ta9A%3D%3D&amp;trackingId=KeJ3fbkgudwuE%2B3Z4rRsPQ%3D%3D&amp;position=15&amp;pageNum=0&amp;trk=public_jobs_jserp-result_search-card", "Job Link")</f>
        <v>Job Link</v>
      </c>
      <c r="H2014" t="s">
        <v>477</v>
      </c>
      <c r="I2014" t="s">
        <v>481</v>
      </c>
      <c r="J2014" t="s">
        <v>486</v>
      </c>
      <c r="K2014" t="s">
        <v>523</v>
      </c>
      <c r="L2014" t="s">
        <v>582</v>
      </c>
      <c r="M2014" t="s">
        <v>588</v>
      </c>
      <c r="N2014" t="s">
        <v>601</v>
      </c>
    </row>
    <row r="2015" spans="1:14" x14ac:dyDescent="0.25">
      <c r="A2015" t="s">
        <v>84</v>
      </c>
      <c r="B2015" t="s">
        <v>216</v>
      </c>
      <c r="C2015" t="s">
        <v>375</v>
      </c>
      <c r="D2015" t="s">
        <v>426</v>
      </c>
      <c r="F2015" t="s">
        <v>452</v>
      </c>
      <c r="G2015" t="str">
        <f>HYPERLINK("https://ca.linkedin.com/jobs/view/data-analyst-hybrid-at-xylem-3335088701?refId=W9loXSxfiS8NY6KiR9Ta9A%3D%3D&amp;trackingId=i1MX8V0EX1pvw%2BL%2B6IWC5w%3D%3D&amp;position=16&amp;pageNum=0&amp;trk=public_jobs_jserp-result_search-card", "Job Link")</f>
        <v>Job Link</v>
      </c>
      <c r="H2015" t="s">
        <v>476</v>
      </c>
      <c r="I2015" t="s">
        <v>481</v>
      </c>
      <c r="J2015" t="s">
        <v>486</v>
      </c>
      <c r="K2015" t="s">
        <v>564</v>
      </c>
      <c r="L2015" t="s">
        <v>584</v>
      </c>
      <c r="M2015" t="s">
        <v>588</v>
      </c>
      <c r="N2015" t="s">
        <v>601</v>
      </c>
    </row>
    <row r="2016" spans="1:14" x14ac:dyDescent="0.25">
      <c r="A2016" t="s">
        <v>85</v>
      </c>
      <c r="B2016" t="s">
        <v>217</v>
      </c>
      <c r="C2016" t="s">
        <v>376</v>
      </c>
      <c r="D2016" t="s">
        <v>426</v>
      </c>
      <c r="F2016" t="s">
        <v>473</v>
      </c>
      <c r="G2016" t="str">
        <f>HYPERLINK("https://ca.linkedin.com/jobs/view/data-analyst-python-sql-at-geotab-3341823745?refId=W9loXSxfiS8NY6KiR9Ta9A%3D%3D&amp;trackingId=4UKb050fnNwpyNPXKL40kQ%3D%3D&amp;position=17&amp;pageNum=0&amp;trk=public_jobs_jserp-result_search-card", "Job Link")</f>
        <v>Job Link</v>
      </c>
      <c r="H2016" t="s">
        <v>479</v>
      </c>
      <c r="I2016" t="s">
        <v>481</v>
      </c>
      <c r="J2016" t="s">
        <v>486</v>
      </c>
      <c r="K2016" t="s">
        <v>521</v>
      </c>
      <c r="L2016" t="s">
        <v>612</v>
      </c>
      <c r="M2016" t="s">
        <v>588</v>
      </c>
      <c r="N2016" t="s">
        <v>601</v>
      </c>
    </row>
    <row r="2017" spans="1:14" x14ac:dyDescent="0.25">
      <c r="A2017" t="s">
        <v>86</v>
      </c>
      <c r="B2017" t="s">
        <v>167</v>
      </c>
      <c r="C2017" t="s">
        <v>377</v>
      </c>
      <c r="D2017" t="s">
        <v>426</v>
      </c>
      <c r="F2017" t="s">
        <v>454</v>
      </c>
      <c r="G2017" t="str">
        <f>HYPERLINK("https://ca.linkedin.com/jobs/view/data-analyst-reporting-at-thescore-3345941286?refId=W9loXSxfiS8NY6KiR9Ta9A%3D%3D&amp;trackingId=M9agAphVzXkxPy5CJz5dGg%3D%3D&amp;position=18&amp;pageNum=0&amp;trk=public_jobs_jserp-result_search-card", "Job Link")</f>
        <v>Job Link</v>
      </c>
      <c r="H2017" t="s">
        <v>476</v>
      </c>
      <c r="I2017" t="s">
        <v>481</v>
      </c>
      <c r="J2017" t="s">
        <v>486</v>
      </c>
      <c r="K2017" t="s">
        <v>545</v>
      </c>
      <c r="L2017" t="s">
        <v>582</v>
      </c>
      <c r="M2017" t="s">
        <v>588</v>
      </c>
      <c r="N2017" t="s">
        <v>601</v>
      </c>
    </row>
    <row r="2018" spans="1:14" x14ac:dyDescent="0.25">
      <c r="A2018" t="s">
        <v>87</v>
      </c>
      <c r="B2018" t="s">
        <v>218</v>
      </c>
      <c r="C2018" t="s">
        <v>378</v>
      </c>
      <c r="D2018" t="s">
        <v>426</v>
      </c>
      <c r="F2018" t="s">
        <v>432</v>
      </c>
      <c r="G2018">
        <v>0</v>
      </c>
      <c r="H2018" t="s">
        <v>478</v>
      </c>
      <c r="I2018" t="s">
        <v>483</v>
      </c>
      <c r="J2018" t="s">
        <v>486</v>
      </c>
      <c r="K2018" t="s">
        <v>521</v>
      </c>
      <c r="L2018" t="s">
        <v>582</v>
      </c>
      <c r="M2018" t="s">
        <v>588</v>
      </c>
      <c r="N2018" t="s">
        <v>601</v>
      </c>
    </row>
    <row r="2019" spans="1:14" x14ac:dyDescent="0.25">
      <c r="A2019" t="s">
        <v>90</v>
      </c>
      <c r="B2019" t="s">
        <v>223</v>
      </c>
      <c r="C2019" t="s">
        <v>383</v>
      </c>
      <c r="D2019" t="s">
        <v>426</v>
      </c>
      <c r="F2019" t="s">
        <v>443</v>
      </c>
      <c r="G2019" t="str">
        <f>HYPERLINK("https://ca.linkedin.com/jobs/view/data-administrator-data-analyst-at-hays-3369576413?refId=W9loXSxfiS8NY6KiR9Ta9A%3D%3D&amp;trackingId=ukaDSWWuFu7oI8vf0KpQBA%3D%3D&amp;position=20&amp;pageNum=0&amp;trk=public_jobs_jserp-result_search-card", "Job Link")</f>
        <v>Job Link</v>
      </c>
      <c r="H2019" t="s">
        <v>478</v>
      </c>
      <c r="I2019" t="s">
        <v>481</v>
      </c>
      <c r="J2019" t="s">
        <v>486</v>
      </c>
      <c r="K2019" t="s">
        <v>518</v>
      </c>
      <c r="L2019" t="s">
        <v>583</v>
      </c>
      <c r="M2019" t="s">
        <v>610</v>
      </c>
      <c r="N2019" t="s">
        <v>601</v>
      </c>
    </row>
    <row r="2020" spans="1:14" x14ac:dyDescent="0.25">
      <c r="A2020" t="s">
        <v>88</v>
      </c>
      <c r="B2020" t="s">
        <v>219</v>
      </c>
      <c r="C2020" t="s">
        <v>379</v>
      </c>
      <c r="D2020" t="s">
        <v>426</v>
      </c>
      <c r="F2020" t="s">
        <v>454</v>
      </c>
      <c r="G2020" t="str">
        <f>HYPERLINK("https://ca.linkedin.com/jobs/view/data-analyst-flight-pricing-optimization-at-priceline-3345993633?refId=W9loXSxfiS8NY6KiR9Ta9A%3D%3D&amp;trackingId=awxen4ADlIsQdlZjHbV8Cw%3D%3D&amp;position=21&amp;pageNum=0&amp;trk=public_jobs_jserp-result_search-card", "Job Link")</f>
        <v>Job Link</v>
      </c>
      <c r="H2020" t="s">
        <v>476</v>
      </c>
      <c r="I2020" t="s">
        <v>481</v>
      </c>
      <c r="J2020" t="s">
        <v>486</v>
      </c>
      <c r="K2020" t="s">
        <v>565</v>
      </c>
      <c r="L2020" t="s">
        <v>582</v>
      </c>
      <c r="M2020" t="s">
        <v>588</v>
      </c>
      <c r="N2020" t="s">
        <v>601</v>
      </c>
    </row>
    <row r="2021" spans="1:14" x14ac:dyDescent="0.25">
      <c r="A2021" t="s">
        <v>27</v>
      </c>
      <c r="B2021" t="s">
        <v>220</v>
      </c>
      <c r="C2021" t="s">
        <v>380</v>
      </c>
      <c r="D2021" t="s">
        <v>426</v>
      </c>
      <c r="F2021" t="s">
        <v>434</v>
      </c>
      <c r="G2021" t="str">
        <f>HYPERLINK("https://ca.linkedin.com/jobs/view/sr-data-analyst-at-randstad-canada-3354999789?refId=W9loXSxfiS8NY6KiR9Ta9A%3D%3D&amp;trackingId=lL1JkfXrt7DH2YAKTUACMA%3D%3D&amp;position=22&amp;pageNum=0&amp;trk=public_jobs_jserp-result_search-card", "Job Link")</f>
        <v>Job Link</v>
      </c>
      <c r="H2021" t="s">
        <v>478</v>
      </c>
      <c r="I2021" t="s">
        <v>483</v>
      </c>
      <c r="J2021" t="s">
        <v>486</v>
      </c>
      <c r="K2021" t="s">
        <v>518</v>
      </c>
      <c r="L2021" t="s">
        <v>584</v>
      </c>
      <c r="M2021" t="s">
        <v>588</v>
      </c>
      <c r="N2021" t="s">
        <v>601</v>
      </c>
    </row>
    <row r="2022" spans="1:14" x14ac:dyDescent="0.25">
      <c r="A2022" t="s">
        <v>89</v>
      </c>
      <c r="B2022" t="s">
        <v>221</v>
      </c>
      <c r="C2022" t="s">
        <v>381</v>
      </c>
      <c r="D2022" t="s">
        <v>426</v>
      </c>
      <c r="F2022" t="s">
        <v>461</v>
      </c>
      <c r="G2022">
        <v>0</v>
      </c>
      <c r="H2022" t="s">
        <v>476</v>
      </c>
      <c r="I2022" t="s">
        <v>481</v>
      </c>
      <c r="J2022" t="s">
        <v>488</v>
      </c>
      <c r="K2022" t="s">
        <v>566</v>
      </c>
      <c r="L2022" t="s">
        <v>582</v>
      </c>
      <c r="M2022" t="s">
        <v>588</v>
      </c>
      <c r="N2022" t="s">
        <v>601</v>
      </c>
    </row>
    <row r="2023" spans="1:14" x14ac:dyDescent="0.25">
      <c r="A2023" t="s">
        <v>14</v>
      </c>
      <c r="B2023" t="s">
        <v>222</v>
      </c>
      <c r="C2023" t="s">
        <v>382</v>
      </c>
      <c r="D2023" t="s">
        <v>426</v>
      </c>
      <c r="F2023" t="s">
        <v>431</v>
      </c>
      <c r="G2023" t="str">
        <f>HYPERLINK("https://ca.linkedin.com/jobs/view/data-analyst-at-circle-k-3367192655?refId=W9loXSxfiS8NY6KiR9Ta9A%3D%3D&amp;trackingId=Qfb48DPRD99Trq6%2Bg7K6Iw%3D%3D&amp;position=24&amp;pageNum=0&amp;trk=public_jobs_jserp-result_search-card", "Job Link")</f>
        <v>Job Link</v>
      </c>
      <c r="H2023" t="s">
        <v>476</v>
      </c>
      <c r="I2023" t="s">
        <v>481</v>
      </c>
      <c r="J2023" t="s">
        <v>486</v>
      </c>
      <c r="K2023" t="s">
        <v>567</v>
      </c>
      <c r="L2023" t="s">
        <v>582</v>
      </c>
      <c r="M2023" t="s">
        <v>588</v>
      </c>
      <c r="N2023" t="s">
        <v>601</v>
      </c>
    </row>
    <row r="2024" spans="1:14" x14ac:dyDescent="0.25">
      <c r="A2024" t="s">
        <v>14</v>
      </c>
      <c r="B2024" t="s">
        <v>225</v>
      </c>
      <c r="C2024" t="s">
        <v>385</v>
      </c>
      <c r="D2024" t="s">
        <v>426</v>
      </c>
      <c r="F2024" t="s">
        <v>463</v>
      </c>
      <c r="G2024" t="str">
        <f>HYPERLINK("https://ca.linkedin.com/jobs/view/data-analyst-at-vector-institute-3325395506?refId=W9loXSxfiS8NY6KiR9Ta9A%3D%3D&amp;trackingId=eyYU1n%2BarXkYcxZUrTznqA%3D%3D&amp;position=25&amp;pageNum=0&amp;trk=public_jobs_jserp-result_search-card", "Job Link")</f>
        <v>Job Link</v>
      </c>
      <c r="H2024" t="s">
        <v>478</v>
      </c>
      <c r="I2024" t="s">
        <v>481</v>
      </c>
      <c r="J2024" t="s">
        <v>486</v>
      </c>
      <c r="K2024" t="s">
        <v>520</v>
      </c>
      <c r="L2024" t="s">
        <v>582</v>
      </c>
      <c r="M2024" t="s">
        <v>588</v>
      </c>
      <c r="N2024" t="s">
        <v>601</v>
      </c>
    </row>
    <row r="2025" spans="1:14" x14ac:dyDescent="0.25">
      <c r="A2025" t="s">
        <v>14</v>
      </c>
      <c r="B2025" t="s">
        <v>207</v>
      </c>
      <c r="C2025" t="s">
        <v>362</v>
      </c>
      <c r="D2025" t="s">
        <v>426</v>
      </c>
      <c r="F2025" t="s">
        <v>463</v>
      </c>
      <c r="G2025" t="str">
        <f>HYPERLINK("https://ca.linkedin.com/jobs/view/data-analyst-at-onlia-3320897897?refId=gO%2B5nNixwYELszwAiM0Jcw%3D%3D&amp;trackingId=0Jc7iV0UxHrYzA2ZvE2usQ%3D%3D&amp;position=1&amp;pageNum=0&amp;trk=public_jobs_jserp-result_search-card", "Job Link")</f>
        <v>Job Link</v>
      </c>
      <c r="H2025" t="s">
        <v>477</v>
      </c>
      <c r="I2025" t="s">
        <v>481</v>
      </c>
      <c r="J2025" t="s">
        <v>486</v>
      </c>
      <c r="K2025" t="s">
        <v>523</v>
      </c>
      <c r="L2025" t="s">
        <v>582</v>
      </c>
      <c r="M2025" t="s">
        <v>588</v>
      </c>
      <c r="N2025" t="s">
        <v>601</v>
      </c>
    </row>
    <row r="2026" spans="1:14" x14ac:dyDescent="0.25">
      <c r="A2026" t="s">
        <v>14</v>
      </c>
      <c r="B2026" t="s">
        <v>208</v>
      </c>
      <c r="C2026" t="s">
        <v>363</v>
      </c>
      <c r="D2026" t="s">
        <v>426</v>
      </c>
      <c r="F2026" t="s">
        <v>445</v>
      </c>
      <c r="G2026" t="str">
        <f>HYPERLINK("https://ca.linkedin.com/jobs/view/data-analyst-at-electronic-arts-ea-3325611825?refId=gO%2B5nNixwYELszwAiM0Jcw%3D%3D&amp;trackingId=9Lux7Nd4kPgRTup5VQVcZQ%3D%3D&amp;position=2&amp;pageNum=0&amp;trk=public_jobs_jserp-result_search-card", "Job Link")</f>
        <v>Job Link</v>
      </c>
      <c r="H2026" t="s">
        <v>479</v>
      </c>
      <c r="I2026" t="s">
        <v>481</v>
      </c>
      <c r="J2026" t="s">
        <v>507</v>
      </c>
      <c r="K2026" t="s">
        <v>559</v>
      </c>
      <c r="L2026" t="s">
        <v>582</v>
      </c>
      <c r="M2026" t="s">
        <v>588</v>
      </c>
      <c r="N2026" t="s">
        <v>601</v>
      </c>
    </row>
    <row r="2027" spans="1:14" x14ac:dyDescent="0.25">
      <c r="A2027" t="s">
        <v>14</v>
      </c>
      <c r="B2027" t="s">
        <v>209</v>
      </c>
      <c r="C2027" t="s">
        <v>364</v>
      </c>
      <c r="D2027" t="s">
        <v>426</v>
      </c>
      <c r="F2027" t="s">
        <v>440</v>
      </c>
      <c r="G2027" t="str">
        <f>HYPERLINK("https://ca.linkedin.com/jobs/view/data-analyst-at-frostbite-3370111856?refId=gO%2B5nNixwYELszwAiM0Jcw%3D%3D&amp;trackingId=DT9nIlipQJYiYdPAFLB3Vw%3D%3D&amp;position=3&amp;pageNum=0&amp;trk=public_jobs_jserp-result_search-card", "Job Link")</f>
        <v>Job Link</v>
      </c>
      <c r="H2027" t="s">
        <v>479</v>
      </c>
      <c r="I2027" t="s">
        <v>481</v>
      </c>
      <c r="J2027" t="s">
        <v>507</v>
      </c>
      <c r="K2027" t="s">
        <v>559</v>
      </c>
      <c r="L2027" t="s">
        <v>590</v>
      </c>
      <c r="M2027" t="s">
        <v>618</v>
      </c>
      <c r="N2027" t="s">
        <v>601</v>
      </c>
    </row>
    <row r="2028" spans="1:14" x14ac:dyDescent="0.25">
      <c r="A2028" t="s">
        <v>81</v>
      </c>
      <c r="B2028" t="s">
        <v>210</v>
      </c>
      <c r="C2028" t="s">
        <v>365</v>
      </c>
      <c r="D2028" t="s">
        <v>426</v>
      </c>
      <c r="F2028" t="s">
        <v>436</v>
      </c>
      <c r="G2028" t="str">
        <f>HYPERLINK("https://ca.linkedin.com/jobs/view/data-analyst-c117-at-mitsubishi-motor-sales-of-canada-inc-3344852931?refId=gO%2B5nNixwYELszwAiM0Jcw%3D%3D&amp;trackingId=QzRQnigIihGkpu72lt3U%2Bw%3D%3D&amp;position=4&amp;pageNum=0&amp;trk=public_jobs_jserp-result_search-card", "Job Link")</f>
        <v>Job Link</v>
      </c>
      <c r="H2028" t="s">
        <v>477</v>
      </c>
      <c r="I2028" t="s">
        <v>481</v>
      </c>
      <c r="J2028" t="s">
        <v>508</v>
      </c>
      <c r="K2028" t="s">
        <v>561</v>
      </c>
      <c r="L2028" t="s">
        <v>584</v>
      </c>
      <c r="M2028" t="s">
        <v>588</v>
      </c>
      <c r="N2028" t="s">
        <v>601</v>
      </c>
    </row>
    <row r="2029" spans="1:14" x14ac:dyDescent="0.25">
      <c r="A2029" t="s">
        <v>14</v>
      </c>
      <c r="B2029" t="s">
        <v>211</v>
      </c>
      <c r="C2029" t="s">
        <v>366</v>
      </c>
      <c r="D2029" t="s">
        <v>426</v>
      </c>
      <c r="F2029" t="s">
        <v>443</v>
      </c>
      <c r="G2029" t="str">
        <f>HYPERLINK("https://ca.linkedin.com/jobs/view/data-analyst-at-mphasis-3363428246?refId=gO%2B5nNixwYELszwAiM0Jcw%3D%3D&amp;trackingId=fqglNn%2B2h8DWU7yg87J3Og%3D%3D&amp;position=5&amp;pageNum=0&amp;trk=public_jobs_jserp-result_search-card", "Job Link")</f>
        <v>Job Link</v>
      </c>
      <c r="H2029" t="s">
        <v>477</v>
      </c>
      <c r="I2029" t="s">
        <v>481</v>
      </c>
      <c r="J2029" t="s">
        <v>486</v>
      </c>
      <c r="K2029" t="s">
        <v>521</v>
      </c>
      <c r="L2029" t="s">
        <v>609</v>
      </c>
      <c r="M2029" t="s">
        <v>610</v>
      </c>
      <c r="N2029" t="s">
        <v>601</v>
      </c>
    </row>
    <row r="2030" spans="1:14" x14ac:dyDescent="0.25">
      <c r="A2030" t="s">
        <v>14</v>
      </c>
      <c r="B2030" t="s">
        <v>150</v>
      </c>
      <c r="C2030" t="s">
        <v>367</v>
      </c>
      <c r="D2030" t="s">
        <v>426</v>
      </c>
      <c r="F2030" t="s">
        <v>433</v>
      </c>
      <c r="G2030" t="str">
        <f>HYPERLINK("https://ca.linkedin.com/jobs/view/data-analyst-at-synechron-3348329085?refId=gO%2B5nNixwYELszwAiM0Jcw%3D%3D&amp;trackingId=Eywvt%2F%2BmVsqHF4WkMSVaQw%3D%3D&amp;position=6&amp;pageNum=0&amp;trk=public_jobs_jserp-result_search-card", "Job Link")</f>
        <v>Job Link</v>
      </c>
      <c r="H2030" t="s">
        <v>478</v>
      </c>
      <c r="I2030" t="s">
        <v>481</v>
      </c>
      <c r="J2030" t="s">
        <v>486</v>
      </c>
      <c r="K2030" t="s">
        <v>562</v>
      </c>
      <c r="L2030" t="s">
        <v>584</v>
      </c>
      <c r="M2030" t="s">
        <v>588</v>
      </c>
      <c r="N2030" t="s">
        <v>601</v>
      </c>
    </row>
    <row r="2031" spans="1:14" x14ac:dyDescent="0.25">
      <c r="A2031" t="s">
        <v>82</v>
      </c>
      <c r="B2031" t="s">
        <v>179</v>
      </c>
      <c r="C2031" t="s">
        <v>368</v>
      </c>
      <c r="D2031" t="s">
        <v>426</v>
      </c>
      <c r="F2031" t="s">
        <v>471</v>
      </c>
      <c r="G2031" t="str">
        <f>HYPERLINK("https://ca.linkedin.com/jobs/view/business-data-analyst-at-capgemini-3327624663?refId=gO%2B5nNixwYELszwAiM0Jcw%3D%3D&amp;trackingId=hXGTm8%2BajTBKlHcfjZfz1w%3D%3D&amp;position=7&amp;pageNum=0&amp;trk=public_jobs_jserp-result_search-card", "Job Link")</f>
        <v>Job Link</v>
      </c>
      <c r="H2031" t="s">
        <v>478</v>
      </c>
      <c r="I2031" t="s">
        <v>481</v>
      </c>
      <c r="J2031" t="s">
        <v>486</v>
      </c>
      <c r="K2031" t="s">
        <v>521</v>
      </c>
      <c r="L2031" t="s">
        <v>611</v>
      </c>
      <c r="M2031" t="s">
        <v>601</v>
      </c>
    </row>
    <row r="2032" spans="1:14" x14ac:dyDescent="0.25">
      <c r="A2032" t="s">
        <v>14</v>
      </c>
      <c r="B2032" t="s">
        <v>150</v>
      </c>
      <c r="C2032" t="s">
        <v>369</v>
      </c>
      <c r="D2032" t="s">
        <v>426</v>
      </c>
      <c r="F2032" t="s">
        <v>460</v>
      </c>
      <c r="G2032" t="str">
        <f>HYPERLINK("https://ca.linkedin.com/jobs/view/data-analyst-at-synechron-3364863079?refId=gO%2B5nNixwYELszwAiM0Jcw%3D%3D&amp;trackingId=yqXk564xIf5boHpvp%2FTjZQ%3D%3D&amp;position=8&amp;pageNum=0&amp;trk=public_jobs_jserp-result_search-card", "Job Link")</f>
        <v>Job Link</v>
      </c>
      <c r="H2032" t="s">
        <v>478</v>
      </c>
      <c r="I2032" t="s">
        <v>481</v>
      </c>
      <c r="J2032" t="s">
        <v>486</v>
      </c>
      <c r="K2032" t="s">
        <v>563</v>
      </c>
      <c r="L2032" t="s">
        <v>584</v>
      </c>
      <c r="M2032" t="s">
        <v>588</v>
      </c>
      <c r="N2032" t="s">
        <v>601</v>
      </c>
    </row>
    <row r="2033" spans="1:14" x14ac:dyDescent="0.25">
      <c r="A2033" t="s">
        <v>14</v>
      </c>
      <c r="B2033" t="s">
        <v>150</v>
      </c>
      <c r="C2033" t="s">
        <v>367</v>
      </c>
      <c r="D2033" t="s">
        <v>426</v>
      </c>
      <c r="F2033" t="s">
        <v>460</v>
      </c>
      <c r="G2033" t="str">
        <f>HYPERLINK("https://ca.linkedin.com/jobs/view/data-analyst-at-synechron-3361756851?refId=gO%2B5nNixwYELszwAiM0Jcw%3D%3D&amp;trackingId=Y1%2FE4iI0Gr%2ByTtMjEUc2RQ%3D%3D&amp;position=9&amp;pageNum=0&amp;trk=public_jobs_jserp-result_search-card", "Job Link")</f>
        <v>Job Link</v>
      </c>
      <c r="H2033" t="s">
        <v>478</v>
      </c>
      <c r="I2033" t="s">
        <v>481</v>
      </c>
      <c r="J2033" t="s">
        <v>486</v>
      </c>
      <c r="K2033" t="s">
        <v>562</v>
      </c>
      <c r="L2033" t="s">
        <v>584</v>
      </c>
      <c r="M2033" t="s">
        <v>588</v>
      </c>
      <c r="N2033" t="s">
        <v>601</v>
      </c>
    </row>
    <row r="2034" spans="1:14" x14ac:dyDescent="0.25">
      <c r="A2034" t="s">
        <v>14</v>
      </c>
      <c r="B2034" t="s">
        <v>212</v>
      </c>
      <c r="C2034" t="s">
        <v>370</v>
      </c>
      <c r="D2034" t="s">
        <v>426</v>
      </c>
      <c r="F2034" t="s">
        <v>432</v>
      </c>
      <c r="G2034" t="str">
        <f>HYPERLINK("https://ca.linkedin.com/jobs/view/data-analyst-at-agilus-work-solutions-3358673093?refId=gO%2B5nNixwYELszwAiM0Jcw%3D%3D&amp;trackingId=TOE4g4k3I6VNSJaqGJzzPw%3D%3D&amp;position=10&amp;pageNum=0&amp;trk=public_jobs_jserp-result_search-card", "Job Link")</f>
        <v>Job Link</v>
      </c>
      <c r="H2034" t="s">
        <v>477</v>
      </c>
      <c r="I2034" t="s">
        <v>483</v>
      </c>
      <c r="J2034" t="s">
        <v>486</v>
      </c>
      <c r="K2034" t="s">
        <v>518</v>
      </c>
      <c r="L2034" t="s">
        <v>582</v>
      </c>
      <c r="M2034" t="s">
        <v>588</v>
      </c>
      <c r="N2034" t="s">
        <v>601</v>
      </c>
    </row>
    <row r="2035" spans="1:14" x14ac:dyDescent="0.25">
      <c r="A2035" t="s">
        <v>14</v>
      </c>
      <c r="B2035" t="s">
        <v>213</v>
      </c>
      <c r="C2035" t="s">
        <v>371</v>
      </c>
      <c r="D2035" t="s">
        <v>426</v>
      </c>
      <c r="F2035" t="s">
        <v>472</v>
      </c>
      <c r="G2035" t="str">
        <f>HYPERLINK("https://ca.linkedin.com/jobs/view/data-analyst-at-linkus-group-3345817125?refId=gO%2B5nNixwYELszwAiM0Jcw%3D%3D&amp;trackingId=itrvzGQlIblxdZC8%2FFWaFg%3D%3D&amp;position=11&amp;pageNum=0&amp;trk=public_jobs_jserp-result_search-card", "Job Link")</f>
        <v>Job Link</v>
      </c>
      <c r="H2035" t="s">
        <v>476</v>
      </c>
      <c r="I2035" t="s">
        <v>481</v>
      </c>
      <c r="J2035" t="s">
        <v>486</v>
      </c>
      <c r="K2035" t="s">
        <v>518</v>
      </c>
      <c r="L2035" t="s">
        <v>588</v>
      </c>
      <c r="M2035" t="s">
        <v>601</v>
      </c>
    </row>
    <row r="2036" spans="1:14" x14ac:dyDescent="0.25">
      <c r="A2036" t="s">
        <v>14</v>
      </c>
      <c r="B2036" t="s">
        <v>214</v>
      </c>
      <c r="C2036" t="s">
        <v>372</v>
      </c>
      <c r="D2036" t="s">
        <v>426</v>
      </c>
      <c r="F2036" t="s">
        <v>432</v>
      </c>
      <c r="G2036" t="str">
        <f>HYPERLINK("https://ca.linkedin.com/jobs/view/data-analyst-at-goeasy-ltd-3358677253?refId=gO%2B5nNixwYELszwAiM0Jcw%3D%3D&amp;trackingId=wCvRvMyGYKvb51ljAiSb2Q%3D%3D&amp;position=12&amp;pageNum=0&amp;trk=public_jobs_jserp-result_search-card", "Job Link")</f>
        <v>Job Link</v>
      </c>
      <c r="H2036" t="s">
        <v>476</v>
      </c>
      <c r="I2036" t="s">
        <v>481</v>
      </c>
      <c r="J2036" t="s">
        <v>486</v>
      </c>
      <c r="K2036" t="s">
        <v>550</v>
      </c>
      <c r="L2036" t="s">
        <v>584</v>
      </c>
      <c r="M2036" t="s">
        <v>588</v>
      </c>
      <c r="N2036" t="s">
        <v>601</v>
      </c>
    </row>
    <row r="2037" spans="1:14" x14ac:dyDescent="0.25">
      <c r="A2037" t="s">
        <v>83</v>
      </c>
      <c r="B2037" t="s">
        <v>215</v>
      </c>
      <c r="C2037" t="s">
        <v>373</v>
      </c>
      <c r="D2037" t="s">
        <v>426</v>
      </c>
      <c r="F2037" t="s">
        <v>462</v>
      </c>
      <c r="G2037">
        <v>0</v>
      </c>
      <c r="H2037" t="s">
        <v>478</v>
      </c>
      <c r="I2037" t="s">
        <v>483</v>
      </c>
      <c r="J2037" t="s">
        <v>509</v>
      </c>
      <c r="K2037" t="s">
        <v>550</v>
      </c>
      <c r="L2037" t="s">
        <v>584</v>
      </c>
      <c r="M2037" t="s">
        <v>588</v>
      </c>
      <c r="N2037" t="s">
        <v>601</v>
      </c>
    </row>
    <row r="2038" spans="1:14" x14ac:dyDescent="0.25">
      <c r="A2038" t="s">
        <v>20</v>
      </c>
      <c r="B2038" t="s">
        <v>207</v>
      </c>
      <c r="C2038" t="s">
        <v>374</v>
      </c>
      <c r="D2038" t="s">
        <v>426</v>
      </c>
      <c r="F2038" t="s">
        <v>463</v>
      </c>
      <c r="G2038" t="str">
        <f>HYPERLINK("https://ca.linkedin.com/jobs/view/senior-data-analyst-at-onlia-3320897882?refId=gO%2B5nNixwYELszwAiM0Jcw%3D%3D&amp;trackingId=NMGyUTojxeu50MerbVt82A%3D%3D&amp;position=14&amp;pageNum=0&amp;trk=public_jobs_jserp-result_search-card", "Job Link")</f>
        <v>Job Link</v>
      </c>
      <c r="H2038" t="s">
        <v>477</v>
      </c>
      <c r="I2038" t="s">
        <v>481</v>
      </c>
      <c r="J2038" t="s">
        <v>486</v>
      </c>
      <c r="K2038" t="s">
        <v>523</v>
      </c>
      <c r="L2038" t="s">
        <v>582</v>
      </c>
      <c r="M2038" t="s">
        <v>588</v>
      </c>
      <c r="N2038" t="s">
        <v>601</v>
      </c>
    </row>
    <row r="2039" spans="1:14" x14ac:dyDescent="0.25">
      <c r="A2039" t="s">
        <v>84</v>
      </c>
      <c r="B2039" t="s">
        <v>216</v>
      </c>
      <c r="C2039" t="s">
        <v>375</v>
      </c>
      <c r="D2039" t="s">
        <v>426</v>
      </c>
      <c r="F2039" t="s">
        <v>452</v>
      </c>
      <c r="G2039" t="str">
        <f>HYPERLINK("https://ca.linkedin.com/jobs/view/data-analyst-hybrid-at-xylem-3335088701?refId=gO%2B5nNixwYELszwAiM0Jcw%3D%3D&amp;trackingId=kaOG2YUE4O8v4yPYJK8J5w%3D%3D&amp;position=15&amp;pageNum=0&amp;trk=public_jobs_jserp-result_search-card", "Job Link")</f>
        <v>Job Link</v>
      </c>
      <c r="H2039" t="s">
        <v>476</v>
      </c>
      <c r="I2039" t="s">
        <v>481</v>
      </c>
      <c r="J2039" t="s">
        <v>486</v>
      </c>
      <c r="K2039" t="s">
        <v>564</v>
      </c>
      <c r="L2039" t="s">
        <v>584</v>
      </c>
      <c r="M2039" t="s">
        <v>588</v>
      </c>
      <c r="N2039" t="s">
        <v>601</v>
      </c>
    </row>
    <row r="2040" spans="1:14" x14ac:dyDescent="0.25">
      <c r="A2040" t="s">
        <v>85</v>
      </c>
      <c r="B2040" t="s">
        <v>217</v>
      </c>
      <c r="C2040" t="s">
        <v>376</v>
      </c>
      <c r="D2040" t="s">
        <v>426</v>
      </c>
      <c r="F2040" t="s">
        <v>473</v>
      </c>
      <c r="G2040" t="str">
        <f>HYPERLINK("https://ca.linkedin.com/jobs/view/data-analyst-python-sql-at-geotab-3341823745?refId=gO%2B5nNixwYELszwAiM0Jcw%3D%3D&amp;trackingId=7jFQOs%2B1WiXxEBM1Ncepkw%3D%3D&amp;position=16&amp;pageNum=0&amp;trk=public_jobs_jserp-result_search-card", "Job Link")</f>
        <v>Job Link</v>
      </c>
      <c r="H2040" t="s">
        <v>479</v>
      </c>
      <c r="I2040" t="s">
        <v>481</v>
      </c>
      <c r="J2040" t="s">
        <v>486</v>
      </c>
      <c r="K2040" t="s">
        <v>521</v>
      </c>
      <c r="L2040" t="s">
        <v>612</v>
      </c>
      <c r="M2040" t="s">
        <v>588</v>
      </c>
      <c r="N2040" t="s">
        <v>601</v>
      </c>
    </row>
    <row r="2041" spans="1:14" x14ac:dyDescent="0.25">
      <c r="A2041" t="s">
        <v>86</v>
      </c>
      <c r="B2041" t="s">
        <v>167</v>
      </c>
      <c r="C2041" t="s">
        <v>377</v>
      </c>
      <c r="D2041" t="s">
        <v>426</v>
      </c>
      <c r="F2041" t="s">
        <v>454</v>
      </c>
      <c r="G2041" t="str">
        <f>HYPERLINK("https://ca.linkedin.com/jobs/view/data-analyst-reporting-at-thescore-3345941286?refId=gO%2B5nNixwYELszwAiM0Jcw%3D%3D&amp;trackingId=S%2BDBr1NBszYgOn6WVYFKGQ%3D%3D&amp;position=17&amp;pageNum=0&amp;trk=public_jobs_jserp-result_search-card", "Job Link")</f>
        <v>Job Link</v>
      </c>
      <c r="H2041" t="s">
        <v>476</v>
      </c>
      <c r="I2041" t="s">
        <v>481</v>
      </c>
      <c r="J2041" t="s">
        <v>486</v>
      </c>
      <c r="K2041" t="s">
        <v>545</v>
      </c>
      <c r="L2041" t="s">
        <v>582</v>
      </c>
      <c r="M2041" t="s">
        <v>588</v>
      </c>
      <c r="N2041" t="s">
        <v>601</v>
      </c>
    </row>
    <row r="2042" spans="1:14" x14ac:dyDescent="0.25">
      <c r="A2042" t="s">
        <v>87</v>
      </c>
      <c r="B2042" t="s">
        <v>218</v>
      </c>
      <c r="C2042" t="s">
        <v>378</v>
      </c>
      <c r="D2042" t="s">
        <v>426</v>
      </c>
      <c r="F2042" t="s">
        <v>432</v>
      </c>
      <c r="G2042">
        <v>0</v>
      </c>
      <c r="H2042" t="s">
        <v>478</v>
      </c>
      <c r="I2042" t="s">
        <v>483</v>
      </c>
      <c r="J2042" t="s">
        <v>486</v>
      </c>
      <c r="K2042" t="s">
        <v>521</v>
      </c>
      <c r="L2042" t="s">
        <v>582</v>
      </c>
      <c r="M2042" t="s">
        <v>588</v>
      </c>
      <c r="N2042" t="s">
        <v>601</v>
      </c>
    </row>
    <row r="2043" spans="1:14" x14ac:dyDescent="0.25">
      <c r="A2043" t="s">
        <v>88</v>
      </c>
      <c r="B2043" t="s">
        <v>219</v>
      </c>
      <c r="C2043" t="s">
        <v>379</v>
      </c>
      <c r="D2043" t="s">
        <v>426</v>
      </c>
      <c r="F2043" t="s">
        <v>454</v>
      </c>
      <c r="G2043" t="str">
        <f>HYPERLINK("https://ca.linkedin.com/jobs/view/data-analyst-flight-pricing-optimization-at-priceline-3345993633?refId=gO%2B5nNixwYELszwAiM0Jcw%3D%3D&amp;trackingId=kSTAkpSY6otIDpFfPXM%2B0g%3D%3D&amp;position=19&amp;pageNum=0&amp;trk=public_jobs_jserp-result_search-card", "Job Link")</f>
        <v>Job Link</v>
      </c>
      <c r="H2043" t="s">
        <v>476</v>
      </c>
      <c r="I2043" t="s">
        <v>481</v>
      </c>
      <c r="J2043" t="s">
        <v>486</v>
      </c>
      <c r="K2043" t="s">
        <v>565</v>
      </c>
      <c r="L2043" t="s">
        <v>582</v>
      </c>
      <c r="M2043" t="s">
        <v>588</v>
      </c>
      <c r="N2043" t="s">
        <v>601</v>
      </c>
    </row>
    <row r="2044" spans="1:14" x14ac:dyDescent="0.25">
      <c r="A2044" t="s">
        <v>27</v>
      </c>
      <c r="B2044" t="s">
        <v>220</v>
      </c>
      <c r="C2044" t="s">
        <v>380</v>
      </c>
      <c r="D2044" t="s">
        <v>426</v>
      </c>
      <c r="F2044" t="s">
        <v>434</v>
      </c>
      <c r="G2044" t="str">
        <f>HYPERLINK("https://ca.linkedin.com/jobs/view/sr-data-analyst-at-randstad-canada-3354999789?refId=gO%2B5nNixwYELszwAiM0Jcw%3D%3D&amp;trackingId=jmWBpyHtXIuDNGjvz%2BbJXg%3D%3D&amp;position=20&amp;pageNum=0&amp;trk=public_jobs_jserp-result_search-card", "Job Link")</f>
        <v>Job Link</v>
      </c>
      <c r="H2044" t="s">
        <v>478</v>
      </c>
      <c r="I2044" t="s">
        <v>483</v>
      </c>
      <c r="J2044" t="s">
        <v>486</v>
      </c>
      <c r="K2044" t="s">
        <v>518</v>
      </c>
      <c r="L2044" t="s">
        <v>584</v>
      </c>
      <c r="M2044" t="s">
        <v>588</v>
      </c>
      <c r="N2044" t="s">
        <v>601</v>
      </c>
    </row>
    <row r="2045" spans="1:14" x14ac:dyDescent="0.25">
      <c r="A2045" t="s">
        <v>89</v>
      </c>
      <c r="B2045" t="s">
        <v>221</v>
      </c>
      <c r="C2045" t="s">
        <v>381</v>
      </c>
      <c r="D2045" t="s">
        <v>426</v>
      </c>
      <c r="F2045" t="s">
        <v>461</v>
      </c>
      <c r="G2045">
        <v>0</v>
      </c>
      <c r="H2045" t="s">
        <v>476</v>
      </c>
      <c r="I2045" t="s">
        <v>481</v>
      </c>
      <c r="J2045" t="s">
        <v>488</v>
      </c>
      <c r="K2045" t="s">
        <v>566</v>
      </c>
      <c r="L2045" t="s">
        <v>582</v>
      </c>
      <c r="M2045" t="s">
        <v>588</v>
      </c>
      <c r="N2045" t="s">
        <v>601</v>
      </c>
    </row>
    <row r="2046" spans="1:14" x14ac:dyDescent="0.25">
      <c r="A2046" t="s">
        <v>14</v>
      </c>
      <c r="B2046" t="s">
        <v>222</v>
      </c>
      <c r="C2046" t="s">
        <v>382</v>
      </c>
      <c r="D2046" t="s">
        <v>426</v>
      </c>
      <c r="F2046" t="s">
        <v>431</v>
      </c>
      <c r="G2046" t="str">
        <f>HYPERLINK("https://ca.linkedin.com/jobs/view/data-analyst-at-circle-k-3367192655?refId=gO%2B5nNixwYELszwAiM0Jcw%3D%3D&amp;trackingId=7OLJZL9x6e3XKXy%2F%2BxUbAA%3D%3D&amp;position=22&amp;pageNum=0&amp;trk=public_jobs_jserp-result_search-card", "Job Link")</f>
        <v>Job Link</v>
      </c>
      <c r="H2046" t="s">
        <v>476</v>
      </c>
      <c r="I2046" t="s">
        <v>481</v>
      </c>
      <c r="J2046" t="s">
        <v>486</v>
      </c>
      <c r="K2046" t="s">
        <v>567</v>
      </c>
      <c r="L2046" t="s">
        <v>582</v>
      </c>
      <c r="M2046" t="s">
        <v>588</v>
      </c>
      <c r="N2046" t="s">
        <v>601</v>
      </c>
    </row>
    <row r="2047" spans="1:14" x14ac:dyDescent="0.25">
      <c r="A2047" t="s">
        <v>90</v>
      </c>
      <c r="B2047" t="s">
        <v>223</v>
      </c>
      <c r="C2047" t="s">
        <v>383</v>
      </c>
      <c r="D2047" t="s">
        <v>426</v>
      </c>
      <c r="F2047" t="s">
        <v>443</v>
      </c>
      <c r="G2047" t="str">
        <f>HYPERLINK("https://ca.linkedin.com/jobs/view/data-administrator-data-analyst-at-hays-3369576413?refId=gO%2B5nNixwYELszwAiM0Jcw%3D%3D&amp;trackingId=8oDlq8jJnvhJ7ESFmMBC1A%3D%3D&amp;position=23&amp;pageNum=0&amp;trk=public_jobs_jserp-result_search-card", "Job Link")</f>
        <v>Job Link</v>
      </c>
      <c r="H2047" t="s">
        <v>478</v>
      </c>
      <c r="I2047" t="s">
        <v>481</v>
      </c>
      <c r="J2047" t="s">
        <v>486</v>
      </c>
      <c r="K2047" t="s">
        <v>518</v>
      </c>
      <c r="L2047" t="s">
        <v>583</v>
      </c>
      <c r="M2047" t="s">
        <v>610</v>
      </c>
      <c r="N2047" t="s">
        <v>601</v>
      </c>
    </row>
    <row r="2048" spans="1:14" x14ac:dyDescent="0.25">
      <c r="A2048" t="s">
        <v>91</v>
      </c>
      <c r="B2048" t="s">
        <v>224</v>
      </c>
      <c r="C2048" t="s">
        <v>384</v>
      </c>
      <c r="D2048" t="s">
        <v>426</v>
      </c>
      <c r="F2048" t="s">
        <v>431</v>
      </c>
      <c r="G2048" t="str">
        <f>HYPERLINK("https://ca.linkedin.com/jobs/view/commercial-data-analyst-at-organigram-inc-3367177254?refId=gO%2B5nNixwYELszwAiM0Jcw%3D%3D&amp;trackingId=DQus3vxxZV92ErhNHrjTzQ%3D%3D&amp;position=24&amp;pageNum=0&amp;trk=public_jobs_jserp-result_search-card", "Job Link")</f>
        <v>Job Link</v>
      </c>
      <c r="I2048" t="s">
        <v>481</v>
      </c>
      <c r="L2048" t="s">
        <v>582</v>
      </c>
      <c r="M2048" t="s">
        <v>588</v>
      </c>
      <c r="N2048" t="s">
        <v>601</v>
      </c>
    </row>
    <row r="2049" spans="1:14" x14ac:dyDescent="0.25">
      <c r="A2049" t="s">
        <v>14</v>
      </c>
      <c r="B2049" t="s">
        <v>225</v>
      </c>
      <c r="C2049" t="s">
        <v>385</v>
      </c>
      <c r="D2049" t="s">
        <v>426</v>
      </c>
      <c r="F2049" t="s">
        <v>463</v>
      </c>
      <c r="G2049" t="str">
        <f>HYPERLINK("https://ca.linkedin.com/jobs/view/data-analyst-at-vector-institute-3325395506?refId=gO%2B5nNixwYELszwAiM0Jcw%3D%3D&amp;trackingId=zazpYYJTvWsK3TDXGkqVPQ%3D%3D&amp;position=25&amp;pageNum=0&amp;trk=public_jobs_jserp-result_search-card", "Job Link")</f>
        <v>Job Link</v>
      </c>
      <c r="H2049" t="s">
        <v>478</v>
      </c>
      <c r="I2049" t="s">
        <v>481</v>
      </c>
      <c r="J2049" t="s">
        <v>486</v>
      </c>
      <c r="K2049" t="s">
        <v>520</v>
      </c>
      <c r="L2049" t="s">
        <v>582</v>
      </c>
      <c r="M2049" t="s">
        <v>588</v>
      </c>
      <c r="N2049" t="s">
        <v>601</v>
      </c>
    </row>
    <row r="2050" spans="1:14" x14ac:dyDescent="0.25">
      <c r="A2050" t="s">
        <v>14</v>
      </c>
      <c r="B2050" t="s">
        <v>207</v>
      </c>
      <c r="C2050" t="s">
        <v>362</v>
      </c>
      <c r="D2050" t="s">
        <v>426</v>
      </c>
      <c r="F2050" t="s">
        <v>463</v>
      </c>
      <c r="G2050" t="str">
        <f>HYPERLINK("https://ca.linkedin.com/jobs/view/data-analyst-at-onlia-3320897897?refId=SvLZf3N3%2BGRXxBjIfMcQxQ%3D%3D&amp;trackingId=jOkEy08n8Fg4z5krpG%2F3XA%3D%3D&amp;position=1&amp;pageNum=0&amp;trk=public_jobs_jserp-result_search-card", "Job Link")</f>
        <v>Job Link</v>
      </c>
      <c r="H2050" t="s">
        <v>477</v>
      </c>
      <c r="I2050" t="s">
        <v>481</v>
      </c>
      <c r="J2050" t="s">
        <v>486</v>
      </c>
      <c r="K2050" t="s">
        <v>523</v>
      </c>
      <c r="L2050" t="s">
        <v>582</v>
      </c>
      <c r="M2050" t="s">
        <v>588</v>
      </c>
      <c r="N2050" t="s">
        <v>601</v>
      </c>
    </row>
    <row r="2051" spans="1:14" x14ac:dyDescent="0.25">
      <c r="A2051" t="s">
        <v>14</v>
      </c>
      <c r="B2051" t="s">
        <v>208</v>
      </c>
      <c r="C2051" t="s">
        <v>363</v>
      </c>
      <c r="D2051" t="s">
        <v>426</v>
      </c>
      <c r="F2051" t="s">
        <v>445</v>
      </c>
      <c r="G2051" t="str">
        <f>HYPERLINK("https://ca.linkedin.com/jobs/view/data-analyst-at-electronic-arts-ea-3325611825?refId=SvLZf3N3%2BGRXxBjIfMcQxQ%3D%3D&amp;trackingId=AgxanE9m6WjjOEb%2FvEkYmg%3D%3D&amp;position=2&amp;pageNum=0&amp;trk=public_jobs_jserp-result_search-card", "Job Link")</f>
        <v>Job Link</v>
      </c>
      <c r="H2051" t="s">
        <v>479</v>
      </c>
      <c r="I2051" t="s">
        <v>481</v>
      </c>
      <c r="J2051" t="s">
        <v>507</v>
      </c>
      <c r="K2051" t="s">
        <v>559</v>
      </c>
      <c r="L2051" t="s">
        <v>582</v>
      </c>
      <c r="M2051" t="s">
        <v>588</v>
      </c>
      <c r="N2051" t="s">
        <v>601</v>
      </c>
    </row>
    <row r="2052" spans="1:14" x14ac:dyDescent="0.25">
      <c r="A2052" t="s">
        <v>14</v>
      </c>
      <c r="B2052" t="s">
        <v>209</v>
      </c>
      <c r="C2052" t="s">
        <v>364</v>
      </c>
      <c r="D2052" t="s">
        <v>426</v>
      </c>
      <c r="F2052" t="s">
        <v>440</v>
      </c>
      <c r="G2052" t="str">
        <f>HYPERLINK("https://ca.linkedin.com/jobs/view/data-analyst-at-frostbite-3370111856?refId=SvLZf3N3%2BGRXxBjIfMcQxQ%3D%3D&amp;trackingId=jq4lAJIgmZeQUT39hevicg%3D%3D&amp;position=3&amp;pageNum=0&amp;trk=public_jobs_jserp-result_search-card", "Job Link")</f>
        <v>Job Link</v>
      </c>
      <c r="H2052" t="s">
        <v>479</v>
      </c>
      <c r="I2052" t="s">
        <v>481</v>
      </c>
      <c r="J2052" t="s">
        <v>507</v>
      </c>
      <c r="K2052" t="s">
        <v>559</v>
      </c>
      <c r="L2052" t="s">
        <v>590</v>
      </c>
      <c r="M2052" t="s">
        <v>618</v>
      </c>
      <c r="N2052" t="s">
        <v>601</v>
      </c>
    </row>
    <row r="2053" spans="1:14" x14ac:dyDescent="0.25">
      <c r="A2053" t="s">
        <v>14</v>
      </c>
      <c r="B2053" t="s">
        <v>211</v>
      </c>
      <c r="C2053" t="s">
        <v>366</v>
      </c>
      <c r="D2053" t="s">
        <v>426</v>
      </c>
      <c r="F2053" t="s">
        <v>443</v>
      </c>
      <c r="G2053" t="str">
        <f>HYPERLINK("https://ca.linkedin.com/jobs/view/data-analyst-at-mphasis-3363428246?refId=SvLZf3N3%2BGRXxBjIfMcQxQ%3D%3D&amp;trackingId=%2FXwcHEpE1Mm87a%2FGE9%2BH5Q%3D%3D&amp;position=4&amp;pageNum=0&amp;trk=public_jobs_jserp-result_search-card", "Job Link")</f>
        <v>Job Link</v>
      </c>
      <c r="H2053" t="s">
        <v>477</v>
      </c>
      <c r="I2053" t="s">
        <v>481</v>
      </c>
      <c r="J2053" t="s">
        <v>486</v>
      </c>
      <c r="K2053" t="s">
        <v>521</v>
      </c>
      <c r="L2053" t="s">
        <v>609</v>
      </c>
      <c r="M2053" t="s">
        <v>610</v>
      </c>
      <c r="N2053" t="s">
        <v>601</v>
      </c>
    </row>
    <row r="2054" spans="1:14" x14ac:dyDescent="0.25">
      <c r="A2054" t="s">
        <v>81</v>
      </c>
      <c r="B2054" t="s">
        <v>210</v>
      </c>
      <c r="C2054" t="s">
        <v>365</v>
      </c>
      <c r="D2054" t="s">
        <v>426</v>
      </c>
      <c r="F2054" t="s">
        <v>436</v>
      </c>
      <c r="G2054" t="str">
        <f>HYPERLINK("https://ca.linkedin.com/jobs/view/data-analyst-c117-at-mitsubishi-motor-sales-of-canada-inc-3344852931?refId=SvLZf3N3%2BGRXxBjIfMcQxQ%3D%3D&amp;trackingId=UR8QCNNPDvYc6skzKWzH7w%3D%3D&amp;position=5&amp;pageNum=0&amp;trk=public_jobs_jserp-result_search-card", "Job Link")</f>
        <v>Job Link</v>
      </c>
      <c r="H2054" t="s">
        <v>477</v>
      </c>
      <c r="I2054" t="s">
        <v>481</v>
      </c>
      <c r="J2054" t="s">
        <v>508</v>
      </c>
      <c r="K2054" t="s">
        <v>561</v>
      </c>
      <c r="L2054" t="s">
        <v>584</v>
      </c>
      <c r="M2054" t="s">
        <v>588</v>
      </c>
      <c r="N2054" t="s">
        <v>601</v>
      </c>
    </row>
    <row r="2055" spans="1:14" x14ac:dyDescent="0.25">
      <c r="A2055" t="s">
        <v>14</v>
      </c>
      <c r="B2055" t="s">
        <v>150</v>
      </c>
      <c r="C2055" t="s">
        <v>367</v>
      </c>
      <c r="D2055" t="s">
        <v>426</v>
      </c>
      <c r="F2055" t="s">
        <v>433</v>
      </c>
      <c r="G2055" t="str">
        <f>HYPERLINK("https://ca.linkedin.com/jobs/view/data-analyst-at-synechron-3348329085?refId=SvLZf3N3%2BGRXxBjIfMcQxQ%3D%3D&amp;trackingId=%2BccQRIxvMEVborP3XTpyqQ%3D%3D&amp;position=6&amp;pageNum=0&amp;trk=public_jobs_jserp-result_search-card", "Job Link")</f>
        <v>Job Link</v>
      </c>
      <c r="H2055" t="s">
        <v>478</v>
      </c>
      <c r="I2055" t="s">
        <v>481</v>
      </c>
      <c r="J2055" t="s">
        <v>486</v>
      </c>
      <c r="K2055" t="s">
        <v>562</v>
      </c>
      <c r="L2055" t="s">
        <v>584</v>
      </c>
      <c r="M2055" t="s">
        <v>588</v>
      </c>
      <c r="N2055" t="s">
        <v>601</v>
      </c>
    </row>
    <row r="2056" spans="1:14" x14ac:dyDescent="0.25">
      <c r="A2056" t="s">
        <v>82</v>
      </c>
      <c r="B2056" t="s">
        <v>179</v>
      </c>
      <c r="C2056" t="s">
        <v>368</v>
      </c>
      <c r="D2056" t="s">
        <v>426</v>
      </c>
      <c r="F2056" t="s">
        <v>471</v>
      </c>
      <c r="G2056" t="str">
        <f>HYPERLINK("https://ca.linkedin.com/jobs/view/business-data-analyst-at-capgemini-3327624663?refId=SvLZf3N3%2BGRXxBjIfMcQxQ%3D%3D&amp;trackingId=PL6aruGcHGXALWTgxpOV3A%3D%3D&amp;position=7&amp;pageNum=0&amp;trk=public_jobs_jserp-result_search-card", "Job Link")</f>
        <v>Job Link</v>
      </c>
      <c r="H2056" t="s">
        <v>478</v>
      </c>
      <c r="I2056" t="s">
        <v>481</v>
      </c>
      <c r="J2056" t="s">
        <v>486</v>
      </c>
      <c r="K2056" t="s">
        <v>521</v>
      </c>
      <c r="L2056" t="s">
        <v>611</v>
      </c>
      <c r="M2056" t="s">
        <v>601</v>
      </c>
    </row>
    <row r="2057" spans="1:14" x14ac:dyDescent="0.25">
      <c r="A2057" t="s">
        <v>14</v>
      </c>
      <c r="B2057" t="s">
        <v>212</v>
      </c>
      <c r="C2057" t="s">
        <v>370</v>
      </c>
      <c r="D2057" t="s">
        <v>426</v>
      </c>
      <c r="F2057" t="s">
        <v>432</v>
      </c>
      <c r="G2057" t="str">
        <f>HYPERLINK("https://ca.linkedin.com/jobs/view/data-analyst-at-agilus-work-solutions-3358673093?refId=SvLZf3N3%2BGRXxBjIfMcQxQ%3D%3D&amp;trackingId=hKlweh9pTGey8foxsquLoQ%3D%3D&amp;position=8&amp;pageNum=0&amp;trk=public_jobs_jserp-result_search-card", "Job Link")</f>
        <v>Job Link</v>
      </c>
      <c r="H2057" t="s">
        <v>477</v>
      </c>
      <c r="I2057" t="s">
        <v>483</v>
      </c>
      <c r="J2057" t="s">
        <v>486</v>
      </c>
      <c r="K2057" t="s">
        <v>518</v>
      </c>
      <c r="L2057" t="s">
        <v>582</v>
      </c>
      <c r="M2057" t="s">
        <v>588</v>
      </c>
      <c r="N2057" t="s">
        <v>601</v>
      </c>
    </row>
    <row r="2058" spans="1:14" x14ac:dyDescent="0.25">
      <c r="A2058" t="s">
        <v>14</v>
      </c>
      <c r="B2058" t="s">
        <v>150</v>
      </c>
      <c r="C2058" t="s">
        <v>369</v>
      </c>
      <c r="D2058" t="s">
        <v>426</v>
      </c>
      <c r="F2058" t="s">
        <v>460</v>
      </c>
      <c r="G2058" t="str">
        <f>HYPERLINK("https://ca.linkedin.com/jobs/view/data-analyst-at-synechron-3364863079?refId=SvLZf3N3%2BGRXxBjIfMcQxQ%3D%3D&amp;trackingId=o9N5OmTGhGprlH93GxaL0w%3D%3D&amp;position=9&amp;pageNum=0&amp;trk=public_jobs_jserp-result_search-card", "Job Link")</f>
        <v>Job Link</v>
      </c>
      <c r="H2058" t="s">
        <v>478</v>
      </c>
      <c r="I2058" t="s">
        <v>481</v>
      </c>
      <c r="J2058" t="s">
        <v>486</v>
      </c>
      <c r="K2058" t="s">
        <v>563</v>
      </c>
      <c r="L2058" t="s">
        <v>584</v>
      </c>
      <c r="M2058" t="s">
        <v>588</v>
      </c>
      <c r="N2058" t="s">
        <v>601</v>
      </c>
    </row>
    <row r="2059" spans="1:14" x14ac:dyDescent="0.25">
      <c r="A2059" t="s">
        <v>14</v>
      </c>
      <c r="B2059" t="s">
        <v>150</v>
      </c>
      <c r="C2059" t="s">
        <v>367</v>
      </c>
      <c r="D2059" t="s">
        <v>426</v>
      </c>
      <c r="F2059" t="s">
        <v>460</v>
      </c>
      <c r="G2059" t="str">
        <f>HYPERLINK("https://ca.linkedin.com/jobs/view/data-analyst-at-synechron-3361756851?refId=SvLZf3N3%2BGRXxBjIfMcQxQ%3D%3D&amp;trackingId=eGVOVWLTc0vlZGvC6Jb4jQ%3D%3D&amp;position=10&amp;pageNum=0&amp;trk=public_jobs_jserp-result_search-card", "Job Link")</f>
        <v>Job Link</v>
      </c>
      <c r="H2059" t="s">
        <v>478</v>
      </c>
      <c r="I2059" t="s">
        <v>481</v>
      </c>
      <c r="J2059" t="s">
        <v>486</v>
      </c>
      <c r="K2059" t="s">
        <v>562</v>
      </c>
      <c r="L2059" t="s">
        <v>584</v>
      </c>
      <c r="M2059" t="s">
        <v>588</v>
      </c>
      <c r="N2059" t="s">
        <v>601</v>
      </c>
    </row>
    <row r="2060" spans="1:14" x14ac:dyDescent="0.25">
      <c r="A2060" t="s">
        <v>14</v>
      </c>
      <c r="B2060" t="s">
        <v>213</v>
      </c>
      <c r="C2060" t="s">
        <v>371</v>
      </c>
      <c r="D2060" t="s">
        <v>426</v>
      </c>
      <c r="F2060" t="s">
        <v>472</v>
      </c>
      <c r="G2060" t="str">
        <f>HYPERLINK("https://ca.linkedin.com/jobs/view/data-analyst-at-linkus-group-3345817125?refId=SvLZf3N3%2BGRXxBjIfMcQxQ%3D%3D&amp;trackingId=%2F%2F088cC%2F5jx%2BT7VlKInThQ%3D%3D&amp;position=11&amp;pageNum=0&amp;trk=public_jobs_jserp-result_search-card", "Job Link")</f>
        <v>Job Link</v>
      </c>
      <c r="H2060" t="s">
        <v>476</v>
      </c>
      <c r="I2060" t="s">
        <v>481</v>
      </c>
      <c r="J2060" t="s">
        <v>486</v>
      </c>
      <c r="K2060" t="s">
        <v>518</v>
      </c>
      <c r="L2060" t="s">
        <v>588</v>
      </c>
      <c r="M2060" t="s">
        <v>601</v>
      </c>
    </row>
    <row r="2061" spans="1:14" x14ac:dyDescent="0.25">
      <c r="A2061" t="s">
        <v>14</v>
      </c>
      <c r="B2061" t="s">
        <v>214</v>
      </c>
      <c r="C2061" t="s">
        <v>372</v>
      </c>
      <c r="D2061" t="s">
        <v>426</v>
      </c>
      <c r="F2061" t="s">
        <v>432</v>
      </c>
      <c r="G2061" t="str">
        <f>HYPERLINK("https://ca.linkedin.com/jobs/view/data-analyst-at-goeasy-ltd-3358677253?refId=SvLZf3N3%2BGRXxBjIfMcQxQ%3D%3D&amp;trackingId=q3PfjzQt7vVa2%2FW4ozO%2BMA%3D%3D&amp;position=12&amp;pageNum=0&amp;trk=public_jobs_jserp-result_search-card", "Job Link")</f>
        <v>Job Link</v>
      </c>
      <c r="H2061" t="s">
        <v>476</v>
      </c>
      <c r="I2061" t="s">
        <v>481</v>
      </c>
      <c r="J2061" t="s">
        <v>486</v>
      </c>
      <c r="K2061" t="s">
        <v>550</v>
      </c>
      <c r="L2061" t="s">
        <v>584</v>
      </c>
      <c r="M2061" t="s">
        <v>588</v>
      </c>
      <c r="N2061" t="s">
        <v>601</v>
      </c>
    </row>
    <row r="2062" spans="1:14" x14ac:dyDescent="0.25">
      <c r="A2062" t="s">
        <v>83</v>
      </c>
      <c r="B2062" t="s">
        <v>215</v>
      </c>
      <c r="C2062" t="s">
        <v>373</v>
      </c>
      <c r="D2062" t="s">
        <v>426</v>
      </c>
      <c r="F2062" t="s">
        <v>462</v>
      </c>
      <c r="G2062">
        <v>0</v>
      </c>
      <c r="H2062" t="s">
        <v>478</v>
      </c>
      <c r="I2062" t="s">
        <v>483</v>
      </c>
      <c r="J2062" t="s">
        <v>509</v>
      </c>
      <c r="K2062" t="s">
        <v>550</v>
      </c>
      <c r="L2062" t="s">
        <v>584</v>
      </c>
      <c r="M2062" t="s">
        <v>588</v>
      </c>
      <c r="N2062" t="s">
        <v>601</v>
      </c>
    </row>
    <row r="2063" spans="1:14" x14ac:dyDescent="0.25">
      <c r="A2063" t="s">
        <v>91</v>
      </c>
      <c r="B2063" t="s">
        <v>224</v>
      </c>
      <c r="C2063" t="s">
        <v>384</v>
      </c>
      <c r="D2063" t="s">
        <v>426</v>
      </c>
      <c r="F2063" t="s">
        <v>431</v>
      </c>
      <c r="G2063" t="str">
        <f>HYPERLINK("https://ca.linkedin.com/jobs/view/commercial-data-analyst-at-organigram-inc-3367177254?refId=SvLZf3N3%2BGRXxBjIfMcQxQ%3D%3D&amp;trackingId=9p5H%2FmzgrGaVywc96dowEg%3D%3D&amp;position=14&amp;pageNum=0&amp;trk=public_jobs_jserp-result_search-card", "Job Link")</f>
        <v>Job Link</v>
      </c>
      <c r="I2063" t="s">
        <v>481</v>
      </c>
      <c r="L2063" t="s">
        <v>582</v>
      </c>
      <c r="M2063" t="s">
        <v>588</v>
      </c>
      <c r="N2063" t="s">
        <v>601</v>
      </c>
    </row>
    <row r="2064" spans="1:14" x14ac:dyDescent="0.25">
      <c r="A2064" t="s">
        <v>20</v>
      </c>
      <c r="B2064" t="s">
        <v>207</v>
      </c>
      <c r="C2064" t="s">
        <v>374</v>
      </c>
      <c r="D2064" t="s">
        <v>426</v>
      </c>
      <c r="F2064" t="s">
        <v>463</v>
      </c>
      <c r="G2064" t="str">
        <f>HYPERLINK("https://ca.linkedin.com/jobs/view/senior-data-analyst-at-onlia-3320897882?refId=SvLZf3N3%2BGRXxBjIfMcQxQ%3D%3D&amp;trackingId=tEeLtMq%2ByZ2IFf63XnMc2A%3D%3D&amp;position=15&amp;pageNum=0&amp;trk=public_jobs_jserp-result_search-card", "Job Link")</f>
        <v>Job Link</v>
      </c>
      <c r="H2064" t="s">
        <v>477</v>
      </c>
      <c r="I2064" t="s">
        <v>481</v>
      </c>
      <c r="J2064" t="s">
        <v>486</v>
      </c>
      <c r="K2064" t="s">
        <v>523</v>
      </c>
      <c r="L2064" t="s">
        <v>582</v>
      </c>
      <c r="M2064" t="s">
        <v>588</v>
      </c>
      <c r="N2064" t="s">
        <v>601</v>
      </c>
    </row>
    <row r="2065" spans="1:14" x14ac:dyDescent="0.25">
      <c r="A2065" t="s">
        <v>84</v>
      </c>
      <c r="B2065" t="s">
        <v>216</v>
      </c>
      <c r="C2065" t="s">
        <v>375</v>
      </c>
      <c r="D2065" t="s">
        <v>426</v>
      </c>
      <c r="F2065" t="s">
        <v>452</v>
      </c>
      <c r="G2065" t="str">
        <f>HYPERLINK("https://ca.linkedin.com/jobs/view/data-analyst-hybrid-at-xylem-3335088701?refId=SvLZf3N3%2BGRXxBjIfMcQxQ%3D%3D&amp;trackingId=S8Lvbcpy6Tm4dTRMNLDBzg%3D%3D&amp;position=16&amp;pageNum=0&amp;trk=public_jobs_jserp-result_search-card", "Job Link")</f>
        <v>Job Link</v>
      </c>
      <c r="H2065" t="s">
        <v>476</v>
      </c>
      <c r="I2065" t="s">
        <v>481</v>
      </c>
      <c r="J2065" t="s">
        <v>486</v>
      </c>
      <c r="K2065" t="s">
        <v>564</v>
      </c>
      <c r="L2065" t="s">
        <v>584</v>
      </c>
      <c r="M2065" t="s">
        <v>588</v>
      </c>
      <c r="N2065" t="s">
        <v>601</v>
      </c>
    </row>
    <row r="2066" spans="1:14" x14ac:dyDescent="0.25">
      <c r="A2066" t="s">
        <v>85</v>
      </c>
      <c r="B2066" t="s">
        <v>217</v>
      </c>
      <c r="C2066" t="s">
        <v>376</v>
      </c>
      <c r="D2066" t="s">
        <v>426</v>
      </c>
      <c r="F2066" t="s">
        <v>473</v>
      </c>
      <c r="G2066" t="str">
        <f>HYPERLINK("https://ca.linkedin.com/jobs/view/data-analyst-python-sql-at-geotab-3341823745?refId=SvLZf3N3%2BGRXxBjIfMcQxQ%3D%3D&amp;trackingId=cu%2B7d4zAO%2BF6zXt28ZhtcQ%3D%3D&amp;position=17&amp;pageNum=0&amp;trk=public_jobs_jserp-result_search-card", "Job Link")</f>
        <v>Job Link</v>
      </c>
      <c r="H2066" t="s">
        <v>479</v>
      </c>
      <c r="I2066" t="s">
        <v>481</v>
      </c>
      <c r="J2066" t="s">
        <v>486</v>
      </c>
      <c r="K2066" t="s">
        <v>521</v>
      </c>
      <c r="L2066" t="s">
        <v>612</v>
      </c>
      <c r="M2066" t="s">
        <v>588</v>
      </c>
      <c r="N2066" t="s">
        <v>601</v>
      </c>
    </row>
    <row r="2067" spans="1:14" x14ac:dyDescent="0.25">
      <c r="A2067" t="s">
        <v>86</v>
      </c>
      <c r="B2067" t="s">
        <v>167</v>
      </c>
      <c r="C2067" t="s">
        <v>377</v>
      </c>
      <c r="D2067" t="s">
        <v>426</v>
      </c>
      <c r="F2067" t="s">
        <v>454</v>
      </c>
      <c r="G2067" t="str">
        <f>HYPERLINK("https://ca.linkedin.com/jobs/view/data-analyst-reporting-at-thescore-3345941286?refId=SvLZf3N3%2BGRXxBjIfMcQxQ%3D%3D&amp;trackingId=MGXqFePzqEGMd5uBpq%2FK5A%3D%3D&amp;position=18&amp;pageNum=0&amp;trk=public_jobs_jserp-result_search-card", "Job Link")</f>
        <v>Job Link</v>
      </c>
      <c r="H2067" t="s">
        <v>476</v>
      </c>
      <c r="I2067" t="s">
        <v>481</v>
      </c>
      <c r="J2067" t="s">
        <v>486</v>
      </c>
      <c r="K2067" t="s">
        <v>545</v>
      </c>
      <c r="L2067" t="s">
        <v>582</v>
      </c>
      <c r="M2067" t="s">
        <v>588</v>
      </c>
      <c r="N2067" t="s">
        <v>601</v>
      </c>
    </row>
    <row r="2068" spans="1:14" x14ac:dyDescent="0.25">
      <c r="A2068" t="s">
        <v>87</v>
      </c>
      <c r="B2068" t="s">
        <v>218</v>
      </c>
      <c r="C2068" t="s">
        <v>378</v>
      </c>
      <c r="D2068" t="s">
        <v>426</v>
      </c>
      <c r="F2068" t="s">
        <v>432</v>
      </c>
      <c r="G2068">
        <v>0</v>
      </c>
      <c r="H2068" t="s">
        <v>478</v>
      </c>
      <c r="I2068" t="s">
        <v>483</v>
      </c>
      <c r="J2068" t="s">
        <v>486</v>
      </c>
      <c r="K2068" t="s">
        <v>521</v>
      </c>
      <c r="L2068" t="s">
        <v>582</v>
      </c>
      <c r="M2068" t="s">
        <v>588</v>
      </c>
      <c r="N2068" t="s">
        <v>601</v>
      </c>
    </row>
    <row r="2069" spans="1:14" x14ac:dyDescent="0.25">
      <c r="A2069" t="s">
        <v>90</v>
      </c>
      <c r="B2069" t="s">
        <v>223</v>
      </c>
      <c r="C2069" t="s">
        <v>383</v>
      </c>
      <c r="D2069" t="s">
        <v>426</v>
      </c>
      <c r="F2069" t="s">
        <v>443</v>
      </c>
      <c r="G2069" t="str">
        <f>HYPERLINK("https://ca.linkedin.com/jobs/view/data-administrator-data-analyst-at-hays-3369576413?refId=SvLZf3N3%2BGRXxBjIfMcQxQ%3D%3D&amp;trackingId=1fmZCV%2B06Sjc0Wmun%2B2v3g%3D%3D&amp;position=20&amp;pageNum=0&amp;trk=public_jobs_jserp-result_search-card", "Job Link")</f>
        <v>Job Link</v>
      </c>
      <c r="H2069" t="s">
        <v>478</v>
      </c>
      <c r="I2069" t="s">
        <v>481</v>
      </c>
      <c r="J2069" t="s">
        <v>486</v>
      </c>
      <c r="K2069" t="s">
        <v>518</v>
      </c>
      <c r="L2069" t="s">
        <v>583</v>
      </c>
      <c r="M2069" t="s">
        <v>610</v>
      </c>
      <c r="N2069" t="s">
        <v>601</v>
      </c>
    </row>
    <row r="2070" spans="1:14" x14ac:dyDescent="0.25">
      <c r="A2070" t="s">
        <v>88</v>
      </c>
      <c r="B2070" t="s">
        <v>219</v>
      </c>
      <c r="C2070" t="s">
        <v>379</v>
      </c>
      <c r="D2070" t="s">
        <v>426</v>
      </c>
      <c r="F2070" t="s">
        <v>454</v>
      </c>
      <c r="G2070" t="str">
        <f>HYPERLINK("https://ca.linkedin.com/jobs/view/data-analyst-flight-pricing-optimization-at-priceline-3345993633?refId=SvLZf3N3%2BGRXxBjIfMcQxQ%3D%3D&amp;trackingId=16pzKvinfRWKz1a6GK9MJA%3D%3D&amp;position=21&amp;pageNum=0&amp;trk=public_jobs_jserp-result_search-card", "Job Link")</f>
        <v>Job Link</v>
      </c>
      <c r="H2070" t="s">
        <v>476</v>
      </c>
      <c r="I2070" t="s">
        <v>481</v>
      </c>
      <c r="J2070" t="s">
        <v>486</v>
      </c>
      <c r="K2070" t="s">
        <v>565</v>
      </c>
      <c r="L2070" t="s">
        <v>582</v>
      </c>
      <c r="M2070" t="s">
        <v>588</v>
      </c>
      <c r="N2070" t="s">
        <v>601</v>
      </c>
    </row>
    <row r="2071" spans="1:14" x14ac:dyDescent="0.25">
      <c r="A2071" t="s">
        <v>27</v>
      </c>
      <c r="B2071" t="s">
        <v>220</v>
      </c>
      <c r="C2071" t="s">
        <v>380</v>
      </c>
      <c r="D2071" t="s">
        <v>426</v>
      </c>
      <c r="F2071" t="s">
        <v>434</v>
      </c>
      <c r="G2071" t="str">
        <f>HYPERLINK("https://ca.linkedin.com/jobs/view/sr-data-analyst-at-randstad-canada-3354999789?refId=SvLZf3N3%2BGRXxBjIfMcQxQ%3D%3D&amp;trackingId=80cAJauh7w5QO4UD296xWw%3D%3D&amp;position=22&amp;pageNum=0&amp;trk=public_jobs_jserp-result_search-card", "Job Link")</f>
        <v>Job Link</v>
      </c>
      <c r="H2071" t="s">
        <v>478</v>
      </c>
      <c r="I2071" t="s">
        <v>483</v>
      </c>
      <c r="J2071" t="s">
        <v>486</v>
      </c>
      <c r="K2071" t="s">
        <v>518</v>
      </c>
      <c r="L2071" t="s">
        <v>584</v>
      </c>
      <c r="M2071" t="s">
        <v>588</v>
      </c>
      <c r="N2071" t="s">
        <v>601</v>
      </c>
    </row>
    <row r="2072" spans="1:14" x14ac:dyDescent="0.25">
      <c r="A2072" t="s">
        <v>89</v>
      </c>
      <c r="B2072" t="s">
        <v>221</v>
      </c>
      <c r="C2072" t="s">
        <v>381</v>
      </c>
      <c r="D2072" t="s">
        <v>426</v>
      </c>
      <c r="F2072" t="s">
        <v>461</v>
      </c>
      <c r="G2072">
        <v>0</v>
      </c>
      <c r="H2072" t="s">
        <v>476</v>
      </c>
      <c r="I2072" t="s">
        <v>481</v>
      </c>
      <c r="J2072" t="s">
        <v>488</v>
      </c>
      <c r="K2072" t="s">
        <v>566</v>
      </c>
      <c r="L2072" t="s">
        <v>582</v>
      </c>
      <c r="M2072" t="s">
        <v>588</v>
      </c>
      <c r="N2072" t="s">
        <v>601</v>
      </c>
    </row>
    <row r="2073" spans="1:14" x14ac:dyDescent="0.25">
      <c r="A2073" t="s">
        <v>14</v>
      </c>
      <c r="B2073" t="s">
        <v>222</v>
      </c>
      <c r="C2073" t="s">
        <v>382</v>
      </c>
      <c r="D2073" t="s">
        <v>426</v>
      </c>
      <c r="F2073" t="s">
        <v>431</v>
      </c>
      <c r="G2073" t="str">
        <f>HYPERLINK("https://ca.linkedin.com/jobs/view/data-analyst-at-circle-k-3367192655?refId=SvLZf3N3%2BGRXxBjIfMcQxQ%3D%3D&amp;trackingId=33KRrtNwAUu3SYdlXAX61A%3D%3D&amp;position=24&amp;pageNum=0&amp;trk=public_jobs_jserp-result_search-card", "Job Link")</f>
        <v>Job Link</v>
      </c>
      <c r="H2073" t="s">
        <v>476</v>
      </c>
      <c r="I2073" t="s">
        <v>481</v>
      </c>
      <c r="J2073" t="s">
        <v>486</v>
      </c>
      <c r="K2073" t="s">
        <v>567</v>
      </c>
      <c r="L2073" t="s">
        <v>582</v>
      </c>
      <c r="M2073" t="s">
        <v>588</v>
      </c>
      <c r="N2073" t="s">
        <v>601</v>
      </c>
    </row>
    <row r="2074" spans="1:14" x14ac:dyDescent="0.25">
      <c r="A2074" t="s">
        <v>14</v>
      </c>
      <c r="B2074" t="s">
        <v>225</v>
      </c>
      <c r="C2074" t="s">
        <v>385</v>
      </c>
      <c r="D2074" t="s">
        <v>426</v>
      </c>
      <c r="F2074" t="s">
        <v>463</v>
      </c>
      <c r="G2074" t="str">
        <f>HYPERLINK("https://ca.linkedin.com/jobs/view/data-analyst-at-vector-institute-3325395506?refId=SvLZf3N3%2BGRXxBjIfMcQxQ%3D%3D&amp;trackingId=03wQGXdePsNWayk6hqwC1Q%3D%3D&amp;position=25&amp;pageNum=0&amp;trk=public_jobs_jserp-result_search-card", "Job Link")</f>
        <v>Job Link</v>
      </c>
      <c r="H2074" t="s">
        <v>478</v>
      </c>
      <c r="I2074" t="s">
        <v>481</v>
      </c>
      <c r="J2074" t="s">
        <v>486</v>
      </c>
      <c r="K2074" t="s">
        <v>520</v>
      </c>
      <c r="L2074" t="s">
        <v>582</v>
      </c>
      <c r="M2074" t="s">
        <v>588</v>
      </c>
      <c r="N2074" t="s">
        <v>601</v>
      </c>
    </row>
    <row r="2075" spans="1:14" x14ac:dyDescent="0.25">
      <c r="A2075" t="s">
        <v>14</v>
      </c>
      <c r="B2075" t="s">
        <v>207</v>
      </c>
      <c r="C2075" t="s">
        <v>362</v>
      </c>
      <c r="D2075" t="s">
        <v>426</v>
      </c>
      <c r="F2075" t="s">
        <v>463</v>
      </c>
      <c r="G2075" t="str">
        <f>HYPERLINK("https://ca.linkedin.com/jobs/view/data-analyst-at-onlia-3320897897?refId=HJ6a0sS1FLFe0ncUiMuSgg%3D%3D&amp;trackingId=UxsBCZZH36%2FOQ9ZGYOnBEQ%3D%3D&amp;position=1&amp;pageNum=0&amp;trk=public_jobs_jserp-result_search-card", "Job Link")</f>
        <v>Job Link</v>
      </c>
      <c r="H2075" t="s">
        <v>477</v>
      </c>
      <c r="I2075" t="s">
        <v>481</v>
      </c>
      <c r="J2075" t="s">
        <v>486</v>
      </c>
      <c r="K2075" t="s">
        <v>523</v>
      </c>
      <c r="L2075" t="s">
        <v>582</v>
      </c>
      <c r="M2075" t="s">
        <v>588</v>
      </c>
      <c r="N2075" t="s">
        <v>601</v>
      </c>
    </row>
    <row r="2076" spans="1:14" x14ac:dyDescent="0.25">
      <c r="A2076" t="s">
        <v>14</v>
      </c>
      <c r="B2076" t="s">
        <v>208</v>
      </c>
      <c r="C2076" t="s">
        <v>363</v>
      </c>
      <c r="D2076" t="s">
        <v>426</v>
      </c>
      <c r="F2076" t="s">
        <v>445</v>
      </c>
      <c r="G2076" t="str">
        <f>HYPERLINK("https://ca.linkedin.com/jobs/view/data-analyst-at-electronic-arts-ea-3325611825?refId=HJ6a0sS1FLFe0ncUiMuSgg%3D%3D&amp;trackingId=lZI1RbH6gYBpep6b60PkEg%3D%3D&amp;position=2&amp;pageNum=0&amp;trk=public_jobs_jserp-result_search-card", "Job Link")</f>
        <v>Job Link</v>
      </c>
      <c r="H2076" t="s">
        <v>479</v>
      </c>
      <c r="I2076" t="s">
        <v>481</v>
      </c>
      <c r="J2076" t="s">
        <v>507</v>
      </c>
      <c r="K2076" t="s">
        <v>559</v>
      </c>
      <c r="L2076" t="s">
        <v>582</v>
      </c>
      <c r="M2076" t="s">
        <v>588</v>
      </c>
      <c r="N2076" t="s">
        <v>601</v>
      </c>
    </row>
    <row r="2077" spans="1:14" x14ac:dyDescent="0.25">
      <c r="A2077" t="s">
        <v>14</v>
      </c>
      <c r="B2077" t="s">
        <v>209</v>
      </c>
      <c r="C2077" t="s">
        <v>364</v>
      </c>
      <c r="D2077" t="s">
        <v>426</v>
      </c>
      <c r="F2077" t="s">
        <v>440</v>
      </c>
      <c r="G2077" t="str">
        <f>HYPERLINK("https://ca.linkedin.com/jobs/view/data-analyst-at-frostbite-3370111856?refId=HJ6a0sS1FLFe0ncUiMuSgg%3D%3D&amp;trackingId=2fx5UTsSEzc0lnGZJorcuQ%3D%3D&amp;position=3&amp;pageNum=0&amp;trk=public_jobs_jserp-result_search-card", "Job Link")</f>
        <v>Job Link</v>
      </c>
      <c r="H2077" t="s">
        <v>479</v>
      </c>
      <c r="I2077" t="s">
        <v>481</v>
      </c>
      <c r="J2077" t="s">
        <v>507</v>
      </c>
      <c r="K2077" t="s">
        <v>559</v>
      </c>
      <c r="L2077" t="s">
        <v>590</v>
      </c>
      <c r="M2077" t="s">
        <v>618</v>
      </c>
      <c r="N2077" t="s">
        <v>601</v>
      </c>
    </row>
    <row r="2078" spans="1:14" x14ac:dyDescent="0.25">
      <c r="A2078" t="s">
        <v>81</v>
      </c>
      <c r="B2078" t="s">
        <v>210</v>
      </c>
      <c r="C2078" t="s">
        <v>365</v>
      </c>
      <c r="D2078" t="s">
        <v>426</v>
      </c>
      <c r="F2078" t="s">
        <v>436</v>
      </c>
      <c r="G2078" t="str">
        <f>HYPERLINK("https://ca.linkedin.com/jobs/view/data-analyst-c117-at-mitsubishi-motor-sales-of-canada-inc-3344852931?refId=HJ6a0sS1FLFe0ncUiMuSgg%3D%3D&amp;trackingId=AK%2F7WwDB0R%2FhK0JR39yjOw%3D%3D&amp;position=4&amp;pageNum=0&amp;trk=public_jobs_jserp-result_search-card", "Job Link")</f>
        <v>Job Link</v>
      </c>
      <c r="H2078" t="s">
        <v>477</v>
      </c>
      <c r="I2078" t="s">
        <v>481</v>
      </c>
      <c r="J2078" t="s">
        <v>508</v>
      </c>
      <c r="K2078" t="s">
        <v>561</v>
      </c>
      <c r="L2078" t="s">
        <v>584</v>
      </c>
      <c r="M2078" t="s">
        <v>588</v>
      </c>
      <c r="N2078" t="s">
        <v>601</v>
      </c>
    </row>
    <row r="2079" spans="1:14" x14ac:dyDescent="0.25">
      <c r="A2079" t="s">
        <v>14</v>
      </c>
      <c r="B2079" t="s">
        <v>211</v>
      </c>
      <c r="C2079" t="s">
        <v>366</v>
      </c>
      <c r="D2079" t="s">
        <v>426</v>
      </c>
      <c r="F2079" t="s">
        <v>443</v>
      </c>
      <c r="G2079" t="str">
        <f>HYPERLINK("https://ca.linkedin.com/jobs/view/data-analyst-at-mphasis-3363428246?refId=HJ6a0sS1FLFe0ncUiMuSgg%3D%3D&amp;trackingId=6zt8mgH8NHk%2FNM0UnDpgPg%3D%3D&amp;position=5&amp;pageNum=0&amp;trk=public_jobs_jserp-result_search-card", "Job Link")</f>
        <v>Job Link</v>
      </c>
      <c r="H2079" t="s">
        <v>477</v>
      </c>
      <c r="I2079" t="s">
        <v>481</v>
      </c>
      <c r="J2079" t="s">
        <v>486</v>
      </c>
      <c r="K2079" t="s">
        <v>521</v>
      </c>
      <c r="L2079" t="s">
        <v>609</v>
      </c>
      <c r="M2079" t="s">
        <v>610</v>
      </c>
      <c r="N2079" t="s">
        <v>601</v>
      </c>
    </row>
    <row r="2080" spans="1:14" x14ac:dyDescent="0.25">
      <c r="A2080" t="s">
        <v>14</v>
      </c>
      <c r="B2080" t="s">
        <v>150</v>
      </c>
      <c r="C2080" t="s">
        <v>367</v>
      </c>
      <c r="D2080" t="s">
        <v>426</v>
      </c>
      <c r="F2080" t="s">
        <v>433</v>
      </c>
      <c r="G2080" t="str">
        <f>HYPERLINK("https://ca.linkedin.com/jobs/view/data-analyst-at-synechron-3348329085?refId=HJ6a0sS1FLFe0ncUiMuSgg%3D%3D&amp;trackingId=tf0jSBA2Edt74TauemLyNA%3D%3D&amp;position=6&amp;pageNum=0&amp;trk=public_jobs_jserp-result_search-card", "Job Link")</f>
        <v>Job Link</v>
      </c>
      <c r="H2080" t="s">
        <v>478</v>
      </c>
      <c r="I2080" t="s">
        <v>481</v>
      </c>
      <c r="J2080" t="s">
        <v>486</v>
      </c>
      <c r="K2080" t="s">
        <v>562</v>
      </c>
      <c r="L2080" t="s">
        <v>584</v>
      </c>
      <c r="M2080" t="s">
        <v>588</v>
      </c>
      <c r="N2080" t="s">
        <v>601</v>
      </c>
    </row>
    <row r="2081" spans="1:14" x14ac:dyDescent="0.25">
      <c r="A2081" t="s">
        <v>82</v>
      </c>
      <c r="B2081" t="s">
        <v>179</v>
      </c>
      <c r="C2081" t="s">
        <v>368</v>
      </c>
      <c r="D2081" t="s">
        <v>426</v>
      </c>
      <c r="F2081" t="s">
        <v>471</v>
      </c>
      <c r="G2081" t="str">
        <f>HYPERLINK("https://ca.linkedin.com/jobs/view/business-data-analyst-at-capgemini-3327624663?refId=HJ6a0sS1FLFe0ncUiMuSgg%3D%3D&amp;trackingId=eZ%2BicM7vG9OJ48Wd5rADmg%3D%3D&amp;position=7&amp;pageNum=0&amp;trk=public_jobs_jserp-result_search-card", "Job Link")</f>
        <v>Job Link</v>
      </c>
      <c r="H2081" t="s">
        <v>478</v>
      </c>
      <c r="I2081" t="s">
        <v>481</v>
      </c>
      <c r="J2081" t="s">
        <v>486</v>
      </c>
      <c r="K2081" t="s">
        <v>521</v>
      </c>
      <c r="L2081" t="s">
        <v>611</v>
      </c>
      <c r="M2081" t="s">
        <v>601</v>
      </c>
    </row>
    <row r="2082" spans="1:14" x14ac:dyDescent="0.25">
      <c r="A2082" t="s">
        <v>14</v>
      </c>
      <c r="B2082" t="s">
        <v>150</v>
      </c>
      <c r="C2082" t="s">
        <v>369</v>
      </c>
      <c r="D2082" t="s">
        <v>426</v>
      </c>
      <c r="F2082" t="s">
        <v>460</v>
      </c>
      <c r="G2082" t="str">
        <f>HYPERLINK("https://ca.linkedin.com/jobs/view/data-analyst-at-synechron-3364863079?refId=HJ6a0sS1FLFe0ncUiMuSgg%3D%3D&amp;trackingId=1R432sisx7EYweNKr9xBkw%3D%3D&amp;position=8&amp;pageNum=0&amp;trk=public_jobs_jserp-result_search-card", "Job Link")</f>
        <v>Job Link</v>
      </c>
      <c r="H2082" t="s">
        <v>478</v>
      </c>
      <c r="I2082" t="s">
        <v>481</v>
      </c>
      <c r="J2082" t="s">
        <v>486</v>
      </c>
      <c r="K2082" t="s">
        <v>563</v>
      </c>
      <c r="L2082" t="s">
        <v>584</v>
      </c>
      <c r="M2082" t="s">
        <v>588</v>
      </c>
      <c r="N2082" t="s">
        <v>601</v>
      </c>
    </row>
    <row r="2083" spans="1:14" x14ac:dyDescent="0.25">
      <c r="A2083" t="s">
        <v>14</v>
      </c>
      <c r="B2083" t="s">
        <v>150</v>
      </c>
      <c r="C2083" t="s">
        <v>367</v>
      </c>
      <c r="D2083" t="s">
        <v>426</v>
      </c>
      <c r="F2083" t="s">
        <v>460</v>
      </c>
      <c r="G2083" t="str">
        <f>HYPERLINK("https://ca.linkedin.com/jobs/view/data-analyst-at-synechron-3361756851?refId=HJ6a0sS1FLFe0ncUiMuSgg%3D%3D&amp;trackingId=Jm9C3B7QJJaZ%2FVnWVEXdDQ%3D%3D&amp;position=9&amp;pageNum=0&amp;trk=public_jobs_jserp-result_search-card", "Job Link")</f>
        <v>Job Link</v>
      </c>
      <c r="H2083" t="s">
        <v>478</v>
      </c>
      <c r="I2083" t="s">
        <v>481</v>
      </c>
      <c r="J2083" t="s">
        <v>486</v>
      </c>
      <c r="K2083" t="s">
        <v>562</v>
      </c>
      <c r="L2083" t="s">
        <v>584</v>
      </c>
      <c r="M2083" t="s">
        <v>588</v>
      </c>
      <c r="N2083" t="s">
        <v>601</v>
      </c>
    </row>
    <row r="2084" spans="1:14" x14ac:dyDescent="0.25">
      <c r="A2084" t="s">
        <v>14</v>
      </c>
      <c r="B2084" t="s">
        <v>212</v>
      </c>
      <c r="C2084" t="s">
        <v>370</v>
      </c>
      <c r="D2084" t="s">
        <v>426</v>
      </c>
      <c r="F2084" t="s">
        <v>432</v>
      </c>
      <c r="G2084" t="str">
        <f>HYPERLINK("https://ca.linkedin.com/jobs/view/data-analyst-at-agilus-work-solutions-3358673093?refId=HJ6a0sS1FLFe0ncUiMuSgg%3D%3D&amp;trackingId=XBkZQ5NsoLPS85NxpNhxkA%3D%3D&amp;position=10&amp;pageNum=0&amp;trk=public_jobs_jserp-result_search-card", "Job Link")</f>
        <v>Job Link</v>
      </c>
      <c r="H2084" t="s">
        <v>477</v>
      </c>
      <c r="I2084" t="s">
        <v>483</v>
      </c>
      <c r="J2084" t="s">
        <v>486</v>
      </c>
      <c r="K2084" t="s">
        <v>518</v>
      </c>
      <c r="L2084" t="s">
        <v>582</v>
      </c>
      <c r="M2084" t="s">
        <v>588</v>
      </c>
      <c r="N2084" t="s">
        <v>601</v>
      </c>
    </row>
    <row r="2085" spans="1:14" x14ac:dyDescent="0.25">
      <c r="A2085" t="s">
        <v>14</v>
      </c>
      <c r="B2085" t="s">
        <v>213</v>
      </c>
      <c r="C2085" t="s">
        <v>371</v>
      </c>
      <c r="D2085" t="s">
        <v>426</v>
      </c>
      <c r="F2085" t="s">
        <v>472</v>
      </c>
      <c r="G2085" t="str">
        <f>HYPERLINK("https://ca.linkedin.com/jobs/view/data-analyst-at-linkus-group-3345817125?refId=HJ6a0sS1FLFe0ncUiMuSgg%3D%3D&amp;trackingId=I5byPkYqSQLQsvlmAdprVQ%3D%3D&amp;position=11&amp;pageNum=0&amp;trk=public_jobs_jserp-result_search-card", "Job Link")</f>
        <v>Job Link</v>
      </c>
      <c r="H2085" t="s">
        <v>476</v>
      </c>
      <c r="I2085" t="s">
        <v>481</v>
      </c>
      <c r="J2085" t="s">
        <v>486</v>
      </c>
      <c r="K2085" t="s">
        <v>518</v>
      </c>
      <c r="L2085" t="s">
        <v>588</v>
      </c>
      <c r="M2085" t="s">
        <v>601</v>
      </c>
    </row>
    <row r="2086" spans="1:14" x14ac:dyDescent="0.25">
      <c r="A2086" t="s">
        <v>14</v>
      </c>
      <c r="B2086" t="s">
        <v>214</v>
      </c>
      <c r="C2086" t="s">
        <v>372</v>
      </c>
      <c r="D2086" t="s">
        <v>426</v>
      </c>
      <c r="F2086" t="s">
        <v>432</v>
      </c>
      <c r="G2086" t="str">
        <f>HYPERLINK("https://ca.linkedin.com/jobs/view/data-analyst-at-goeasy-ltd-3358677253?refId=HJ6a0sS1FLFe0ncUiMuSgg%3D%3D&amp;trackingId=fZrftFkz11IERfcOJb9%2B0w%3D%3D&amp;position=12&amp;pageNum=0&amp;trk=public_jobs_jserp-result_search-card", "Job Link")</f>
        <v>Job Link</v>
      </c>
      <c r="H2086" t="s">
        <v>476</v>
      </c>
      <c r="I2086" t="s">
        <v>481</v>
      </c>
      <c r="J2086" t="s">
        <v>486</v>
      </c>
      <c r="K2086" t="s">
        <v>550</v>
      </c>
      <c r="L2086" t="s">
        <v>584</v>
      </c>
      <c r="M2086" t="s">
        <v>588</v>
      </c>
      <c r="N2086" t="s">
        <v>601</v>
      </c>
    </row>
    <row r="2087" spans="1:14" x14ac:dyDescent="0.25">
      <c r="A2087" t="s">
        <v>83</v>
      </c>
      <c r="B2087" t="s">
        <v>215</v>
      </c>
      <c r="C2087" t="s">
        <v>373</v>
      </c>
      <c r="D2087" t="s">
        <v>426</v>
      </c>
      <c r="F2087" t="s">
        <v>462</v>
      </c>
      <c r="G2087">
        <v>0</v>
      </c>
      <c r="H2087" t="s">
        <v>478</v>
      </c>
      <c r="I2087" t="s">
        <v>483</v>
      </c>
      <c r="J2087" t="s">
        <v>509</v>
      </c>
      <c r="K2087" t="s">
        <v>550</v>
      </c>
      <c r="L2087" t="s">
        <v>584</v>
      </c>
      <c r="M2087" t="s">
        <v>588</v>
      </c>
      <c r="N2087" t="s">
        <v>601</v>
      </c>
    </row>
    <row r="2088" spans="1:14" x14ac:dyDescent="0.25">
      <c r="A2088" t="s">
        <v>20</v>
      </c>
      <c r="B2088" t="s">
        <v>207</v>
      </c>
      <c r="C2088" t="s">
        <v>374</v>
      </c>
      <c r="D2088" t="s">
        <v>426</v>
      </c>
      <c r="F2088" t="s">
        <v>463</v>
      </c>
      <c r="G2088" t="str">
        <f>HYPERLINK("https://ca.linkedin.com/jobs/view/senior-data-analyst-at-onlia-3320897882?refId=HJ6a0sS1FLFe0ncUiMuSgg%3D%3D&amp;trackingId=9KWScxRw8Z23VRtL0X9%2F0Q%3D%3D&amp;position=14&amp;pageNum=0&amp;trk=public_jobs_jserp-result_search-card", "Job Link")</f>
        <v>Job Link</v>
      </c>
      <c r="H2088" t="s">
        <v>477</v>
      </c>
      <c r="I2088" t="s">
        <v>481</v>
      </c>
      <c r="J2088" t="s">
        <v>486</v>
      </c>
      <c r="K2088" t="s">
        <v>523</v>
      </c>
      <c r="L2088" t="s">
        <v>582</v>
      </c>
      <c r="M2088" t="s">
        <v>588</v>
      </c>
      <c r="N2088" t="s">
        <v>601</v>
      </c>
    </row>
    <row r="2089" spans="1:14" x14ac:dyDescent="0.25">
      <c r="A2089" t="s">
        <v>84</v>
      </c>
      <c r="B2089" t="s">
        <v>216</v>
      </c>
      <c r="C2089" t="s">
        <v>375</v>
      </c>
      <c r="D2089" t="s">
        <v>426</v>
      </c>
      <c r="F2089" t="s">
        <v>452</v>
      </c>
      <c r="G2089" t="str">
        <f>HYPERLINK("https://ca.linkedin.com/jobs/view/data-analyst-hybrid-at-xylem-3335088701?refId=HJ6a0sS1FLFe0ncUiMuSgg%3D%3D&amp;trackingId=WI%2F1RX2K7%2F54b1piLRgC%2BQ%3D%3D&amp;position=15&amp;pageNum=0&amp;trk=public_jobs_jserp-result_search-card", "Job Link")</f>
        <v>Job Link</v>
      </c>
      <c r="H2089" t="s">
        <v>476</v>
      </c>
      <c r="I2089" t="s">
        <v>481</v>
      </c>
      <c r="J2089" t="s">
        <v>486</v>
      </c>
      <c r="K2089" t="s">
        <v>564</v>
      </c>
      <c r="L2089" t="s">
        <v>584</v>
      </c>
      <c r="M2089" t="s">
        <v>588</v>
      </c>
      <c r="N2089" t="s">
        <v>601</v>
      </c>
    </row>
    <row r="2090" spans="1:14" x14ac:dyDescent="0.25">
      <c r="A2090" t="s">
        <v>85</v>
      </c>
      <c r="B2090" t="s">
        <v>217</v>
      </c>
      <c r="C2090" t="s">
        <v>376</v>
      </c>
      <c r="D2090" t="s">
        <v>426</v>
      </c>
      <c r="F2090" t="s">
        <v>473</v>
      </c>
      <c r="G2090" t="str">
        <f>HYPERLINK("https://ca.linkedin.com/jobs/view/data-analyst-python-sql-at-geotab-3341823745?refId=HJ6a0sS1FLFe0ncUiMuSgg%3D%3D&amp;trackingId=Kbr8YQEsGRH0vLJHO6m12A%3D%3D&amp;position=16&amp;pageNum=0&amp;trk=public_jobs_jserp-result_search-card", "Job Link")</f>
        <v>Job Link</v>
      </c>
      <c r="H2090" t="s">
        <v>479</v>
      </c>
      <c r="I2090" t="s">
        <v>481</v>
      </c>
      <c r="J2090" t="s">
        <v>486</v>
      </c>
      <c r="K2090" t="s">
        <v>521</v>
      </c>
      <c r="L2090" t="s">
        <v>612</v>
      </c>
      <c r="M2090" t="s">
        <v>588</v>
      </c>
      <c r="N2090" t="s">
        <v>601</v>
      </c>
    </row>
    <row r="2091" spans="1:14" x14ac:dyDescent="0.25">
      <c r="A2091" t="s">
        <v>86</v>
      </c>
      <c r="B2091" t="s">
        <v>167</v>
      </c>
      <c r="C2091" t="s">
        <v>377</v>
      </c>
      <c r="D2091" t="s">
        <v>426</v>
      </c>
      <c r="F2091" t="s">
        <v>454</v>
      </c>
      <c r="G2091" t="str">
        <f>HYPERLINK("https://ca.linkedin.com/jobs/view/data-analyst-reporting-at-thescore-3345941286?refId=HJ6a0sS1FLFe0ncUiMuSgg%3D%3D&amp;trackingId=IEylMKCyckIYXMzX%2F2tehw%3D%3D&amp;position=17&amp;pageNum=0&amp;trk=public_jobs_jserp-result_search-card", "Job Link")</f>
        <v>Job Link</v>
      </c>
      <c r="H2091" t="s">
        <v>476</v>
      </c>
      <c r="I2091" t="s">
        <v>481</v>
      </c>
      <c r="J2091" t="s">
        <v>486</v>
      </c>
      <c r="K2091" t="s">
        <v>545</v>
      </c>
      <c r="L2091" t="s">
        <v>582</v>
      </c>
      <c r="M2091" t="s">
        <v>588</v>
      </c>
      <c r="N2091" t="s">
        <v>601</v>
      </c>
    </row>
    <row r="2092" spans="1:14" x14ac:dyDescent="0.25">
      <c r="A2092" t="s">
        <v>87</v>
      </c>
      <c r="B2092" t="s">
        <v>218</v>
      </c>
      <c r="C2092" t="s">
        <v>378</v>
      </c>
      <c r="D2092" t="s">
        <v>426</v>
      </c>
      <c r="F2092" t="s">
        <v>432</v>
      </c>
      <c r="G2092">
        <v>0</v>
      </c>
      <c r="H2092" t="s">
        <v>478</v>
      </c>
      <c r="I2092" t="s">
        <v>483</v>
      </c>
      <c r="J2092" t="s">
        <v>486</v>
      </c>
      <c r="K2092" t="s">
        <v>521</v>
      </c>
      <c r="L2092" t="s">
        <v>582</v>
      </c>
      <c r="M2092" t="s">
        <v>588</v>
      </c>
      <c r="N2092" t="s">
        <v>601</v>
      </c>
    </row>
    <row r="2093" spans="1:14" x14ac:dyDescent="0.25">
      <c r="A2093" t="s">
        <v>88</v>
      </c>
      <c r="B2093" t="s">
        <v>219</v>
      </c>
      <c r="C2093" t="s">
        <v>379</v>
      </c>
      <c r="D2093" t="s">
        <v>426</v>
      </c>
      <c r="F2093" t="s">
        <v>454</v>
      </c>
      <c r="G2093" t="str">
        <f>HYPERLINK("https://ca.linkedin.com/jobs/view/data-analyst-flight-pricing-optimization-at-priceline-3345993633?refId=HJ6a0sS1FLFe0ncUiMuSgg%3D%3D&amp;trackingId=cU7HxT5Wvd8hCUlkFZVJuQ%3D%3D&amp;position=19&amp;pageNum=0&amp;trk=public_jobs_jserp-result_search-card", "Job Link")</f>
        <v>Job Link</v>
      </c>
      <c r="H2093" t="s">
        <v>476</v>
      </c>
      <c r="I2093" t="s">
        <v>481</v>
      </c>
      <c r="J2093" t="s">
        <v>486</v>
      </c>
      <c r="K2093" t="s">
        <v>565</v>
      </c>
      <c r="L2093" t="s">
        <v>582</v>
      </c>
      <c r="M2093" t="s">
        <v>588</v>
      </c>
      <c r="N2093" t="s">
        <v>601</v>
      </c>
    </row>
    <row r="2094" spans="1:14" x14ac:dyDescent="0.25">
      <c r="A2094" t="s">
        <v>27</v>
      </c>
      <c r="B2094" t="s">
        <v>220</v>
      </c>
      <c r="C2094" t="s">
        <v>380</v>
      </c>
      <c r="D2094" t="s">
        <v>426</v>
      </c>
      <c r="F2094" t="s">
        <v>434</v>
      </c>
      <c r="G2094" t="str">
        <f>HYPERLINK("https://ca.linkedin.com/jobs/view/sr-data-analyst-at-randstad-canada-3354999789?refId=HJ6a0sS1FLFe0ncUiMuSgg%3D%3D&amp;trackingId=iRbGCjkvSicJza%2Bph1ouEA%3D%3D&amp;position=20&amp;pageNum=0&amp;trk=public_jobs_jserp-result_search-card", "Job Link")</f>
        <v>Job Link</v>
      </c>
      <c r="H2094" t="s">
        <v>478</v>
      </c>
      <c r="I2094" t="s">
        <v>483</v>
      </c>
      <c r="J2094" t="s">
        <v>486</v>
      </c>
      <c r="K2094" t="s">
        <v>518</v>
      </c>
      <c r="L2094" t="s">
        <v>584</v>
      </c>
      <c r="M2094" t="s">
        <v>588</v>
      </c>
      <c r="N2094" t="s">
        <v>601</v>
      </c>
    </row>
    <row r="2095" spans="1:14" x14ac:dyDescent="0.25">
      <c r="A2095" t="s">
        <v>89</v>
      </c>
      <c r="B2095" t="s">
        <v>221</v>
      </c>
      <c r="C2095" t="s">
        <v>381</v>
      </c>
      <c r="D2095" t="s">
        <v>426</v>
      </c>
      <c r="F2095" t="s">
        <v>461</v>
      </c>
      <c r="G2095">
        <v>0</v>
      </c>
      <c r="H2095" t="s">
        <v>476</v>
      </c>
      <c r="I2095" t="s">
        <v>481</v>
      </c>
      <c r="J2095" t="s">
        <v>488</v>
      </c>
      <c r="K2095" t="s">
        <v>566</v>
      </c>
      <c r="L2095" t="s">
        <v>582</v>
      </c>
      <c r="M2095" t="s">
        <v>588</v>
      </c>
      <c r="N2095" t="s">
        <v>601</v>
      </c>
    </row>
    <row r="2096" spans="1:14" x14ac:dyDescent="0.25">
      <c r="A2096" t="s">
        <v>14</v>
      </c>
      <c r="B2096" t="s">
        <v>222</v>
      </c>
      <c r="C2096" t="s">
        <v>382</v>
      </c>
      <c r="D2096" t="s">
        <v>426</v>
      </c>
      <c r="F2096" t="s">
        <v>431</v>
      </c>
      <c r="G2096" t="str">
        <f>HYPERLINK("https://ca.linkedin.com/jobs/view/data-analyst-at-circle-k-3367192655?refId=HJ6a0sS1FLFe0ncUiMuSgg%3D%3D&amp;trackingId=UQRvjO2uSEc8ltOV9LD%2BDw%3D%3D&amp;position=22&amp;pageNum=0&amp;trk=public_jobs_jserp-result_search-card", "Job Link")</f>
        <v>Job Link</v>
      </c>
      <c r="H2096" t="s">
        <v>476</v>
      </c>
      <c r="I2096" t="s">
        <v>481</v>
      </c>
      <c r="J2096" t="s">
        <v>486</v>
      </c>
      <c r="K2096" t="s">
        <v>567</v>
      </c>
      <c r="L2096" t="s">
        <v>582</v>
      </c>
      <c r="M2096" t="s">
        <v>588</v>
      </c>
      <c r="N2096" t="s">
        <v>601</v>
      </c>
    </row>
    <row r="2097" spans="1:14" x14ac:dyDescent="0.25">
      <c r="A2097" t="s">
        <v>90</v>
      </c>
      <c r="B2097" t="s">
        <v>223</v>
      </c>
      <c r="C2097" t="s">
        <v>383</v>
      </c>
      <c r="D2097" t="s">
        <v>426</v>
      </c>
      <c r="F2097" t="s">
        <v>443</v>
      </c>
      <c r="G2097" t="str">
        <f>HYPERLINK("https://ca.linkedin.com/jobs/view/data-administrator-data-analyst-at-hays-3369576413?refId=HJ6a0sS1FLFe0ncUiMuSgg%3D%3D&amp;trackingId=9EfW3OiqfywHRU%2F6glP5DQ%3D%3D&amp;position=23&amp;pageNum=0&amp;trk=public_jobs_jserp-result_search-card", "Job Link")</f>
        <v>Job Link</v>
      </c>
      <c r="H2097" t="s">
        <v>478</v>
      </c>
      <c r="I2097" t="s">
        <v>481</v>
      </c>
      <c r="J2097" t="s">
        <v>486</v>
      </c>
      <c r="K2097" t="s">
        <v>518</v>
      </c>
      <c r="L2097" t="s">
        <v>583</v>
      </c>
      <c r="M2097" t="s">
        <v>610</v>
      </c>
      <c r="N2097" t="s">
        <v>601</v>
      </c>
    </row>
    <row r="2098" spans="1:14" x14ac:dyDescent="0.25">
      <c r="A2098" t="s">
        <v>91</v>
      </c>
      <c r="B2098" t="s">
        <v>224</v>
      </c>
      <c r="C2098" t="s">
        <v>384</v>
      </c>
      <c r="D2098" t="s">
        <v>426</v>
      </c>
      <c r="F2098" t="s">
        <v>431</v>
      </c>
      <c r="G2098" t="str">
        <f>HYPERLINK("https://ca.linkedin.com/jobs/view/commercial-data-analyst-at-organigram-inc-3367177254?refId=HJ6a0sS1FLFe0ncUiMuSgg%3D%3D&amp;trackingId=ffjtwUcjK9P%2BKcX6DWnNtw%3D%3D&amp;position=24&amp;pageNum=0&amp;trk=public_jobs_jserp-result_search-card", "Job Link")</f>
        <v>Job Link</v>
      </c>
      <c r="I2098" t="s">
        <v>481</v>
      </c>
      <c r="L2098" t="s">
        <v>582</v>
      </c>
      <c r="M2098" t="s">
        <v>588</v>
      </c>
      <c r="N2098" t="s">
        <v>601</v>
      </c>
    </row>
    <row r="2099" spans="1:14" x14ac:dyDescent="0.25">
      <c r="A2099" t="s">
        <v>14</v>
      </c>
      <c r="B2099" t="s">
        <v>225</v>
      </c>
      <c r="C2099" t="s">
        <v>385</v>
      </c>
      <c r="D2099" t="s">
        <v>426</v>
      </c>
      <c r="F2099" t="s">
        <v>463</v>
      </c>
      <c r="G2099" t="str">
        <f>HYPERLINK("https://ca.linkedin.com/jobs/view/data-analyst-at-vector-institute-3325395506?refId=HJ6a0sS1FLFe0ncUiMuSgg%3D%3D&amp;trackingId=9ypQcJXbMxiRoe4OqK%2Fk2g%3D%3D&amp;position=25&amp;pageNum=0&amp;trk=public_jobs_jserp-result_search-card", "Job Link")</f>
        <v>Job Link</v>
      </c>
      <c r="H2099" t="s">
        <v>478</v>
      </c>
      <c r="I2099" t="s">
        <v>481</v>
      </c>
      <c r="J2099" t="s">
        <v>486</v>
      </c>
      <c r="K2099" t="s">
        <v>520</v>
      </c>
      <c r="L2099" t="s">
        <v>582</v>
      </c>
      <c r="M2099" t="s">
        <v>588</v>
      </c>
      <c r="N2099" t="s">
        <v>601</v>
      </c>
    </row>
    <row r="2100" spans="1:14" x14ac:dyDescent="0.25">
      <c r="A2100" t="s">
        <v>92</v>
      </c>
      <c r="B2100" t="s">
        <v>227</v>
      </c>
      <c r="C2100" t="s">
        <v>387</v>
      </c>
      <c r="D2100" t="s">
        <v>426</v>
      </c>
      <c r="F2100" t="s">
        <v>461</v>
      </c>
      <c r="G2100" t="str">
        <f>HYPERLINK("https://ca.linkedin.com/jobs/view/data-engineer-1-at-four-seasons-hotels-and-resorts-3312522329?refId=B0FdUPBqy6EGpJoH6MYTNw%3D%3D&amp;trackingId=ONb3OcQyefNh4ITK2NNGhw%3D%3D&amp;position=1&amp;pageNum=0&amp;trk=public_jobs_jserp-result_search-card", "Job Link")</f>
        <v>Job Link</v>
      </c>
      <c r="H2100" t="s">
        <v>479</v>
      </c>
      <c r="I2100" t="s">
        <v>481</v>
      </c>
      <c r="J2100" t="s">
        <v>486</v>
      </c>
      <c r="K2100" t="s">
        <v>569</v>
      </c>
      <c r="L2100" t="s">
        <v>582</v>
      </c>
      <c r="M2100" t="s">
        <v>588</v>
      </c>
      <c r="N2100" t="s">
        <v>601</v>
      </c>
    </row>
    <row r="2101" spans="1:14" x14ac:dyDescent="0.25">
      <c r="A2101" t="s">
        <v>37</v>
      </c>
      <c r="B2101" t="s">
        <v>228</v>
      </c>
      <c r="C2101" t="s">
        <v>388</v>
      </c>
      <c r="D2101" t="s">
        <v>426</v>
      </c>
      <c r="F2101" t="s">
        <v>453</v>
      </c>
      <c r="G2101" t="str">
        <f>HYPERLINK("https://ca.linkedin.com/jobs/view/data-engineer-at-globant-3357697224?refId=B0FdUPBqy6EGpJoH6MYTNw%3D%3D&amp;trackingId=kQz3IR4IXrlKyxSh2VciGg%3D%3D&amp;position=2&amp;pageNum=0&amp;trk=public_jobs_jserp-result_search-card", "Job Link")</f>
        <v>Job Link</v>
      </c>
      <c r="H2101" t="s">
        <v>476</v>
      </c>
      <c r="I2101" t="s">
        <v>481</v>
      </c>
      <c r="J2101" t="s">
        <v>486</v>
      </c>
      <c r="K2101" t="s">
        <v>521</v>
      </c>
      <c r="L2101" t="s">
        <v>582</v>
      </c>
      <c r="M2101" t="s">
        <v>588</v>
      </c>
      <c r="N2101" t="s">
        <v>601</v>
      </c>
    </row>
    <row r="2102" spans="1:14" x14ac:dyDescent="0.25">
      <c r="A2102" t="s">
        <v>84</v>
      </c>
      <c r="B2102" t="s">
        <v>216</v>
      </c>
      <c r="C2102" t="s">
        <v>375</v>
      </c>
      <c r="D2102" t="s">
        <v>426</v>
      </c>
      <c r="F2102" t="s">
        <v>452</v>
      </c>
      <c r="G2102" t="str">
        <f>HYPERLINK("https://ca.linkedin.com/jobs/view/data-analyst-hybrid-at-xylem-3335088701?refId=B0FdUPBqy6EGpJoH6MYTNw%3D%3D&amp;trackingId=g3saXg%2Fg8dfR2gFa4AmT9w%3D%3D&amp;position=3&amp;pageNum=0&amp;trk=public_jobs_jserp-result_search-card", "Job Link")</f>
        <v>Job Link</v>
      </c>
      <c r="H2102" t="s">
        <v>476</v>
      </c>
      <c r="I2102" t="s">
        <v>481</v>
      </c>
      <c r="J2102" t="s">
        <v>486</v>
      </c>
      <c r="K2102" t="s">
        <v>564</v>
      </c>
      <c r="L2102" t="s">
        <v>584</v>
      </c>
      <c r="M2102" t="s">
        <v>588</v>
      </c>
      <c r="N2102" t="s">
        <v>601</v>
      </c>
    </row>
    <row r="2103" spans="1:14" x14ac:dyDescent="0.25">
      <c r="A2103" t="s">
        <v>85</v>
      </c>
      <c r="B2103" t="s">
        <v>217</v>
      </c>
      <c r="C2103" t="s">
        <v>376</v>
      </c>
      <c r="D2103" t="s">
        <v>426</v>
      </c>
      <c r="F2103" t="s">
        <v>473</v>
      </c>
      <c r="G2103" t="str">
        <f>HYPERLINK("https://ca.linkedin.com/jobs/view/data-analyst-python-sql-at-geotab-3341823745?refId=B0FdUPBqy6EGpJoH6MYTNw%3D%3D&amp;trackingId=BNrWDzg6YScQZ7%2F7QgkZpg%3D%3D&amp;position=4&amp;pageNum=0&amp;trk=public_jobs_jserp-result_search-card", "Job Link")</f>
        <v>Job Link</v>
      </c>
      <c r="H2103" t="s">
        <v>479</v>
      </c>
      <c r="I2103" t="s">
        <v>481</v>
      </c>
      <c r="J2103" t="s">
        <v>486</v>
      </c>
      <c r="K2103" t="s">
        <v>521</v>
      </c>
      <c r="L2103" t="s">
        <v>612</v>
      </c>
      <c r="M2103" t="s">
        <v>588</v>
      </c>
      <c r="N2103" t="s">
        <v>601</v>
      </c>
    </row>
    <row r="2104" spans="1:14" x14ac:dyDescent="0.25">
      <c r="A2104" t="s">
        <v>93</v>
      </c>
      <c r="B2104" t="s">
        <v>229</v>
      </c>
      <c r="C2104" t="s">
        <v>389</v>
      </c>
      <c r="D2104" t="s">
        <v>426</v>
      </c>
      <c r="F2104" t="s">
        <v>452</v>
      </c>
      <c r="G2104" t="str">
        <f>HYPERLINK("https://ca.linkedin.com/jobs/view/senior-data-analyst-powerbi-at-omers-3334943005?refId=B0FdUPBqy6EGpJoH6MYTNw%3D%3D&amp;trackingId=Lex82fjKG2rPeTzjiHD%2BrA%3D%3D&amp;position=5&amp;pageNum=0&amp;trk=public_jobs_jserp-result_search-card", "Job Link")</f>
        <v>Job Link</v>
      </c>
      <c r="H2104" t="s">
        <v>479</v>
      </c>
      <c r="I2104" t="s">
        <v>481</v>
      </c>
      <c r="J2104" t="s">
        <v>486</v>
      </c>
      <c r="K2104" t="s">
        <v>527</v>
      </c>
      <c r="L2104" t="s">
        <v>582</v>
      </c>
      <c r="M2104" t="s">
        <v>588</v>
      </c>
      <c r="N2104" t="s">
        <v>601</v>
      </c>
    </row>
    <row r="2105" spans="1:14" x14ac:dyDescent="0.25">
      <c r="A2105" t="s">
        <v>94</v>
      </c>
      <c r="B2105" t="s">
        <v>230</v>
      </c>
      <c r="C2105" t="s">
        <v>284</v>
      </c>
      <c r="D2105" t="s">
        <v>426</v>
      </c>
      <c r="F2105" t="s">
        <v>434</v>
      </c>
      <c r="G2105" t="str">
        <f>HYPERLINK("https://ca.linkedin.com/jobs/view/analyst-data-science-en-at-ig-wealth-management-3358568371?refId=B0FdUPBqy6EGpJoH6MYTNw%3D%3D&amp;trackingId=hUjV7wEeq6HXkNTZ5IRs9w%3D%3D&amp;position=6&amp;pageNum=0&amp;trk=public_jobs_jserp-result_search-card", "Job Link")</f>
        <v>Job Link</v>
      </c>
      <c r="L2105" t="s">
        <v>588</v>
      </c>
      <c r="M2105" t="s">
        <v>601</v>
      </c>
    </row>
    <row r="2106" spans="1:14" x14ac:dyDescent="0.25">
      <c r="A2106" t="s">
        <v>95</v>
      </c>
      <c r="B2106" t="s">
        <v>231</v>
      </c>
      <c r="C2106" t="s">
        <v>390</v>
      </c>
      <c r="D2106" t="s">
        <v>426</v>
      </c>
      <c r="F2106" t="s">
        <v>433</v>
      </c>
      <c r="G2106" t="str">
        <f>HYPERLINK("https://ca.linkedin.com/jobs/view/data-science-analyst-at-kubra-3343541186?refId=B0FdUPBqy6EGpJoH6MYTNw%3D%3D&amp;trackingId=y7CWk6EikFI%2Blv4F6dSr9g%3D%3D&amp;position=7&amp;pageNum=0&amp;trk=public_jobs_jserp-result_search-card", "Job Link")</f>
        <v>Job Link</v>
      </c>
      <c r="H2106" t="s">
        <v>478</v>
      </c>
      <c r="I2106" t="s">
        <v>481</v>
      </c>
      <c r="J2106" t="s">
        <v>510</v>
      </c>
      <c r="K2106" t="s">
        <v>521</v>
      </c>
      <c r="L2106" t="s">
        <v>584</v>
      </c>
      <c r="M2106" t="s">
        <v>588</v>
      </c>
      <c r="N2106" t="s">
        <v>601</v>
      </c>
    </row>
    <row r="2107" spans="1:14" x14ac:dyDescent="0.25">
      <c r="A2107" t="s">
        <v>96</v>
      </c>
      <c r="B2107" t="s">
        <v>232</v>
      </c>
      <c r="C2107" t="s">
        <v>284</v>
      </c>
      <c r="D2107" t="s">
        <v>426</v>
      </c>
      <c r="F2107" t="s">
        <v>435</v>
      </c>
      <c r="G2107" t="str">
        <f>HYPERLINK("https://ca.linkedin.com/jobs/view/analyst-data-operations-at-bci-3334576966?refId=B0FdUPBqy6EGpJoH6MYTNw%3D%3D&amp;trackingId=03HhUadYcukazX9MMjESnw%3D%3D&amp;position=8&amp;pageNum=0&amp;trk=public_jobs_jserp-result_search-card", "Job Link")</f>
        <v>Job Link</v>
      </c>
      <c r="L2107" t="s">
        <v>613</v>
      </c>
      <c r="M2107" t="s">
        <v>618</v>
      </c>
      <c r="N2107" t="s">
        <v>601</v>
      </c>
    </row>
    <row r="2108" spans="1:14" x14ac:dyDescent="0.25">
      <c r="A2108" t="s">
        <v>97</v>
      </c>
      <c r="B2108" t="s">
        <v>233</v>
      </c>
      <c r="C2108" t="s">
        <v>391</v>
      </c>
      <c r="D2108" t="s">
        <v>426</v>
      </c>
      <c r="F2108" t="s">
        <v>437</v>
      </c>
      <c r="G2108" t="str">
        <f>HYPERLINK("https://ca.linkedin.com/jobs/view/information-analyst-at-canadian-red-cross-3330518530?refId=B0FdUPBqy6EGpJoH6MYTNw%3D%3D&amp;trackingId=YEucIcEV5Tg9%2B7MHXe%2FBQg%3D%3D&amp;position=9&amp;pageNum=0&amp;trk=public_jobs_jserp-result_search-card", "Job Link")</f>
        <v>Job Link</v>
      </c>
      <c r="H2108" t="s">
        <v>478</v>
      </c>
      <c r="I2108" t="s">
        <v>483</v>
      </c>
      <c r="J2108" t="s">
        <v>486</v>
      </c>
      <c r="K2108" t="s">
        <v>570</v>
      </c>
      <c r="L2108" t="s">
        <v>594</v>
      </c>
      <c r="M2108" t="s">
        <v>588</v>
      </c>
      <c r="N2108" t="s">
        <v>601</v>
      </c>
    </row>
    <row r="2109" spans="1:14" x14ac:dyDescent="0.25">
      <c r="A2109" t="s">
        <v>83</v>
      </c>
      <c r="B2109" t="s">
        <v>215</v>
      </c>
      <c r="C2109" t="s">
        <v>373</v>
      </c>
      <c r="D2109" t="s">
        <v>426</v>
      </c>
      <c r="F2109" t="s">
        <v>462</v>
      </c>
      <c r="G2109">
        <v>0</v>
      </c>
      <c r="H2109" t="s">
        <v>478</v>
      </c>
      <c r="I2109" t="s">
        <v>483</v>
      </c>
      <c r="J2109" t="s">
        <v>509</v>
      </c>
      <c r="K2109" t="s">
        <v>550</v>
      </c>
      <c r="L2109" t="s">
        <v>584</v>
      </c>
      <c r="M2109" t="s">
        <v>588</v>
      </c>
      <c r="N2109" t="s">
        <v>601</v>
      </c>
    </row>
    <row r="2110" spans="1:14" x14ac:dyDescent="0.25">
      <c r="A2110" t="s">
        <v>98</v>
      </c>
      <c r="B2110" t="s">
        <v>234</v>
      </c>
      <c r="C2110" t="s">
        <v>392</v>
      </c>
      <c r="D2110" t="s">
        <v>426</v>
      </c>
      <c r="F2110" t="s">
        <v>434</v>
      </c>
      <c r="G2110" t="str">
        <f>HYPERLINK("https://ca.linkedin.com/jobs/view/graduate-geospatial-analyst-available-2023-at-arup-3261010804?refId=B0FdUPBqy6EGpJoH6MYTNw%3D%3D&amp;trackingId=X4tMUTQ%2BrUrcIUYKL3EjeA%3D%3D&amp;position=11&amp;pageNum=0&amp;trk=public_jobs_jserp-result_search-card", "Job Link")</f>
        <v>Job Link</v>
      </c>
      <c r="H2110" t="s">
        <v>476</v>
      </c>
      <c r="I2110" t="s">
        <v>481</v>
      </c>
      <c r="J2110" t="s">
        <v>486</v>
      </c>
      <c r="K2110" t="s">
        <v>571</v>
      </c>
      <c r="L2110" t="s">
        <v>582</v>
      </c>
      <c r="M2110" t="s">
        <v>588</v>
      </c>
      <c r="N2110" t="s">
        <v>601</v>
      </c>
    </row>
    <row r="2111" spans="1:14" x14ac:dyDescent="0.25">
      <c r="A2111" t="s">
        <v>99</v>
      </c>
      <c r="B2111" t="s">
        <v>128</v>
      </c>
      <c r="C2111" t="s">
        <v>393</v>
      </c>
      <c r="D2111" t="s">
        <v>426</v>
      </c>
      <c r="F2111" t="s">
        <v>439</v>
      </c>
      <c r="G2111" t="str">
        <f>HYPERLINK("https://ca.linkedin.com/jobs/view/data-analytics-at-diverse-lynx-3363347625?refId=B0FdUPBqy6EGpJoH6MYTNw%3D%3D&amp;trackingId=3xPrCzsQruqOvLCqZqBGLg%3D%3D&amp;position=12&amp;pageNum=0&amp;trk=public_jobs_jserp-result_search-card", "Job Link")</f>
        <v>Job Link</v>
      </c>
      <c r="H2111" t="s">
        <v>476</v>
      </c>
      <c r="I2111" t="s">
        <v>483</v>
      </c>
      <c r="J2111" t="s">
        <v>492</v>
      </c>
      <c r="K2111" t="s">
        <v>516</v>
      </c>
      <c r="L2111" t="s">
        <v>586</v>
      </c>
      <c r="M2111" t="s">
        <v>617</v>
      </c>
      <c r="N2111" t="s">
        <v>601</v>
      </c>
    </row>
    <row r="2112" spans="1:14" x14ac:dyDescent="0.25">
      <c r="A2112" t="s">
        <v>100</v>
      </c>
      <c r="B2112" t="s">
        <v>235</v>
      </c>
      <c r="C2112" t="s">
        <v>394</v>
      </c>
      <c r="D2112" t="s">
        <v>426</v>
      </c>
      <c r="F2112" t="s">
        <v>432</v>
      </c>
      <c r="G2112" t="str">
        <f>HYPERLINK("https://ca.linkedin.com/jobs/view/data-analyst-2-at-symcor-3364373829?refId=B0FdUPBqy6EGpJoH6MYTNw%3D%3D&amp;trackingId=y0bwIfouq6agErNJfl7L8w%3D%3D&amp;position=13&amp;pageNum=0&amp;trk=public_jobs_jserp-result_search-card", "Job Link")</f>
        <v>Job Link</v>
      </c>
      <c r="H2112" t="s">
        <v>478</v>
      </c>
      <c r="I2112" t="s">
        <v>481</v>
      </c>
      <c r="J2112" t="s">
        <v>486</v>
      </c>
      <c r="K2112" t="s">
        <v>527</v>
      </c>
      <c r="L2112" t="s">
        <v>584</v>
      </c>
      <c r="M2112" t="s">
        <v>588</v>
      </c>
      <c r="N2112" t="s">
        <v>601</v>
      </c>
    </row>
    <row r="2113" spans="1:14" x14ac:dyDescent="0.25">
      <c r="A2113" t="s">
        <v>101</v>
      </c>
      <c r="B2113" t="s">
        <v>236</v>
      </c>
      <c r="C2113" t="s">
        <v>395</v>
      </c>
      <c r="D2113" t="s">
        <v>426</v>
      </c>
      <c r="E2113" t="s">
        <v>429</v>
      </c>
      <c r="F2113" t="s">
        <v>430</v>
      </c>
      <c r="G2113" t="str">
        <f>HYPERLINK("https://ca.linkedin.com/jobs/view/researcher-at-university-canada-west-3324915788?refId=B0FdUPBqy6EGpJoH6MYTNw%3D%3D&amp;trackingId=qRomQGLp0s8HsINA8ungvQ%3D%3D&amp;position=14&amp;pageNum=0&amp;trk=public_jobs_jserp-result_search-card", "Job Link")</f>
        <v>Job Link</v>
      </c>
      <c r="H2113" t="s">
        <v>479</v>
      </c>
      <c r="I2113" t="s">
        <v>481</v>
      </c>
      <c r="J2113" t="s">
        <v>492</v>
      </c>
      <c r="K2113" t="s">
        <v>572</v>
      </c>
      <c r="L2113" t="s">
        <v>590</v>
      </c>
      <c r="M2113" t="s">
        <v>618</v>
      </c>
      <c r="N2113" t="s">
        <v>601</v>
      </c>
    </row>
    <row r="2114" spans="1:14" x14ac:dyDescent="0.25">
      <c r="A2114" t="s">
        <v>102</v>
      </c>
      <c r="B2114" t="s">
        <v>237</v>
      </c>
      <c r="C2114" t="s">
        <v>396</v>
      </c>
      <c r="D2114" t="s">
        <v>426</v>
      </c>
      <c r="F2114" t="s">
        <v>443</v>
      </c>
      <c r="G2114">
        <v>0</v>
      </c>
      <c r="H2114" t="s">
        <v>477</v>
      </c>
      <c r="I2114" t="s">
        <v>483</v>
      </c>
      <c r="J2114" t="s">
        <v>511</v>
      </c>
      <c r="K2114" t="s">
        <v>573</v>
      </c>
      <c r="L2114" t="s">
        <v>582</v>
      </c>
      <c r="M2114" t="s">
        <v>588</v>
      </c>
      <c r="N2114" t="s">
        <v>601</v>
      </c>
    </row>
    <row r="2115" spans="1:14" x14ac:dyDescent="0.25">
      <c r="A2115" t="s">
        <v>103</v>
      </c>
      <c r="B2115" t="s">
        <v>238</v>
      </c>
      <c r="C2115" t="s">
        <v>397</v>
      </c>
      <c r="D2115" t="s">
        <v>426</v>
      </c>
      <c r="F2115" t="s">
        <v>473</v>
      </c>
      <c r="G2115" t="str">
        <f>HYPERLINK("https://ca.linkedin.com/jobs/view/digital-analyst-at-acosta-3341291733?refId=B0FdUPBqy6EGpJoH6MYTNw%3D%3D&amp;trackingId=hd4GfBPKgOgZWmDH4e3zCg%3D%3D&amp;position=16&amp;pageNum=0&amp;trk=public_jobs_jserp-result_search-card", "Job Link")</f>
        <v>Job Link</v>
      </c>
      <c r="H2115" t="s">
        <v>476</v>
      </c>
      <c r="I2115" t="s">
        <v>481</v>
      </c>
      <c r="J2115" t="s">
        <v>512</v>
      </c>
      <c r="K2115" t="s">
        <v>541</v>
      </c>
      <c r="L2115" t="s">
        <v>611</v>
      </c>
      <c r="M2115" t="s">
        <v>601</v>
      </c>
    </row>
    <row r="2116" spans="1:14" x14ac:dyDescent="0.25">
      <c r="A2116" t="s">
        <v>104</v>
      </c>
      <c r="B2116" t="s">
        <v>239</v>
      </c>
      <c r="C2116" t="s">
        <v>398</v>
      </c>
      <c r="D2116" t="s">
        <v>426</v>
      </c>
      <c r="F2116" t="s">
        <v>432</v>
      </c>
      <c r="G2116" t="str">
        <f>HYPERLINK("https://ca.linkedin.com/jobs/view/powerbi-specialist-at-ledcor-3363638457?refId=B0FdUPBqy6EGpJoH6MYTNw%3D%3D&amp;trackingId=tyr8QqrdWTIoghVlHQLGog%3D%3D&amp;position=17&amp;pageNum=0&amp;trk=public_jobs_jserp-result_search-card", "Job Link")</f>
        <v>Job Link</v>
      </c>
      <c r="H2116" t="s">
        <v>478</v>
      </c>
      <c r="I2116" t="s">
        <v>481</v>
      </c>
      <c r="J2116" t="s">
        <v>485</v>
      </c>
      <c r="K2116" t="s">
        <v>531</v>
      </c>
      <c r="L2116" t="s">
        <v>609</v>
      </c>
      <c r="M2116" t="s">
        <v>610</v>
      </c>
      <c r="N2116" t="s">
        <v>601</v>
      </c>
    </row>
    <row r="2117" spans="1:14" x14ac:dyDescent="0.25">
      <c r="A2117" t="s">
        <v>105</v>
      </c>
      <c r="B2117" t="s">
        <v>240</v>
      </c>
      <c r="C2117" t="s">
        <v>399</v>
      </c>
      <c r="D2117" t="s">
        <v>426</v>
      </c>
      <c r="F2117" t="s">
        <v>440</v>
      </c>
      <c r="G2117" t="str">
        <f>HYPERLINK("https://ca.linkedin.com/jobs/view/operational-data-analyst-at-jones-lang-lasalle-3364437097?refId=B0FdUPBqy6EGpJoH6MYTNw%3D%3D&amp;trackingId=IQ8X775cFnh3%2FwqEoHnryA%3D%3D&amp;position=18&amp;pageNum=0&amp;trk=public_jobs_jserp-result_search-card", "Job Link")</f>
        <v>Job Link</v>
      </c>
      <c r="H2117" t="s">
        <v>476</v>
      </c>
      <c r="I2117" t="s">
        <v>481</v>
      </c>
      <c r="J2117" t="s">
        <v>486</v>
      </c>
      <c r="K2117" t="s">
        <v>574</v>
      </c>
      <c r="L2117" t="s">
        <v>582</v>
      </c>
      <c r="M2117" t="s">
        <v>588</v>
      </c>
      <c r="N2117" t="s">
        <v>601</v>
      </c>
    </row>
    <row r="2118" spans="1:14" x14ac:dyDescent="0.25">
      <c r="A2118" t="s">
        <v>106</v>
      </c>
      <c r="B2118" t="s">
        <v>148</v>
      </c>
      <c r="C2118" t="s">
        <v>400</v>
      </c>
      <c r="D2118" t="s">
        <v>426</v>
      </c>
      <c r="F2118" t="s">
        <v>473</v>
      </c>
      <c r="G2118" t="str">
        <f>HYPERLINK("https://ca.linkedin.com/jobs/view/campaign-data-analyst-at-beachhead-3351966701?refId=B0FdUPBqy6EGpJoH6MYTNw%3D%3D&amp;trackingId=EgBjviH%2B2l79wXs2dRQxKA%3D%3D&amp;position=19&amp;pageNum=0&amp;trk=public_jobs_jserp-result_search-card", "Job Link")</f>
        <v>Job Link</v>
      </c>
      <c r="H2118" t="s">
        <v>476</v>
      </c>
      <c r="I2118" t="s">
        <v>483</v>
      </c>
      <c r="J2118" t="s">
        <v>486</v>
      </c>
      <c r="K2118" t="s">
        <v>525</v>
      </c>
      <c r="L2118" t="s">
        <v>582</v>
      </c>
      <c r="M2118" t="s">
        <v>588</v>
      </c>
      <c r="N2118" t="s">
        <v>601</v>
      </c>
    </row>
    <row r="2119" spans="1:14" x14ac:dyDescent="0.25">
      <c r="A2119" t="s">
        <v>104</v>
      </c>
      <c r="B2119" t="s">
        <v>239</v>
      </c>
      <c r="C2119" t="s">
        <v>401</v>
      </c>
      <c r="D2119" t="s">
        <v>426</v>
      </c>
      <c r="F2119" t="s">
        <v>432</v>
      </c>
      <c r="G2119" t="str">
        <f>HYPERLINK("https://ca.linkedin.com/jobs/view/powerbi-specialist-at-ledcor-3363642196?refId=B0FdUPBqy6EGpJoH6MYTNw%3D%3D&amp;trackingId=5BGRMysMwr1OmDyB1RQUoQ%3D%3D&amp;position=20&amp;pageNum=0&amp;trk=public_jobs_jserp-result_search-card", "Job Link")</f>
        <v>Job Link</v>
      </c>
      <c r="H2119" t="s">
        <v>478</v>
      </c>
      <c r="I2119" t="s">
        <v>481</v>
      </c>
      <c r="J2119" t="s">
        <v>485</v>
      </c>
      <c r="K2119" t="s">
        <v>531</v>
      </c>
      <c r="L2119" t="s">
        <v>583</v>
      </c>
      <c r="M2119" t="s">
        <v>610</v>
      </c>
      <c r="N2119" t="s">
        <v>601</v>
      </c>
    </row>
    <row r="2120" spans="1:14" x14ac:dyDescent="0.25">
      <c r="A2120" t="s">
        <v>107</v>
      </c>
      <c r="B2120" t="s">
        <v>241</v>
      </c>
      <c r="C2120" t="s">
        <v>402</v>
      </c>
      <c r="D2120" t="s">
        <v>426</v>
      </c>
      <c r="F2120" t="s">
        <v>439</v>
      </c>
      <c r="G2120" t="str">
        <f>HYPERLINK("https://ca.linkedin.com/jobs/view/business-intelligence-analyst-at-allstate-canada-3152073578?refId=B0FdUPBqy6EGpJoH6MYTNw%3D%3D&amp;trackingId=0Tjcmr7g4XOchi6AuX%2FrcA%3D%3D&amp;position=21&amp;pageNum=0&amp;trk=public_jobs_jserp-result_search-card", "Job Link")</f>
        <v>Job Link</v>
      </c>
      <c r="H2120" t="s">
        <v>477</v>
      </c>
      <c r="I2120" t="s">
        <v>481</v>
      </c>
      <c r="J2120" t="s">
        <v>492</v>
      </c>
      <c r="K2120" t="s">
        <v>575</v>
      </c>
      <c r="L2120" t="s">
        <v>591</v>
      </c>
      <c r="M2120" t="s">
        <v>588</v>
      </c>
      <c r="N2120" t="s">
        <v>601</v>
      </c>
    </row>
    <row r="2121" spans="1:14" x14ac:dyDescent="0.25">
      <c r="A2121" t="s">
        <v>108</v>
      </c>
      <c r="B2121" t="s">
        <v>230</v>
      </c>
      <c r="C2121" t="s">
        <v>403</v>
      </c>
      <c r="D2121" t="s">
        <v>426</v>
      </c>
      <c r="F2121" t="s">
        <v>439</v>
      </c>
      <c r="G2121" t="str">
        <f>HYPERLINK("https://ca.linkedin.com/jobs/view/analyst-data-science-fr-at-ig-wealth-management-3355845368?refId=B0FdUPBqy6EGpJoH6MYTNw%3D%3D&amp;trackingId=C27iBQp4BaQ85WUKw8gW%2FQ%3D%3D&amp;position=22&amp;pageNum=0&amp;trk=public_jobs_jserp-result_search-card", "Job Link")</f>
        <v>Job Link</v>
      </c>
      <c r="H2121" t="s">
        <v>476</v>
      </c>
      <c r="I2121" t="s">
        <v>481</v>
      </c>
      <c r="J2121" t="s">
        <v>486</v>
      </c>
      <c r="K2121" t="s">
        <v>527</v>
      </c>
      <c r="L2121" t="s">
        <v>588</v>
      </c>
      <c r="M2121" t="s">
        <v>601</v>
      </c>
    </row>
    <row r="2122" spans="1:14" x14ac:dyDescent="0.25">
      <c r="A2122" t="s">
        <v>14</v>
      </c>
      <c r="B2122" t="s">
        <v>242</v>
      </c>
      <c r="C2122" t="s">
        <v>404</v>
      </c>
      <c r="D2122" t="s">
        <v>426</v>
      </c>
      <c r="F2122" t="s">
        <v>430</v>
      </c>
      <c r="G2122" t="str">
        <f>HYPERLINK("https://ca.linkedin.com/jobs/view/data-analyst-at-quadreal-property-group-3324630431?refId=B0FdUPBqy6EGpJoH6MYTNw%3D%3D&amp;trackingId=%2BqjhlJb3G1B%2BbZw4x%2BQMOQ%3D%3D&amp;position=23&amp;pageNum=0&amp;trk=public_jobs_jserp-result_search-card", "Job Link")</f>
        <v>Job Link</v>
      </c>
      <c r="H2122" t="s">
        <v>477</v>
      </c>
      <c r="I2122" t="s">
        <v>481</v>
      </c>
      <c r="J2122" t="s">
        <v>486</v>
      </c>
      <c r="K2122" t="s">
        <v>574</v>
      </c>
      <c r="L2122" t="s">
        <v>582</v>
      </c>
      <c r="M2122" t="s">
        <v>588</v>
      </c>
      <c r="N2122" t="s">
        <v>601</v>
      </c>
    </row>
    <row r="2123" spans="1:14" x14ac:dyDescent="0.25">
      <c r="A2123" t="s">
        <v>14</v>
      </c>
      <c r="B2123" t="s">
        <v>214</v>
      </c>
      <c r="C2123" t="s">
        <v>372</v>
      </c>
      <c r="D2123" t="s">
        <v>426</v>
      </c>
      <c r="F2123" t="s">
        <v>432</v>
      </c>
      <c r="G2123" t="str">
        <f>HYPERLINK("https://ca.linkedin.com/jobs/view/data-analyst-at-goeasy-ltd-3358677253?refId=B0FdUPBqy6EGpJoH6MYTNw%3D%3D&amp;trackingId=dH2uVxZ91l4L9Wdw%2B9Tojg%3D%3D&amp;position=24&amp;pageNum=0&amp;trk=public_jobs_jserp-result_search-card", "Job Link")</f>
        <v>Job Link</v>
      </c>
      <c r="H2123" t="s">
        <v>476</v>
      </c>
      <c r="I2123" t="s">
        <v>481</v>
      </c>
      <c r="J2123" t="s">
        <v>486</v>
      </c>
      <c r="K2123" t="s">
        <v>550</v>
      </c>
      <c r="L2123" t="s">
        <v>584</v>
      </c>
      <c r="M2123" t="s">
        <v>588</v>
      </c>
      <c r="N2123" t="s">
        <v>601</v>
      </c>
    </row>
    <row r="2124" spans="1:14" x14ac:dyDescent="0.25">
      <c r="A2124" t="s">
        <v>109</v>
      </c>
      <c r="B2124" t="s">
        <v>243</v>
      </c>
      <c r="C2124" t="s">
        <v>405</v>
      </c>
      <c r="D2124" t="s">
        <v>426</v>
      </c>
      <c r="F2124" t="s">
        <v>454</v>
      </c>
      <c r="G2124" t="str">
        <f>HYPERLINK("https://ca.linkedin.com/jobs/view/business-intelligence-analyst-fp-a-at-fleetcor-3300497619?refId=B0FdUPBqy6EGpJoH6MYTNw%3D%3D&amp;trackingId=RSI9o1gh1IUopz4O%2F669LA%3D%3D&amp;position=25&amp;pageNum=0&amp;trk=public_jobs_jserp-result_search-card", "Job Link")</f>
        <v>Job Link</v>
      </c>
      <c r="H2124" t="s">
        <v>477</v>
      </c>
      <c r="I2124" t="s">
        <v>481</v>
      </c>
      <c r="J2124" t="s">
        <v>492</v>
      </c>
      <c r="K2124" t="s">
        <v>516</v>
      </c>
      <c r="L2124" t="s">
        <v>582</v>
      </c>
      <c r="M2124" t="s">
        <v>588</v>
      </c>
      <c r="N2124" t="s">
        <v>601</v>
      </c>
    </row>
    <row r="2125" spans="1:14" x14ac:dyDescent="0.25">
      <c r="A2125" t="s">
        <v>14</v>
      </c>
      <c r="B2125" t="s">
        <v>207</v>
      </c>
      <c r="C2125" t="s">
        <v>362</v>
      </c>
      <c r="D2125" t="s">
        <v>426</v>
      </c>
      <c r="F2125" t="s">
        <v>463</v>
      </c>
      <c r="G2125" t="str">
        <f>HYPERLINK("https://ca.linkedin.com/jobs/view/data-analyst-at-onlia-3320897897?refId=%2Blu0BBk5BgKG2th%2B%2FefTtQ%3D%3D&amp;trackingId=zIguV%2Fbp%2B8lp4j6nrJNxeQ%3D%3D&amp;position=1&amp;pageNum=0&amp;trk=public_jobs_jserp-result_search-card", "Job Link")</f>
        <v>Job Link</v>
      </c>
      <c r="H2125" t="s">
        <v>477</v>
      </c>
      <c r="I2125" t="s">
        <v>481</v>
      </c>
      <c r="J2125" t="s">
        <v>486</v>
      </c>
      <c r="K2125" t="s">
        <v>523</v>
      </c>
      <c r="L2125" t="s">
        <v>582</v>
      </c>
      <c r="M2125" t="s">
        <v>588</v>
      </c>
      <c r="N2125" t="s">
        <v>601</v>
      </c>
    </row>
    <row r="2126" spans="1:14" x14ac:dyDescent="0.25">
      <c r="A2126" t="s">
        <v>14</v>
      </c>
      <c r="B2126" t="s">
        <v>208</v>
      </c>
      <c r="C2126" t="s">
        <v>363</v>
      </c>
      <c r="D2126" t="s">
        <v>426</v>
      </c>
      <c r="F2126" t="s">
        <v>445</v>
      </c>
      <c r="G2126" t="str">
        <f>HYPERLINK("https://ca.linkedin.com/jobs/view/data-analyst-at-electronic-arts-ea-3325611825?refId=%2Blu0BBk5BgKG2th%2B%2FefTtQ%3D%3D&amp;trackingId=FryZrT2xl9X8ku1Mic57lA%3D%3D&amp;position=2&amp;pageNum=0&amp;trk=public_jobs_jserp-result_search-card", "Job Link")</f>
        <v>Job Link</v>
      </c>
      <c r="H2126" t="s">
        <v>479</v>
      </c>
      <c r="I2126" t="s">
        <v>481</v>
      </c>
      <c r="J2126" t="s">
        <v>507</v>
      </c>
      <c r="K2126" t="s">
        <v>559</v>
      </c>
      <c r="L2126" t="s">
        <v>582</v>
      </c>
      <c r="M2126" t="s">
        <v>588</v>
      </c>
      <c r="N2126" t="s">
        <v>601</v>
      </c>
    </row>
    <row r="2127" spans="1:14" x14ac:dyDescent="0.25">
      <c r="A2127" t="s">
        <v>14</v>
      </c>
      <c r="B2127" t="s">
        <v>209</v>
      </c>
      <c r="C2127" t="s">
        <v>364</v>
      </c>
      <c r="D2127" t="s">
        <v>426</v>
      </c>
      <c r="F2127" t="s">
        <v>440</v>
      </c>
      <c r="G2127" t="str">
        <f>HYPERLINK("https://ca.linkedin.com/jobs/view/data-analyst-at-frostbite-3370111856?refId=%2Blu0BBk5BgKG2th%2B%2FefTtQ%3D%3D&amp;trackingId=pJGCO34bIDnyxwTU%2FyT4%2Bg%3D%3D&amp;position=3&amp;pageNum=0&amp;trk=public_jobs_jserp-result_search-card", "Job Link")</f>
        <v>Job Link</v>
      </c>
      <c r="H2127" t="s">
        <v>479</v>
      </c>
      <c r="I2127" t="s">
        <v>481</v>
      </c>
      <c r="J2127" t="s">
        <v>507</v>
      </c>
      <c r="K2127" t="s">
        <v>559</v>
      </c>
      <c r="L2127" t="s">
        <v>590</v>
      </c>
      <c r="M2127" t="s">
        <v>618</v>
      </c>
      <c r="N2127" t="s">
        <v>601</v>
      </c>
    </row>
    <row r="2128" spans="1:14" x14ac:dyDescent="0.25">
      <c r="A2128" t="s">
        <v>14</v>
      </c>
      <c r="B2128" t="s">
        <v>211</v>
      </c>
      <c r="C2128" t="s">
        <v>366</v>
      </c>
      <c r="D2128" t="s">
        <v>426</v>
      </c>
      <c r="F2128" t="s">
        <v>443</v>
      </c>
      <c r="G2128" t="str">
        <f>HYPERLINK("https://ca.linkedin.com/jobs/view/data-analyst-at-mphasis-3363428246?refId=%2Blu0BBk5BgKG2th%2B%2FefTtQ%3D%3D&amp;trackingId=zmIDwfn2GSrfuHBW8sfYVQ%3D%3D&amp;position=4&amp;pageNum=0&amp;trk=public_jobs_jserp-result_search-card", "Job Link")</f>
        <v>Job Link</v>
      </c>
      <c r="H2128" t="s">
        <v>477</v>
      </c>
      <c r="I2128" t="s">
        <v>481</v>
      </c>
      <c r="J2128" t="s">
        <v>486</v>
      </c>
      <c r="K2128" t="s">
        <v>521</v>
      </c>
      <c r="L2128" t="s">
        <v>609</v>
      </c>
      <c r="M2128" t="s">
        <v>610</v>
      </c>
      <c r="N2128" t="s">
        <v>601</v>
      </c>
    </row>
    <row r="2129" spans="1:14" x14ac:dyDescent="0.25">
      <c r="A2129" t="s">
        <v>81</v>
      </c>
      <c r="B2129" t="s">
        <v>210</v>
      </c>
      <c r="C2129" t="s">
        <v>365</v>
      </c>
      <c r="D2129" t="s">
        <v>426</v>
      </c>
      <c r="F2129" t="s">
        <v>436</v>
      </c>
      <c r="G2129" t="str">
        <f>HYPERLINK("https://ca.linkedin.com/jobs/view/data-analyst-c117-at-mitsubishi-motor-sales-of-canada-inc-3344852931?refId=%2Blu0BBk5BgKG2th%2B%2FefTtQ%3D%3D&amp;trackingId=a5glrsjeaDSYFq0VDAHKTA%3D%3D&amp;position=5&amp;pageNum=0&amp;trk=public_jobs_jserp-result_search-card", "Job Link")</f>
        <v>Job Link</v>
      </c>
      <c r="H2129" t="s">
        <v>477</v>
      </c>
      <c r="I2129" t="s">
        <v>481</v>
      </c>
      <c r="J2129" t="s">
        <v>508</v>
      </c>
      <c r="K2129" t="s">
        <v>561</v>
      </c>
      <c r="L2129" t="s">
        <v>584</v>
      </c>
      <c r="M2129" t="s">
        <v>588</v>
      </c>
      <c r="N2129" t="s">
        <v>601</v>
      </c>
    </row>
    <row r="2130" spans="1:14" x14ac:dyDescent="0.25">
      <c r="A2130" t="s">
        <v>14</v>
      </c>
      <c r="B2130" t="s">
        <v>150</v>
      </c>
      <c r="C2130" t="s">
        <v>367</v>
      </c>
      <c r="D2130" t="s">
        <v>426</v>
      </c>
      <c r="F2130" t="s">
        <v>433</v>
      </c>
      <c r="G2130" t="str">
        <f>HYPERLINK("https://ca.linkedin.com/jobs/view/data-analyst-at-synechron-3348329085?refId=%2Blu0BBk5BgKG2th%2B%2FefTtQ%3D%3D&amp;trackingId=%2FqgkrBo1E9pPcCjt7HZyNA%3D%3D&amp;position=6&amp;pageNum=0&amp;trk=public_jobs_jserp-result_search-card", "Job Link")</f>
        <v>Job Link</v>
      </c>
      <c r="H2130" t="s">
        <v>478</v>
      </c>
      <c r="I2130" t="s">
        <v>481</v>
      </c>
      <c r="J2130" t="s">
        <v>486</v>
      </c>
      <c r="K2130" t="s">
        <v>562</v>
      </c>
      <c r="L2130" t="s">
        <v>584</v>
      </c>
      <c r="M2130" t="s">
        <v>588</v>
      </c>
      <c r="N2130" t="s">
        <v>601</v>
      </c>
    </row>
    <row r="2131" spans="1:14" x14ac:dyDescent="0.25">
      <c r="A2131" t="s">
        <v>82</v>
      </c>
      <c r="B2131" t="s">
        <v>179</v>
      </c>
      <c r="C2131" t="s">
        <v>368</v>
      </c>
      <c r="D2131" t="s">
        <v>426</v>
      </c>
      <c r="F2131" t="s">
        <v>471</v>
      </c>
      <c r="G2131" t="str">
        <f>HYPERLINK("https://ca.linkedin.com/jobs/view/business-data-analyst-at-capgemini-3327624663?refId=%2Blu0BBk5BgKG2th%2B%2FefTtQ%3D%3D&amp;trackingId=qFZu3rCs7Tc%2Bb5CE9xpZcA%3D%3D&amp;position=7&amp;pageNum=0&amp;trk=public_jobs_jserp-result_search-card", "Job Link")</f>
        <v>Job Link</v>
      </c>
      <c r="H2131" t="s">
        <v>478</v>
      </c>
      <c r="I2131" t="s">
        <v>481</v>
      </c>
      <c r="J2131" t="s">
        <v>486</v>
      </c>
      <c r="K2131" t="s">
        <v>521</v>
      </c>
      <c r="L2131" t="s">
        <v>611</v>
      </c>
      <c r="M2131" t="s">
        <v>601</v>
      </c>
    </row>
    <row r="2132" spans="1:14" x14ac:dyDescent="0.25">
      <c r="A2132" t="s">
        <v>14</v>
      </c>
      <c r="B2132" t="s">
        <v>150</v>
      </c>
      <c r="C2132" t="s">
        <v>369</v>
      </c>
      <c r="D2132" t="s">
        <v>426</v>
      </c>
      <c r="F2132" t="s">
        <v>460</v>
      </c>
      <c r="G2132" t="str">
        <f>HYPERLINK("https://ca.linkedin.com/jobs/view/data-analyst-at-synechron-3364863079?refId=%2Blu0BBk5BgKG2th%2B%2FefTtQ%3D%3D&amp;trackingId=eS05rDV9BOEITb7kBFtOAw%3D%3D&amp;position=8&amp;pageNum=0&amp;trk=public_jobs_jserp-result_search-card", "Job Link")</f>
        <v>Job Link</v>
      </c>
      <c r="H2132" t="s">
        <v>478</v>
      </c>
      <c r="I2132" t="s">
        <v>481</v>
      </c>
      <c r="J2132" t="s">
        <v>486</v>
      </c>
      <c r="K2132" t="s">
        <v>563</v>
      </c>
      <c r="L2132" t="s">
        <v>584</v>
      </c>
      <c r="M2132" t="s">
        <v>588</v>
      </c>
      <c r="N2132" t="s">
        <v>601</v>
      </c>
    </row>
    <row r="2133" spans="1:14" x14ac:dyDescent="0.25">
      <c r="A2133" t="s">
        <v>14</v>
      </c>
      <c r="B2133" t="s">
        <v>150</v>
      </c>
      <c r="C2133" t="s">
        <v>367</v>
      </c>
      <c r="D2133" t="s">
        <v>426</v>
      </c>
      <c r="F2133" t="s">
        <v>460</v>
      </c>
      <c r="G2133" t="str">
        <f>HYPERLINK("https://ca.linkedin.com/jobs/view/data-analyst-at-synechron-3361756851?refId=%2Blu0BBk5BgKG2th%2B%2FefTtQ%3D%3D&amp;trackingId=eKAtBLfYy5rYj2bLx2uR%2Fg%3D%3D&amp;position=9&amp;pageNum=0&amp;trk=public_jobs_jserp-result_search-card", "Job Link")</f>
        <v>Job Link</v>
      </c>
      <c r="H2133" t="s">
        <v>478</v>
      </c>
      <c r="I2133" t="s">
        <v>481</v>
      </c>
      <c r="J2133" t="s">
        <v>486</v>
      </c>
      <c r="K2133" t="s">
        <v>562</v>
      </c>
      <c r="L2133" t="s">
        <v>584</v>
      </c>
      <c r="M2133" t="s">
        <v>588</v>
      </c>
      <c r="N2133" t="s">
        <v>601</v>
      </c>
    </row>
    <row r="2134" spans="1:14" x14ac:dyDescent="0.25">
      <c r="A2134" t="s">
        <v>14</v>
      </c>
      <c r="B2134" t="s">
        <v>212</v>
      </c>
      <c r="C2134" t="s">
        <v>370</v>
      </c>
      <c r="D2134" t="s">
        <v>426</v>
      </c>
      <c r="F2134" t="s">
        <v>432</v>
      </c>
      <c r="G2134" t="str">
        <f>HYPERLINK("https://ca.linkedin.com/jobs/view/data-analyst-at-agilus-work-solutions-3358673093?refId=%2Blu0BBk5BgKG2th%2B%2FefTtQ%3D%3D&amp;trackingId=tLzdXDOVgokhJe32ugaXlA%3D%3D&amp;position=10&amp;pageNum=0&amp;trk=public_jobs_jserp-result_search-card", "Job Link")</f>
        <v>Job Link</v>
      </c>
      <c r="H2134" t="s">
        <v>477</v>
      </c>
      <c r="I2134" t="s">
        <v>483</v>
      </c>
      <c r="J2134" t="s">
        <v>486</v>
      </c>
      <c r="K2134" t="s">
        <v>518</v>
      </c>
      <c r="L2134" t="s">
        <v>582</v>
      </c>
      <c r="M2134" t="s">
        <v>588</v>
      </c>
      <c r="N2134" t="s">
        <v>601</v>
      </c>
    </row>
    <row r="2135" spans="1:14" x14ac:dyDescent="0.25">
      <c r="A2135" t="s">
        <v>14</v>
      </c>
      <c r="B2135" t="s">
        <v>214</v>
      </c>
      <c r="C2135" t="s">
        <v>372</v>
      </c>
      <c r="D2135" t="s">
        <v>426</v>
      </c>
      <c r="F2135" t="s">
        <v>432</v>
      </c>
      <c r="G2135" t="str">
        <f>HYPERLINK("https://ca.linkedin.com/jobs/view/data-analyst-at-goeasy-ltd-3358677253?refId=%2Blu0BBk5BgKG2th%2B%2FefTtQ%3D%3D&amp;trackingId=dQN0n81x%2FcJtQNiimBxbkg%3D%3D&amp;position=11&amp;pageNum=0&amp;trk=public_jobs_jserp-result_search-card", "Job Link")</f>
        <v>Job Link</v>
      </c>
      <c r="H2135" t="s">
        <v>476</v>
      </c>
      <c r="I2135" t="s">
        <v>481</v>
      </c>
      <c r="J2135" t="s">
        <v>486</v>
      </c>
      <c r="K2135" t="s">
        <v>550</v>
      </c>
      <c r="L2135" t="s">
        <v>584</v>
      </c>
      <c r="M2135" t="s">
        <v>588</v>
      </c>
      <c r="N2135" t="s">
        <v>601</v>
      </c>
    </row>
    <row r="2136" spans="1:14" x14ac:dyDescent="0.25">
      <c r="A2136" t="s">
        <v>14</v>
      </c>
      <c r="B2136" t="s">
        <v>213</v>
      </c>
      <c r="C2136" t="s">
        <v>371</v>
      </c>
      <c r="D2136" t="s">
        <v>426</v>
      </c>
      <c r="F2136" t="s">
        <v>472</v>
      </c>
      <c r="G2136" t="str">
        <f>HYPERLINK("https://ca.linkedin.com/jobs/view/data-analyst-at-linkus-group-3345817125?refId=%2Blu0BBk5BgKG2th%2B%2FefTtQ%3D%3D&amp;trackingId=wGwms68j3zxgs3TS9k6llA%3D%3D&amp;position=12&amp;pageNum=0&amp;trk=public_jobs_jserp-result_search-card", "Job Link")</f>
        <v>Job Link</v>
      </c>
      <c r="H2136" t="s">
        <v>476</v>
      </c>
      <c r="I2136" t="s">
        <v>481</v>
      </c>
      <c r="J2136" t="s">
        <v>486</v>
      </c>
      <c r="K2136" t="s">
        <v>518</v>
      </c>
      <c r="L2136" t="s">
        <v>588</v>
      </c>
      <c r="M2136" t="s">
        <v>601</v>
      </c>
    </row>
    <row r="2137" spans="1:14" x14ac:dyDescent="0.25">
      <c r="A2137" t="s">
        <v>83</v>
      </c>
      <c r="B2137" t="s">
        <v>215</v>
      </c>
      <c r="C2137" t="s">
        <v>373</v>
      </c>
      <c r="D2137" t="s">
        <v>426</v>
      </c>
      <c r="F2137" t="s">
        <v>462</v>
      </c>
      <c r="G2137">
        <v>0</v>
      </c>
      <c r="H2137" t="s">
        <v>478</v>
      </c>
      <c r="I2137" t="s">
        <v>483</v>
      </c>
      <c r="J2137" t="s">
        <v>509</v>
      </c>
      <c r="K2137" t="s">
        <v>550</v>
      </c>
      <c r="L2137" t="s">
        <v>584</v>
      </c>
      <c r="M2137" t="s">
        <v>588</v>
      </c>
      <c r="N2137" t="s">
        <v>601</v>
      </c>
    </row>
    <row r="2138" spans="1:14" x14ac:dyDescent="0.25">
      <c r="A2138" t="s">
        <v>91</v>
      </c>
      <c r="B2138" t="s">
        <v>224</v>
      </c>
      <c r="C2138" t="s">
        <v>384</v>
      </c>
      <c r="D2138" t="s">
        <v>426</v>
      </c>
      <c r="F2138" t="s">
        <v>431</v>
      </c>
      <c r="G2138" t="str">
        <f>HYPERLINK("https://ca.linkedin.com/jobs/view/commercial-data-analyst-at-organigram-inc-3367177254?refId=%2Blu0BBk5BgKG2th%2B%2FefTtQ%3D%3D&amp;trackingId=5oMxbI%2BnZXEBQPy7MMzcHA%3D%3D&amp;position=14&amp;pageNum=0&amp;trk=public_jobs_jserp-result_search-card", "Job Link")</f>
        <v>Job Link</v>
      </c>
      <c r="I2138" t="s">
        <v>481</v>
      </c>
      <c r="L2138" t="s">
        <v>582</v>
      </c>
      <c r="M2138" t="s">
        <v>588</v>
      </c>
      <c r="N2138" t="s">
        <v>601</v>
      </c>
    </row>
    <row r="2139" spans="1:14" x14ac:dyDescent="0.25">
      <c r="A2139" t="s">
        <v>20</v>
      </c>
      <c r="B2139" t="s">
        <v>207</v>
      </c>
      <c r="C2139" t="s">
        <v>374</v>
      </c>
      <c r="D2139" t="s">
        <v>426</v>
      </c>
      <c r="F2139" t="s">
        <v>463</v>
      </c>
      <c r="G2139" t="str">
        <f>HYPERLINK("https://ca.linkedin.com/jobs/view/senior-data-analyst-at-onlia-3320897882?refId=%2Blu0BBk5BgKG2th%2B%2FefTtQ%3D%3D&amp;trackingId=b%2FYo%2Ft6TUFo4Mji6MM5wEg%3D%3D&amp;position=15&amp;pageNum=0&amp;trk=public_jobs_jserp-result_search-card", "Job Link")</f>
        <v>Job Link</v>
      </c>
      <c r="H2139" t="s">
        <v>477</v>
      </c>
      <c r="I2139" t="s">
        <v>481</v>
      </c>
      <c r="J2139" t="s">
        <v>486</v>
      </c>
      <c r="K2139" t="s">
        <v>523</v>
      </c>
      <c r="L2139" t="s">
        <v>582</v>
      </c>
      <c r="M2139" t="s">
        <v>588</v>
      </c>
      <c r="N2139" t="s">
        <v>601</v>
      </c>
    </row>
    <row r="2140" spans="1:14" x14ac:dyDescent="0.25">
      <c r="A2140" t="s">
        <v>84</v>
      </c>
      <c r="B2140" t="s">
        <v>216</v>
      </c>
      <c r="C2140" t="s">
        <v>375</v>
      </c>
      <c r="D2140" t="s">
        <v>426</v>
      </c>
      <c r="F2140" t="s">
        <v>452</v>
      </c>
      <c r="G2140" t="str">
        <f>HYPERLINK("https://ca.linkedin.com/jobs/view/data-analyst-hybrid-at-xylem-3335088701?refId=%2Blu0BBk5BgKG2th%2B%2FefTtQ%3D%3D&amp;trackingId=oKSuycTFtkkGGGswq7IrQw%3D%3D&amp;position=16&amp;pageNum=0&amp;trk=public_jobs_jserp-result_search-card", "Job Link")</f>
        <v>Job Link</v>
      </c>
      <c r="H2140" t="s">
        <v>476</v>
      </c>
      <c r="I2140" t="s">
        <v>481</v>
      </c>
      <c r="J2140" t="s">
        <v>486</v>
      </c>
      <c r="K2140" t="s">
        <v>564</v>
      </c>
      <c r="L2140" t="s">
        <v>584</v>
      </c>
      <c r="M2140" t="s">
        <v>588</v>
      </c>
      <c r="N2140" t="s">
        <v>601</v>
      </c>
    </row>
    <row r="2141" spans="1:14" x14ac:dyDescent="0.25">
      <c r="A2141" t="s">
        <v>85</v>
      </c>
      <c r="B2141" t="s">
        <v>217</v>
      </c>
      <c r="C2141" t="s">
        <v>376</v>
      </c>
      <c r="D2141" t="s">
        <v>426</v>
      </c>
      <c r="F2141" t="s">
        <v>473</v>
      </c>
      <c r="G2141" t="str">
        <f>HYPERLINK("https://ca.linkedin.com/jobs/view/data-analyst-python-sql-at-geotab-3341823745?refId=%2Blu0BBk5BgKG2th%2B%2FefTtQ%3D%3D&amp;trackingId=ABELCtbpSY1GMcn%2BshjgZQ%3D%3D&amp;position=17&amp;pageNum=0&amp;trk=public_jobs_jserp-result_search-card", "Job Link")</f>
        <v>Job Link</v>
      </c>
      <c r="H2141" t="s">
        <v>479</v>
      </c>
      <c r="I2141" t="s">
        <v>481</v>
      </c>
      <c r="J2141" t="s">
        <v>486</v>
      </c>
      <c r="K2141" t="s">
        <v>521</v>
      </c>
      <c r="L2141" t="s">
        <v>612</v>
      </c>
      <c r="M2141" t="s">
        <v>588</v>
      </c>
      <c r="N2141" t="s">
        <v>601</v>
      </c>
    </row>
    <row r="2142" spans="1:14" x14ac:dyDescent="0.25">
      <c r="A2142" t="s">
        <v>86</v>
      </c>
      <c r="B2142" t="s">
        <v>167</v>
      </c>
      <c r="C2142" t="s">
        <v>377</v>
      </c>
      <c r="D2142" t="s">
        <v>426</v>
      </c>
      <c r="F2142" t="s">
        <v>454</v>
      </c>
      <c r="G2142" t="str">
        <f>HYPERLINK("https://ca.linkedin.com/jobs/view/data-analyst-reporting-at-thescore-3345941286?refId=%2Blu0BBk5BgKG2th%2B%2FefTtQ%3D%3D&amp;trackingId=1gbQFobOhuTfzSBlZGiMcQ%3D%3D&amp;position=18&amp;pageNum=0&amp;trk=public_jobs_jserp-result_search-card", "Job Link")</f>
        <v>Job Link</v>
      </c>
      <c r="H2142" t="s">
        <v>476</v>
      </c>
      <c r="I2142" t="s">
        <v>481</v>
      </c>
      <c r="J2142" t="s">
        <v>486</v>
      </c>
      <c r="K2142" t="s">
        <v>545</v>
      </c>
      <c r="L2142" t="s">
        <v>582</v>
      </c>
      <c r="M2142" t="s">
        <v>588</v>
      </c>
      <c r="N2142" t="s">
        <v>601</v>
      </c>
    </row>
    <row r="2143" spans="1:14" x14ac:dyDescent="0.25">
      <c r="A2143" t="s">
        <v>87</v>
      </c>
      <c r="B2143" t="s">
        <v>218</v>
      </c>
      <c r="C2143" t="s">
        <v>378</v>
      </c>
      <c r="D2143" t="s">
        <v>426</v>
      </c>
      <c r="F2143" t="s">
        <v>432</v>
      </c>
      <c r="G2143">
        <v>0</v>
      </c>
      <c r="H2143" t="s">
        <v>478</v>
      </c>
      <c r="I2143" t="s">
        <v>483</v>
      </c>
      <c r="J2143" t="s">
        <v>486</v>
      </c>
      <c r="K2143" t="s">
        <v>521</v>
      </c>
      <c r="L2143" t="s">
        <v>582</v>
      </c>
      <c r="M2143" t="s">
        <v>588</v>
      </c>
      <c r="N2143" t="s">
        <v>601</v>
      </c>
    </row>
    <row r="2144" spans="1:14" x14ac:dyDescent="0.25">
      <c r="A2144" t="s">
        <v>90</v>
      </c>
      <c r="B2144" t="s">
        <v>223</v>
      </c>
      <c r="C2144" t="s">
        <v>383</v>
      </c>
      <c r="D2144" t="s">
        <v>426</v>
      </c>
      <c r="F2144" t="s">
        <v>443</v>
      </c>
      <c r="G2144" t="str">
        <f>HYPERLINK("https://ca.linkedin.com/jobs/view/data-administrator-data-analyst-at-hays-3369576413?refId=%2Blu0BBk5BgKG2th%2B%2FefTtQ%3D%3D&amp;trackingId=mh7WlxVSJ1A1t%2F3sjS0Qaw%3D%3D&amp;position=20&amp;pageNum=0&amp;trk=public_jobs_jserp-result_search-card", "Job Link")</f>
        <v>Job Link</v>
      </c>
      <c r="H2144" t="s">
        <v>478</v>
      </c>
      <c r="I2144" t="s">
        <v>481</v>
      </c>
      <c r="J2144" t="s">
        <v>486</v>
      </c>
      <c r="K2144" t="s">
        <v>518</v>
      </c>
      <c r="L2144" t="s">
        <v>583</v>
      </c>
      <c r="M2144" t="s">
        <v>610</v>
      </c>
      <c r="N2144" t="s">
        <v>601</v>
      </c>
    </row>
    <row r="2145" spans="1:14" x14ac:dyDescent="0.25">
      <c r="A2145" t="s">
        <v>88</v>
      </c>
      <c r="B2145" t="s">
        <v>219</v>
      </c>
      <c r="C2145" t="s">
        <v>379</v>
      </c>
      <c r="D2145" t="s">
        <v>426</v>
      </c>
      <c r="F2145" t="s">
        <v>454</v>
      </c>
      <c r="G2145" t="str">
        <f>HYPERLINK("https://ca.linkedin.com/jobs/view/data-analyst-flight-pricing-optimization-at-priceline-3345993633?refId=%2Blu0BBk5BgKG2th%2B%2FefTtQ%3D%3D&amp;trackingId=aY44dyLL8ZmG22u5f9Ygww%3D%3D&amp;position=21&amp;pageNum=0&amp;trk=public_jobs_jserp-result_search-card", "Job Link")</f>
        <v>Job Link</v>
      </c>
      <c r="H2145" t="s">
        <v>476</v>
      </c>
      <c r="I2145" t="s">
        <v>481</v>
      </c>
      <c r="J2145" t="s">
        <v>486</v>
      </c>
      <c r="K2145" t="s">
        <v>565</v>
      </c>
      <c r="L2145" t="s">
        <v>582</v>
      </c>
      <c r="M2145" t="s">
        <v>588</v>
      </c>
      <c r="N2145" t="s">
        <v>601</v>
      </c>
    </row>
    <row r="2146" spans="1:14" x14ac:dyDescent="0.25">
      <c r="A2146" t="s">
        <v>14</v>
      </c>
      <c r="B2146" t="s">
        <v>222</v>
      </c>
      <c r="C2146" t="s">
        <v>382</v>
      </c>
      <c r="D2146" t="s">
        <v>426</v>
      </c>
      <c r="F2146" t="s">
        <v>431</v>
      </c>
      <c r="G2146" t="str">
        <f>HYPERLINK("https://ca.linkedin.com/jobs/view/data-analyst-at-circle-k-3367192655?refId=%2Blu0BBk5BgKG2th%2B%2FefTtQ%3D%3D&amp;trackingId=CmXbv5hE6mtDuiqVDfGzmQ%3D%3D&amp;position=22&amp;pageNum=0&amp;trk=public_jobs_jserp-result_search-card", "Job Link")</f>
        <v>Job Link</v>
      </c>
      <c r="H2146" t="s">
        <v>476</v>
      </c>
      <c r="I2146" t="s">
        <v>481</v>
      </c>
      <c r="J2146" t="s">
        <v>486</v>
      </c>
      <c r="K2146" t="s">
        <v>567</v>
      </c>
      <c r="L2146" t="s">
        <v>582</v>
      </c>
      <c r="M2146" t="s">
        <v>588</v>
      </c>
      <c r="N2146" t="s">
        <v>601</v>
      </c>
    </row>
    <row r="2147" spans="1:14" x14ac:dyDescent="0.25">
      <c r="A2147" t="s">
        <v>89</v>
      </c>
      <c r="B2147" t="s">
        <v>221</v>
      </c>
      <c r="C2147" t="s">
        <v>381</v>
      </c>
      <c r="D2147" t="s">
        <v>426</v>
      </c>
      <c r="F2147" t="s">
        <v>461</v>
      </c>
      <c r="G2147">
        <v>0</v>
      </c>
      <c r="H2147" t="s">
        <v>476</v>
      </c>
      <c r="I2147" t="s">
        <v>481</v>
      </c>
      <c r="J2147" t="s">
        <v>488</v>
      </c>
      <c r="K2147" t="s">
        <v>566</v>
      </c>
      <c r="L2147" t="s">
        <v>582</v>
      </c>
      <c r="M2147" t="s">
        <v>588</v>
      </c>
      <c r="N2147" t="s">
        <v>601</v>
      </c>
    </row>
    <row r="2148" spans="1:14" x14ac:dyDescent="0.25">
      <c r="A2148" t="s">
        <v>14</v>
      </c>
      <c r="B2148" t="s">
        <v>225</v>
      </c>
      <c r="C2148" t="s">
        <v>385</v>
      </c>
      <c r="D2148" t="s">
        <v>426</v>
      </c>
      <c r="F2148" t="s">
        <v>463</v>
      </c>
      <c r="G2148" t="str">
        <f>HYPERLINK("https://ca.linkedin.com/jobs/view/data-analyst-at-vector-institute-3325395506?refId=%2Blu0BBk5BgKG2th%2B%2FefTtQ%3D%3D&amp;trackingId=93wgokNAfB0WBqnbo6ECQg%3D%3D&amp;position=24&amp;pageNum=0&amp;trk=public_jobs_jserp-result_search-card", "Job Link")</f>
        <v>Job Link</v>
      </c>
      <c r="H2148" t="s">
        <v>478</v>
      </c>
      <c r="I2148" t="s">
        <v>481</v>
      </c>
      <c r="J2148" t="s">
        <v>486</v>
      </c>
      <c r="K2148" t="s">
        <v>520</v>
      </c>
      <c r="L2148" t="s">
        <v>582</v>
      </c>
      <c r="M2148" t="s">
        <v>588</v>
      </c>
      <c r="N2148" t="s">
        <v>601</v>
      </c>
    </row>
    <row r="2149" spans="1:14" x14ac:dyDescent="0.25">
      <c r="A2149" t="s">
        <v>14</v>
      </c>
      <c r="B2149" t="s">
        <v>226</v>
      </c>
      <c r="C2149" t="s">
        <v>386</v>
      </c>
      <c r="D2149" t="s">
        <v>426</v>
      </c>
      <c r="F2149" t="s">
        <v>474</v>
      </c>
      <c r="G2149" t="str">
        <f>HYPERLINK("https://ca.linkedin.com/jobs/view/data-analyst-at-gsl-group-3334387645?refId=%2Blu0BBk5BgKG2th%2B%2FefTtQ%3D%3D&amp;trackingId=z6UCDMCgxWozBvIh115mpA%3D%3D&amp;position=25&amp;pageNum=0&amp;trk=public_jobs_jserp-result_search-card", "Job Link")</f>
        <v>Job Link</v>
      </c>
      <c r="H2149" t="s">
        <v>476</v>
      </c>
      <c r="I2149" t="s">
        <v>481</v>
      </c>
      <c r="J2149" t="s">
        <v>486</v>
      </c>
      <c r="K2149" t="s">
        <v>568</v>
      </c>
      <c r="L2149" t="s">
        <v>590</v>
      </c>
      <c r="M2149" t="s">
        <v>618</v>
      </c>
      <c r="N2149" t="s">
        <v>601</v>
      </c>
    </row>
    <row r="2150" spans="1:14" x14ac:dyDescent="0.25">
      <c r="A2150" t="s">
        <v>14</v>
      </c>
      <c r="B2150" t="s">
        <v>207</v>
      </c>
      <c r="C2150" t="s">
        <v>362</v>
      </c>
      <c r="D2150" t="s">
        <v>426</v>
      </c>
      <c r="F2150" t="s">
        <v>463</v>
      </c>
      <c r="G2150" t="str">
        <f>HYPERLINK("https://ca.linkedin.com/jobs/view/data-analyst-at-onlia-3320897897?refId=bJ5BHHFvdKwmXrMJwY6Cbw%3D%3D&amp;trackingId=dIuMdO7KRX0wmB0KrMDNyg%3D%3D&amp;position=1&amp;pageNum=0&amp;trk=public_jobs_jserp-result_search-card", "Job Link")</f>
        <v>Job Link</v>
      </c>
      <c r="H2150" t="s">
        <v>477</v>
      </c>
      <c r="I2150" t="s">
        <v>481</v>
      </c>
      <c r="J2150" t="s">
        <v>486</v>
      </c>
      <c r="K2150" t="s">
        <v>523</v>
      </c>
      <c r="L2150" t="s">
        <v>582</v>
      </c>
      <c r="M2150" t="s">
        <v>588</v>
      </c>
      <c r="N2150" t="s">
        <v>601</v>
      </c>
    </row>
    <row r="2151" spans="1:14" x14ac:dyDescent="0.25">
      <c r="A2151" t="s">
        <v>14</v>
      </c>
      <c r="B2151" t="s">
        <v>208</v>
      </c>
      <c r="C2151" t="s">
        <v>363</v>
      </c>
      <c r="D2151" t="s">
        <v>426</v>
      </c>
      <c r="F2151" t="s">
        <v>445</v>
      </c>
      <c r="G2151" t="str">
        <f>HYPERLINK("https://ca.linkedin.com/jobs/view/data-analyst-at-electronic-arts-ea-3325611825?refId=bJ5BHHFvdKwmXrMJwY6Cbw%3D%3D&amp;trackingId=uZE2Z2%2FI0kszArbGXwFvnA%3D%3D&amp;position=2&amp;pageNum=0&amp;trk=public_jobs_jserp-result_search-card", "Job Link")</f>
        <v>Job Link</v>
      </c>
      <c r="H2151" t="s">
        <v>479</v>
      </c>
      <c r="I2151" t="s">
        <v>481</v>
      </c>
      <c r="J2151" t="s">
        <v>507</v>
      </c>
      <c r="K2151" t="s">
        <v>559</v>
      </c>
      <c r="L2151" t="s">
        <v>582</v>
      </c>
      <c r="M2151" t="s">
        <v>588</v>
      </c>
      <c r="N2151" t="s">
        <v>601</v>
      </c>
    </row>
    <row r="2152" spans="1:14" x14ac:dyDescent="0.25">
      <c r="A2152" t="s">
        <v>14</v>
      </c>
      <c r="B2152" t="s">
        <v>209</v>
      </c>
      <c r="C2152" t="s">
        <v>284</v>
      </c>
      <c r="D2152" t="s">
        <v>426</v>
      </c>
      <c r="F2152" t="s">
        <v>440</v>
      </c>
      <c r="G2152" t="str">
        <f>HYPERLINK("https://ca.linkedin.com/jobs/view/data-analyst-at-frostbite-3370111856?refId=bJ5BHHFvdKwmXrMJwY6Cbw%3D%3D&amp;trackingId=AiaCq3WF3BiSdpUaMy5aPw%3D%3D&amp;position=3&amp;pageNum=0&amp;trk=public_jobs_jserp-result_search-card", "Job Link")</f>
        <v>Job Link</v>
      </c>
      <c r="L2152" t="s">
        <v>590</v>
      </c>
      <c r="M2152" t="s">
        <v>618</v>
      </c>
      <c r="N2152" t="s">
        <v>601</v>
      </c>
    </row>
    <row r="2153" spans="1:14" x14ac:dyDescent="0.25">
      <c r="A2153" t="s">
        <v>14</v>
      </c>
      <c r="B2153" t="s">
        <v>211</v>
      </c>
      <c r="C2153" t="s">
        <v>366</v>
      </c>
      <c r="D2153" t="s">
        <v>426</v>
      </c>
      <c r="F2153" t="s">
        <v>443</v>
      </c>
      <c r="G2153" t="str">
        <f>HYPERLINK("https://ca.linkedin.com/jobs/view/data-analyst-at-mphasis-3363428246?refId=bJ5BHHFvdKwmXrMJwY6Cbw%3D%3D&amp;trackingId=4PItAIo0Igjc8NjvDqfVUA%3D%3D&amp;position=4&amp;pageNum=0&amp;trk=public_jobs_jserp-result_search-card", "Job Link")</f>
        <v>Job Link</v>
      </c>
      <c r="H2153" t="s">
        <v>477</v>
      </c>
      <c r="I2153" t="s">
        <v>481</v>
      </c>
      <c r="J2153" t="s">
        <v>486</v>
      </c>
      <c r="K2153" t="s">
        <v>521</v>
      </c>
      <c r="L2153" t="s">
        <v>609</v>
      </c>
      <c r="M2153" t="s">
        <v>610</v>
      </c>
      <c r="N2153" t="s">
        <v>601</v>
      </c>
    </row>
    <row r="2154" spans="1:14" x14ac:dyDescent="0.25">
      <c r="A2154" t="s">
        <v>81</v>
      </c>
      <c r="B2154" t="s">
        <v>210</v>
      </c>
      <c r="C2154" t="s">
        <v>365</v>
      </c>
      <c r="D2154" t="s">
        <v>426</v>
      </c>
      <c r="F2154" t="s">
        <v>436</v>
      </c>
      <c r="G2154" t="str">
        <f>HYPERLINK("https://ca.linkedin.com/jobs/view/data-analyst-c117-at-mitsubishi-motor-sales-of-canada-inc-3344852931?refId=bJ5BHHFvdKwmXrMJwY6Cbw%3D%3D&amp;trackingId=PqclSZKYy1Bjcte1Nw4ZhA%3D%3D&amp;position=5&amp;pageNum=0&amp;trk=public_jobs_jserp-result_search-card", "Job Link")</f>
        <v>Job Link</v>
      </c>
      <c r="H2154" t="s">
        <v>477</v>
      </c>
      <c r="I2154" t="s">
        <v>481</v>
      </c>
      <c r="J2154" t="s">
        <v>508</v>
      </c>
      <c r="K2154" t="s">
        <v>561</v>
      </c>
      <c r="L2154" t="s">
        <v>584</v>
      </c>
      <c r="M2154" t="s">
        <v>588</v>
      </c>
      <c r="N2154" t="s">
        <v>601</v>
      </c>
    </row>
    <row r="2155" spans="1:14" x14ac:dyDescent="0.25">
      <c r="A2155" t="s">
        <v>14</v>
      </c>
      <c r="B2155" t="s">
        <v>150</v>
      </c>
      <c r="C2155" t="s">
        <v>367</v>
      </c>
      <c r="D2155" t="s">
        <v>426</v>
      </c>
      <c r="F2155" t="s">
        <v>433</v>
      </c>
      <c r="G2155" t="str">
        <f>HYPERLINK("https://ca.linkedin.com/jobs/view/data-analyst-at-synechron-3348329085?refId=bJ5BHHFvdKwmXrMJwY6Cbw%3D%3D&amp;trackingId=wLiW96j%2FYI8VyKBFYfOB1g%3D%3D&amp;position=6&amp;pageNum=0&amp;trk=public_jobs_jserp-result_search-card", "Job Link")</f>
        <v>Job Link</v>
      </c>
      <c r="H2155" t="s">
        <v>478</v>
      </c>
      <c r="I2155" t="s">
        <v>481</v>
      </c>
      <c r="J2155" t="s">
        <v>486</v>
      </c>
      <c r="K2155" t="s">
        <v>562</v>
      </c>
      <c r="L2155" t="s">
        <v>584</v>
      </c>
      <c r="M2155" t="s">
        <v>588</v>
      </c>
      <c r="N2155" t="s">
        <v>601</v>
      </c>
    </row>
    <row r="2156" spans="1:14" x14ac:dyDescent="0.25">
      <c r="A2156" t="s">
        <v>82</v>
      </c>
      <c r="B2156" t="s">
        <v>179</v>
      </c>
      <c r="C2156" t="s">
        <v>368</v>
      </c>
      <c r="D2156" t="s">
        <v>426</v>
      </c>
      <c r="F2156" t="s">
        <v>471</v>
      </c>
      <c r="G2156" t="str">
        <f>HYPERLINK("https://ca.linkedin.com/jobs/view/business-data-analyst-at-capgemini-3327624663?refId=bJ5BHHFvdKwmXrMJwY6Cbw%3D%3D&amp;trackingId=4DZnzRylUyWcDVyKuOZvJw%3D%3D&amp;position=7&amp;pageNum=0&amp;trk=public_jobs_jserp-result_search-card", "Job Link")</f>
        <v>Job Link</v>
      </c>
      <c r="H2156" t="s">
        <v>478</v>
      </c>
      <c r="I2156" t="s">
        <v>481</v>
      </c>
      <c r="J2156" t="s">
        <v>486</v>
      </c>
      <c r="K2156" t="s">
        <v>521</v>
      </c>
      <c r="L2156" t="s">
        <v>611</v>
      </c>
      <c r="M2156" t="s">
        <v>601</v>
      </c>
    </row>
    <row r="2157" spans="1:14" x14ac:dyDescent="0.25">
      <c r="A2157" t="s">
        <v>14</v>
      </c>
      <c r="B2157" t="s">
        <v>212</v>
      </c>
      <c r="C2157" t="s">
        <v>370</v>
      </c>
      <c r="D2157" t="s">
        <v>426</v>
      </c>
      <c r="F2157" t="s">
        <v>432</v>
      </c>
      <c r="G2157" t="str">
        <f>HYPERLINK("https://ca.linkedin.com/jobs/view/data-analyst-at-agilus-work-solutions-3358673093?refId=bJ5BHHFvdKwmXrMJwY6Cbw%3D%3D&amp;trackingId=SyGSvlSz5wdvjT%2F9lm1YGA%3D%3D&amp;position=8&amp;pageNum=0&amp;trk=public_jobs_jserp-result_search-card", "Job Link")</f>
        <v>Job Link</v>
      </c>
      <c r="H2157" t="s">
        <v>477</v>
      </c>
      <c r="I2157" t="s">
        <v>483</v>
      </c>
      <c r="J2157" t="s">
        <v>486</v>
      </c>
      <c r="K2157" t="s">
        <v>518</v>
      </c>
      <c r="L2157" t="s">
        <v>582</v>
      </c>
      <c r="M2157" t="s">
        <v>588</v>
      </c>
      <c r="N2157" t="s">
        <v>601</v>
      </c>
    </row>
    <row r="2158" spans="1:14" x14ac:dyDescent="0.25">
      <c r="A2158" t="s">
        <v>14</v>
      </c>
      <c r="B2158" t="s">
        <v>150</v>
      </c>
      <c r="C2158" t="s">
        <v>369</v>
      </c>
      <c r="D2158" t="s">
        <v>426</v>
      </c>
      <c r="F2158" t="s">
        <v>460</v>
      </c>
      <c r="G2158" t="str">
        <f>HYPERLINK("https://ca.linkedin.com/jobs/view/data-analyst-at-synechron-3364863079?refId=bJ5BHHFvdKwmXrMJwY6Cbw%3D%3D&amp;trackingId=V2O3eYWJjV3QqF%2BW6WoU2A%3D%3D&amp;position=9&amp;pageNum=0&amp;trk=public_jobs_jserp-result_search-card", "Job Link")</f>
        <v>Job Link</v>
      </c>
      <c r="H2158" t="s">
        <v>478</v>
      </c>
      <c r="I2158" t="s">
        <v>481</v>
      </c>
      <c r="J2158" t="s">
        <v>486</v>
      </c>
      <c r="K2158" t="s">
        <v>563</v>
      </c>
      <c r="L2158" t="s">
        <v>584</v>
      </c>
      <c r="M2158" t="s">
        <v>588</v>
      </c>
      <c r="N2158" t="s">
        <v>601</v>
      </c>
    </row>
    <row r="2159" spans="1:14" x14ac:dyDescent="0.25">
      <c r="A2159" t="s">
        <v>14</v>
      </c>
      <c r="B2159" t="s">
        <v>150</v>
      </c>
      <c r="C2159" t="s">
        <v>367</v>
      </c>
      <c r="D2159" t="s">
        <v>426</v>
      </c>
      <c r="F2159" t="s">
        <v>460</v>
      </c>
      <c r="G2159" t="str">
        <f>HYPERLINK("https://ca.linkedin.com/jobs/view/data-analyst-at-synechron-3361756851?refId=bJ5BHHFvdKwmXrMJwY6Cbw%3D%3D&amp;trackingId=A%2BCYFOdkOJ0QwmR01zragg%3D%3D&amp;position=10&amp;pageNum=0&amp;trk=public_jobs_jserp-result_search-card", "Job Link")</f>
        <v>Job Link</v>
      </c>
      <c r="H2159" t="s">
        <v>478</v>
      </c>
      <c r="I2159" t="s">
        <v>481</v>
      </c>
      <c r="J2159" t="s">
        <v>486</v>
      </c>
      <c r="K2159" t="s">
        <v>562</v>
      </c>
      <c r="L2159" t="s">
        <v>584</v>
      </c>
      <c r="M2159" t="s">
        <v>588</v>
      </c>
      <c r="N2159" t="s">
        <v>601</v>
      </c>
    </row>
    <row r="2160" spans="1:14" x14ac:dyDescent="0.25">
      <c r="A2160" t="s">
        <v>14</v>
      </c>
      <c r="B2160" t="s">
        <v>213</v>
      </c>
      <c r="C2160" t="s">
        <v>371</v>
      </c>
      <c r="D2160" t="s">
        <v>426</v>
      </c>
      <c r="F2160" t="s">
        <v>472</v>
      </c>
      <c r="G2160" t="str">
        <f>HYPERLINK("https://ca.linkedin.com/jobs/view/data-analyst-at-linkus-group-3345817125?refId=bJ5BHHFvdKwmXrMJwY6Cbw%3D%3D&amp;trackingId=%2BtkqPJcLyHaMqdn%2BVQgPmQ%3D%3D&amp;position=11&amp;pageNum=0&amp;trk=public_jobs_jserp-result_search-card", "Job Link")</f>
        <v>Job Link</v>
      </c>
      <c r="H2160" t="s">
        <v>476</v>
      </c>
      <c r="I2160" t="s">
        <v>481</v>
      </c>
      <c r="J2160" t="s">
        <v>486</v>
      </c>
      <c r="K2160" t="s">
        <v>518</v>
      </c>
      <c r="L2160" t="s">
        <v>588</v>
      </c>
      <c r="M2160" t="s">
        <v>601</v>
      </c>
    </row>
    <row r="2161" spans="1:14" x14ac:dyDescent="0.25">
      <c r="A2161" t="s">
        <v>14</v>
      </c>
      <c r="B2161" t="s">
        <v>214</v>
      </c>
      <c r="C2161" t="s">
        <v>372</v>
      </c>
      <c r="D2161" t="s">
        <v>426</v>
      </c>
      <c r="F2161" t="s">
        <v>432</v>
      </c>
      <c r="G2161" t="str">
        <f>HYPERLINK("https://ca.linkedin.com/jobs/view/data-analyst-at-goeasy-ltd-3358677253?refId=bJ5BHHFvdKwmXrMJwY6Cbw%3D%3D&amp;trackingId=%2F6bKly7opevd5qB84pwU8A%3D%3D&amp;position=12&amp;pageNum=0&amp;trk=public_jobs_jserp-result_search-card", "Job Link")</f>
        <v>Job Link</v>
      </c>
      <c r="H2161" t="s">
        <v>476</v>
      </c>
      <c r="I2161" t="s">
        <v>481</v>
      </c>
      <c r="J2161" t="s">
        <v>486</v>
      </c>
      <c r="K2161" t="s">
        <v>550</v>
      </c>
      <c r="L2161" t="s">
        <v>584</v>
      </c>
      <c r="M2161" t="s">
        <v>588</v>
      </c>
      <c r="N2161" t="s">
        <v>601</v>
      </c>
    </row>
    <row r="2162" spans="1:14" x14ac:dyDescent="0.25">
      <c r="A2162" t="s">
        <v>83</v>
      </c>
      <c r="B2162" t="s">
        <v>215</v>
      </c>
      <c r="C2162" t="s">
        <v>373</v>
      </c>
      <c r="D2162" t="s">
        <v>426</v>
      </c>
      <c r="F2162" t="s">
        <v>462</v>
      </c>
      <c r="G2162">
        <v>0</v>
      </c>
      <c r="H2162" t="s">
        <v>478</v>
      </c>
      <c r="I2162" t="s">
        <v>483</v>
      </c>
      <c r="J2162" t="s">
        <v>509</v>
      </c>
      <c r="K2162" t="s">
        <v>550</v>
      </c>
      <c r="L2162" t="s">
        <v>584</v>
      </c>
      <c r="M2162" t="s">
        <v>588</v>
      </c>
      <c r="N2162" t="s">
        <v>601</v>
      </c>
    </row>
    <row r="2163" spans="1:14" x14ac:dyDescent="0.25">
      <c r="A2163" t="s">
        <v>91</v>
      </c>
      <c r="B2163" t="s">
        <v>224</v>
      </c>
      <c r="C2163" t="s">
        <v>384</v>
      </c>
      <c r="D2163" t="s">
        <v>426</v>
      </c>
      <c r="F2163" t="s">
        <v>431</v>
      </c>
      <c r="G2163" t="str">
        <f>HYPERLINK("https://ca.linkedin.com/jobs/view/commercial-data-analyst-at-organigram-inc-3367177254?refId=bJ5BHHFvdKwmXrMJwY6Cbw%3D%3D&amp;trackingId=lHppVkpbxBIIl9Z%2B5jQ99w%3D%3D&amp;position=14&amp;pageNum=0&amp;trk=public_jobs_jserp-result_search-card", "Job Link")</f>
        <v>Job Link</v>
      </c>
      <c r="I2163" t="s">
        <v>481</v>
      </c>
      <c r="L2163" t="s">
        <v>582</v>
      </c>
      <c r="M2163" t="s">
        <v>588</v>
      </c>
      <c r="N2163" t="s">
        <v>601</v>
      </c>
    </row>
    <row r="2164" spans="1:14" x14ac:dyDescent="0.25">
      <c r="A2164" t="s">
        <v>20</v>
      </c>
      <c r="B2164" t="s">
        <v>207</v>
      </c>
      <c r="C2164" t="s">
        <v>374</v>
      </c>
      <c r="D2164" t="s">
        <v>426</v>
      </c>
      <c r="F2164" t="s">
        <v>463</v>
      </c>
      <c r="G2164" t="str">
        <f>HYPERLINK("https://ca.linkedin.com/jobs/view/senior-data-analyst-at-onlia-3320897882?refId=bJ5BHHFvdKwmXrMJwY6Cbw%3D%3D&amp;trackingId=OlLcvScH%2F5Jf0MbkbMxNlQ%3D%3D&amp;position=15&amp;pageNum=0&amp;trk=public_jobs_jserp-result_search-card", "Job Link")</f>
        <v>Job Link</v>
      </c>
      <c r="H2164" t="s">
        <v>477</v>
      </c>
      <c r="I2164" t="s">
        <v>481</v>
      </c>
      <c r="J2164" t="s">
        <v>486</v>
      </c>
      <c r="K2164" t="s">
        <v>523</v>
      </c>
      <c r="L2164" t="s">
        <v>582</v>
      </c>
      <c r="M2164" t="s">
        <v>588</v>
      </c>
      <c r="N2164" t="s">
        <v>601</v>
      </c>
    </row>
    <row r="2165" spans="1:14" x14ac:dyDescent="0.25">
      <c r="A2165" t="s">
        <v>84</v>
      </c>
      <c r="B2165" t="s">
        <v>216</v>
      </c>
      <c r="C2165" t="s">
        <v>375</v>
      </c>
      <c r="D2165" t="s">
        <v>426</v>
      </c>
      <c r="F2165" t="s">
        <v>452</v>
      </c>
      <c r="G2165" t="str">
        <f>HYPERLINK("https://ca.linkedin.com/jobs/view/data-analyst-hybrid-at-xylem-3335088701?refId=bJ5BHHFvdKwmXrMJwY6Cbw%3D%3D&amp;trackingId=7XpB4N68ZVJWgnGZg%2BlI8Q%3D%3D&amp;position=16&amp;pageNum=0&amp;trk=public_jobs_jserp-result_search-card", "Job Link")</f>
        <v>Job Link</v>
      </c>
      <c r="H2165" t="s">
        <v>476</v>
      </c>
      <c r="I2165" t="s">
        <v>481</v>
      </c>
      <c r="J2165" t="s">
        <v>486</v>
      </c>
      <c r="K2165" t="s">
        <v>564</v>
      </c>
      <c r="L2165" t="s">
        <v>584</v>
      </c>
      <c r="M2165" t="s">
        <v>588</v>
      </c>
      <c r="N2165" t="s">
        <v>601</v>
      </c>
    </row>
    <row r="2166" spans="1:14" x14ac:dyDescent="0.25">
      <c r="A2166" t="s">
        <v>85</v>
      </c>
      <c r="B2166" t="s">
        <v>217</v>
      </c>
      <c r="C2166" t="s">
        <v>376</v>
      </c>
      <c r="D2166" t="s">
        <v>426</v>
      </c>
      <c r="F2166" t="s">
        <v>473</v>
      </c>
      <c r="G2166" t="str">
        <f>HYPERLINK("https://ca.linkedin.com/jobs/view/data-analyst-python-sql-at-geotab-3341823745?refId=bJ5BHHFvdKwmXrMJwY6Cbw%3D%3D&amp;trackingId=04BLHMXEGp8Kffgw7yR%2BEw%3D%3D&amp;position=17&amp;pageNum=0&amp;trk=public_jobs_jserp-result_search-card", "Job Link")</f>
        <v>Job Link</v>
      </c>
      <c r="H2166" t="s">
        <v>479</v>
      </c>
      <c r="I2166" t="s">
        <v>481</v>
      </c>
      <c r="J2166" t="s">
        <v>486</v>
      </c>
      <c r="K2166" t="s">
        <v>521</v>
      </c>
      <c r="L2166" t="s">
        <v>612</v>
      </c>
      <c r="M2166" t="s">
        <v>588</v>
      </c>
      <c r="N2166" t="s">
        <v>601</v>
      </c>
    </row>
    <row r="2167" spans="1:14" x14ac:dyDescent="0.25">
      <c r="A2167" t="s">
        <v>86</v>
      </c>
      <c r="B2167" t="s">
        <v>167</v>
      </c>
      <c r="C2167" t="s">
        <v>377</v>
      </c>
      <c r="D2167" t="s">
        <v>426</v>
      </c>
      <c r="F2167" t="s">
        <v>454</v>
      </c>
      <c r="G2167" t="str">
        <f>HYPERLINK("https://ca.linkedin.com/jobs/view/data-analyst-reporting-at-thescore-3345941286?refId=bJ5BHHFvdKwmXrMJwY6Cbw%3D%3D&amp;trackingId=dFhs235W4gSVZ1iPW8yEzQ%3D%3D&amp;position=18&amp;pageNum=0&amp;trk=public_jobs_jserp-result_search-card", "Job Link")</f>
        <v>Job Link</v>
      </c>
      <c r="H2167" t="s">
        <v>476</v>
      </c>
      <c r="I2167" t="s">
        <v>481</v>
      </c>
      <c r="J2167" t="s">
        <v>486</v>
      </c>
      <c r="K2167" t="s">
        <v>545</v>
      </c>
      <c r="L2167" t="s">
        <v>582</v>
      </c>
      <c r="M2167" t="s">
        <v>588</v>
      </c>
      <c r="N2167" t="s">
        <v>601</v>
      </c>
    </row>
    <row r="2168" spans="1:14" x14ac:dyDescent="0.25">
      <c r="A2168" t="s">
        <v>87</v>
      </c>
      <c r="B2168" t="s">
        <v>218</v>
      </c>
      <c r="C2168" t="s">
        <v>378</v>
      </c>
      <c r="D2168" t="s">
        <v>426</v>
      </c>
      <c r="F2168" t="s">
        <v>432</v>
      </c>
      <c r="G2168">
        <v>0</v>
      </c>
      <c r="H2168" t="s">
        <v>478</v>
      </c>
      <c r="I2168" t="s">
        <v>483</v>
      </c>
      <c r="J2168" t="s">
        <v>486</v>
      </c>
      <c r="K2168" t="s">
        <v>521</v>
      </c>
      <c r="L2168" t="s">
        <v>582</v>
      </c>
      <c r="M2168" t="s">
        <v>588</v>
      </c>
      <c r="N2168" t="s">
        <v>601</v>
      </c>
    </row>
    <row r="2169" spans="1:14" x14ac:dyDescent="0.25">
      <c r="A2169" t="s">
        <v>90</v>
      </c>
      <c r="B2169" t="s">
        <v>223</v>
      </c>
      <c r="C2169" t="s">
        <v>383</v>
      </c>
      <c r="D2169" t="s">
        <v>426</v>
      </c>
      <c r="F2169" t="s">
        <v>443</v>
      </c>
      <c r="G2169" t="str">
        <f>HYPERLINK("https://ca.linkedin.com/jobs/view/data-administrator-data-analyst-at-hays-3369576413?refId=bJ5BHHFvdKwmXrMJwY6Cbw%3D%3D&amp;trackingId=yJ3BybhKxpXIQtHldYIKDg%3D%3D&amp;position=20&amp;pageNum=0&amp;trk=public_jobs_jserp-result_search-card", "Job Link")</f>
        <v>Job Link</v>
      </c>
      <c r="H2169" t="s">
        <v>478</v>
      </c>
      <c r="I2169" t="s">
        <v>481</v>
      </c>
      <c r="J2169" t="s">
        <v>486</v>
      </c>
      <c r="K2169" t="s">
        <v>518</v>
      </c>
      <c r="L2169" t="s">
        <v>583</v>
      </c>
      <c r="M2169" t="s">
        <v>610</v>
      </c>
      <c r="N2169" t="s">
        <v>601</v>
      </c>
    </row>
    <row r="2170" spans="1:14" x14ac:dyDescent="0.25">
      <c r="A2170" t="s">
        <v>88</v>
      </c>
      <c r="B2170" t="s">
        <v>219</v>
      </c>
      <c r="C2170" t="s">
        <v>379</v>
      </c>
      <c r="D2170" t="s">
        <v>426</v>
      </c>
      <c r="F2170" t="s">
        <v>454</v>
      </c>
      <c r="G2170" t="str">
        <f>HYPERLINK("https://ca.linkedin.com/jobs/view/data-analyst-flight-pricing-optimization-at-priceline-3345993633?refId=bJ5BHHFvdKwmXrMJwY6Cbw%3D%3D&amp;trackingId=btBePWFc97ILY3lhX9ivVA%3D%3D&amp;position=21&amp;pageNum=0&amp;trk=public_jobs_jserp-result_search-card", "Job Link")</f>
        <v>Job Link</v>
      </c>
      <c r="H2170" t="s">
        <v>476</v>
      </c>
      <c r="I2170" t="s">
        <v>481</v>
      </c>
      <c r="J2170" t="s">
        <v>486</v>
      </c>
      <c r="K2170" t="s">
        <v>565</v>
      </c>
      <c r="L2170" t="s">
        <v>582</v>
      </c>
      <c r="M2170" t="s">
        <v>588</v>
      </c>
      <c r="N2170" t="s">
        <v>601</v>
      </c>
    </row>
    <row r="2171" spans="1:14" x14ac:dyDescent="0.25">
      <c r="A2171" t="s">
        <v>27</v>
      </c>
      <c r="B2171" t="s">
        <v>220</v>
      </c>
      <c r="C2171" t="s">
        <v>380</v>
      </c>
      <c r="D2171" t="s">
        <v>426</v>
      </c>
      <c r="F2171" t="s">
        <v>434</v>
      </c>
      <c r="G2171" t="str">
        <f>HYPERLINK("https://ca.linkedin.com/jobs/view/sr-data-analyst-at-randstad-canada-3354999789?refId=bJ5BHHFvdKwmXrMJwY6Cbw%3D%3D&amp;trackingId=MYtBZ162Cj3deb2KKaJRyw%3D%3D&amp;position=22&amp;pageNum=0&amp;trk=public_jobs_jserp-result_search-card", "Job Link")</f>
        <v>Job Link</v>
      </c>
      <c r="H2171" t="s">
        <v>478</v>
      </c>
      <c r="I2171" t="s">
        <v>483</v>
      </c>
      <c r="J2171" t="s">
        <v>486</v>
      </c>
      <c r="K2171" t="s">
        <v>518</v>
      </c>
      <c r="L2171" t="s">
        <v>584</v>
      </c>
      <c r="M2171" t="s">
        <v>588</v>
      </c>
      <c r="N2171" t="s">
        <v>601</v>
      </c>
    </row>
    <row r="2172" spans="1:14" x14ac:dyDescent="0.25">
      <c r="A2172" t="s">
        <v>89</v>
      </c>
      <c r="B2172" t="s">
        <v>221</v>
      </c>
      <c r="C2172" t="s">
        <v>381</v>
      </c>
      <c r="D2172" t="s">
        <v>426</v>
      </c>
      <c r="F2172" t="s">
        <v>461</v>
      </c>
      <c r="G2172">
        <v>0</v>
      </c>
      <c r="H2172" t="s">
        <v>476</v>
      </c>
      <c r="I2172" t="s">
        <v>481</v>
      </c>
      <c r="J2172" t="s">
        <v>488</v>
      </c>
      <c r="K2172" t="s">
        <v>566</v>
      </c>
      <c r="L2172" t="s">
        <v>582</v>
      </c>
      <c r="M2172" t="s">
        <v>588</v>
      </c>
      <c r="N2172" t="s">
        <v>601</v>
      </c>
    </row>
    <row r="2173" spans="1:14" x14ac:dyDescent="0.25">
      <c r="A2173" t="s">
        <v>14</v>
      </c>
      <c r="B2173" t="s">
        <v>222</v>
      </c>
      <c r="C2173" t="s">
        <v>382</v>
      </c>
      <c r="D2173" t="s">
        <v>426</v>
      </c>
      <c r="F2173" t="s">
        <v>431</v>
      </c>
      <c r="G2173" t="str">
        <f>HYPERLINK("https://ca.linkedin.com/jobs/view/data-analyst-at-circle-k-3367192655?refId=bJ5BHHFvdKwmXrMJwY6Cbw%3D%3D&amp;trackingId=RrGILR27PnaSlvOMcZ%2Ff1w%3D%3D&amp;position=24&amp;pageNum=0&amp;trk=public_jobs_jserp-result_search-card", "Job Link")</f>
        <v>Job Link</v>
      </c>
      <c r="H2173" t="s">
        <v>476</v>
      </c>
      <c r="I2173" t="s">
        <v>481</v>
      </c>
      <c r="J2173" t="s">
        <v>486</v>
      </c>
      <c r="K2173" t="s">
        <v>567</v>
      </c>
      <c r="L2173" t="s">
        <v>582</v>
      </c>
      <c r="M2173" t="s">
        <v>588</v>
      </c>
      <c r="N2173" t="s">
        <v>601</v>
      </c>
    </row>
    <row r="2174" spans="1:14" x14ac:dyDescent="0.25">
      <c r="A2174" t="s">
        <v>14</v>
      </c>
      <c r="B2174" t="s">
        <v>225</v>
      </c>
      <c r="C2174" t="s">
        <v>385</v>
      </c>
      <c r="D2174" t="s">
        <v>426</v>
      </c>
      <c r="F2174" t="s">
        <v>463</v>
      </c>
      <c r="G2174" t="str">
        <f>HYPERLINK("https://ca.linkedin.com/jobs/view/data-analyst-at-vector-institute-3325395506?refId=bJ5BHHFvdKwmXrMJwY6Cbw%3D%3D&amp;trackingId=0eBKRrEQ4W95niCp4Q6j8g%3D%3D&amp;position=25&amp;pageNum=0&amp;trk=public_jobs_jserp-result_search-card", "Job Link")</f>
        <v>Job Link</v>
      </c>
      <c r="H2174" t="s">
        <v>478</v>
      </c>
      <c r="I2174" t="s">
        <v>481</v>
      </c>
      <c r="J2174" t="s">
        <v>486</v>
      </c>
      <c r="K2174" t="s">
        <v>520</v>
      </c>
      <c r="L2174" t="s">
        <v>582</v>
      </c>
      <c r="M2174" t="s">
        <v>588</v>
      </c>
      <c r="N2174" t="s">
        <v>601</v>
      </c>
    </row>
    <row r="2175" spans="1:14" x14ac:dyDescent="0.25">
      <c r="A2175" t="s">
        <v>14</v>
      </c>
      <c r="B2175" t="s">
        <v>207</v>
      </c>
      <c r="C2175" t="s">
        <v>362</v>
      </c>
      <c r="D2175" t="s">
        <v>426</v>
      </c>
      <c r="F2175" t="s">
        <v>463</v>
      </c>
      <c r="G2175" t="str">
        <f>HYPERLINK("https://ca.linkedin.com/jobs/view/data-analyst-at-onlia-3320897897?refId=%2FMDWMzoQVUCBcDA5AodCOA%3D%3D&amp;trackingId=002%2F1%2Brg5EiBEzLcvIJWag%3D%3D&amp;position=1&amp;pageNum=0&amp;trk=public_jobs_jserp-result_search-card", "Job Link")</f>
        <v>Job Link</v>
      </c>
      <c r="H2175" t="s">
        <v>477</v>
      </c>
      <c r="I2175" t="s">
        <v>481</v>
      </c>
      <c r="J2175" t="s">
        <v>486</v>
      </c>
      <c r="K2175" t="s">
        <v>523</v>
      </c>
      <c r="L2175" t="s">
        <v>582</v>
      </c>
      <c r="M2175" t="s">
        <v>588</v>
      </c>
      <c r="N2175" t="s">
        <v>601</v>
      </c>
    </row>
    <row r="2176" spans="1:14" x14ac:dyDescent="0.25">
      <c r="A2176" t="s">
        <v>14</v>
      </c>
      <c r="B2176" t="s">
        <v>208</v>
      </c>
      <c r="C2176" t="s">
        <v>363</v>
      </c>
      <c r="D2176" t="s">
        <v>426</v>
      </c>
      <c r="F2176" t="s">
        <v>445</v>
      </c>
      <c r="G2176" t="str">
        <f>HYPERLINK("https://ca.linkedin.com/jobs/view/data-analyst-at-electronic-arts-ea-3325611825?refId=%2FMDWMzoQVUCBcDA5AodCOA%3D%3D&amp;trackingId=m%2BOGKZvuagkIVP8mV2lLGQ%3D%3D&amp;position=2&amp;pageNum=0&amp;trk=public_jobs_jserp-result_search-card", "Job Link")</f>
        <v>Job Link</v>
      </c>
      <c r="H2176" t="s">
        <v>479</v>
      </c>
      <c r="I2176" t="s">
        <v>481</v>
      </c>
      <c r="J2176" t="s">
        <v>507</v>
      </c>
      <c r="K2176" t="s">
        <v>559</v>
      </c>
      <c r="L2176" t="s">
        <v>582</v>
      </c>
      <c r="M2176" t="s">
        <v>588</v>
      </c>
      <c r="N2176" t="s">
        <v>601</v>
      </c>
    </row>
    <row r="2177" spans="1:14" x14ac:dyDescent="0.25">
      <c r="A2177" t="s">
        <v>14</v>
      </c>
      <c r="B2177" t="s">
        <v>209</v>
      </c>
      <c r="C2177" t="s">
        <v>364</v>
      </c>
      <c r="D2177" t="s">
        <v>426</v>
      </c>
      <c r="F2177" t="s">
        <v>440</v>
      </c>
      <c r="G2177" t="str">
        <f>HYPERLINK("https://ca.linkedin.com/jobs/view/data-analyst-at-frostbite-3370111856?refId=%2FMDWMzoQVUCBcDA5AodCOA%3D%3D&amp;trackingId=ZsHlIixanwbXTg%2BOP9v16Q%3D%3D&amp;position=3&amp;pageNum=0&amp;trk=public_jobs_jserp-result_search-card", "Job Link")</f>
        <v>Job Link</v>
      </c>
      <c r="H2177" t="s">
        <v>479</v>
      </c>
      <c r="I2177" t="s">
        <v>481</v>
      </c>
      <c r="J2177" t="s">
        <v>507</v>
      </c>
      <c r="K2177" t="s">
        <v>559</v>
      </c>
      <c r="L2177" t="s">
        <v>590</v>
      </c>
      <c r="M2177" t="s">
        <v>618</v>
      </c>
      <c r="N2177" t="s">
        <v>601</v>
      </c>
    </row>
    <row r="2178" spans="1:14" x14ac:dyDescent="0.25">
      <c r="A2178" t="s">
        <v>81</v>
      </c>
      <c r="B2178" t="s">
        <v>210</v>
      </c>
      <c r="C2178" t="s">
        <v>365</v>
      </c>
      <c r="D2178" t="s">
        <v>426</v>
      </c>
      <c r="F2178" t="s">
        <v>436</v>
      </c>
      <c r="G2178" t="str">
        <f>HYPERLINK("https://ca.linkedin.com/jobs/view/data-analyst-c117-at-mitsubishi-motor-sales-of-canada-inc-3344852931?refId=%2FMDWMzoQVUCBcDA5AodCOA%3D%3D&amp;trackingId=qcD5D7%2FbpScSrZvhX0KFrg%3D%3D&amp;position=4&amp;pageNum=0&amp;trk=public_jobs_jserp-result_search-card", "Job Link")</f>
        <v>Job Link</v>
      </c>
      <c r="H2178" t="s">
        <v>477</v>
      </c>
      <c r="I2178" t="s">
        <v>481</v>
      </c>
      <c r="J2178" t="s">
        <v>508</v>
      </c>
      <c r="K2178" t="s">
        <v>561</v>
      </c>
      <c r="L2178" t="s">
        <v>584</v>
      </c>
      <c r="M2178" t="s">
        <v>588</v>
      </c>
      <c r="N2178" t="s">
        <v>601</v>
      </c>
    </row>
    <row r="2179" spans="1:14" x14ac:dyDescent="0.25">
      <c r="A2179" t="s">
        <v>14</v>
      </c>
      <c r="B2179" t="s">
        <v>211</v>
      </c>
      <c r="C2179" t="s">
        <v>366</v>
      </c>
      <c r="D2179" t="s">
        <v>426</v>
      </c>
      <c r="F2179" t="s">
        <v>443</v>
      </c>
      <c r="G2179" t="str">
        <f>HYPERLINK("https://ca.linkedin.com/jobs/view/data-analyst-at-mphasis-3363428246?refId=%2FMDWMzoQVUCBcDA5AodCOA%3D%3D&amp;trackingId=qf2abId9d9zYFfUH9p%2BeDQ%3D%3D&amp;position=5&amp;pageNum=0&amp;trk=public_jobs_jserp-result_search-card", "Job Link")</f>
        <v>Job Link</v>
      </c>
      <c r="H2179" t="s">
        <v>477</v>
      </c>
      <c r="I2179" t="s">
        <v>481</v>
      </c>
      <c r="J2179" t="s">
        <v>486</v>
      </c>
      <c r="K2179" t="s">
        <v>521</v>
      </c>
      <c r="L2179" t="s">
        <v>609</v>
      </c>
      <c r="M2179" t="s">
        <v>610</v>
      </c>
      <c r="N2179" t="s">
        <v>601</v>
      </c>
    </row>
    <row r="2180" spans="1:14" x14ac:dyDescent="0.25">
      <c r="A2180" t="s">
        <v>14</v>
      </c>
      <c r="B2180" t="s">
        <v>150</v>
      </c>
      <c r="C2180" t="s">
        <v>367</v>
      </c>
      <c r="D2180" t="s">
        <v>426</v>
      </c>
      <c r="F2180" t="s">
        <v>433</v>
      </c>
      <c r="G2180" t="str">
        <f>HYPERLINK("https://ca.linkedin.com/jobs/view/data-analyst-at-synechron-3348329085?refId=%2FMDWMzoQVUCBcDA5AodCOA%3D%3D&amp;trackingId=MYtBf2CuCvqeeIsoFPpPvQ%3D%3D&amp;position=6&amp;pageNum=0&amp;trk=public_jobs_jserp-result_search-card", "Job Link")</f>
        <v>Job Link</v>
      </c>
      <c r="H2180" t="s">
        <v>478</v>
      </c>
      <c r="I2180" t="s">
        <v>481</v>
      </c>
      <c r="J2180" t="s">
        <v>486</v>
      </c>
      <c r="K2180" t="s">
        <v>562</v>
      </c>
      <c r="L2180" t="s">
        <v>584</v>
      </c>
      <c r="M2180" t="s">
        <v>588</v>
      </c>
      <c r="N2180" t="s">
        <v>601</v>
      </c>
    </row>
    <row r="2181" spans="1:14" x14ac:dyDescent="0.25">
      <c r="A2181" t="s">
        <v>82</v>
      </c>
      <c r="B2181" t="s">
        <v>179</v>
      </c>
      <c r="C2181" t="s">
        <v>368</v>
      </c>
      <c r="D2181" t="s">
        <v>426</v>
      </c>
      <c r="F2181" t="s">
        <v>471</v>
      </c>
      <c r="G2181" t="str">
        <f>HYPERLINK("https://ca.linkedin.com/jobs/view/business-data-analyst-at-capgemini-3327624663?refId=%2FMDWMzoQVUCBcDA5AodCOA%3D%3D&amp;trackingId=tiij4zUTDZ1PX3PfsQkRNQ%3D%3D&amp;position=7&amp;pageNum=0&amp;trk=public_jobs_jserp-result_search-card", "Job Link")</f>
        <v>Job Link</v>
      </c>
      <c r="H2181" t="s">
        <v>478</v>
      </c>
      <c r="I2181" t="s">
        <v>481</v>
      </c>
      <c r="J2181" t="s">
        <v>486</v>
      </c>
      <c r="K2181" t="s">
        <v>521</v>
      </c>
      <c r="L2181" t="s">
        <v>611</v>
      </c>
      <c r="M2181" t="s">
        <v>601</v>
      </c>
    </row>
    <row r="2182" spans="1:14" x14ac:dyDescent="0.25">
      <c r="A2182" t="s">
        <v>14</v>
      </c>
      <c r="B2182" t="s">
        <v>150</v>
      </c>
      <c r="C2182" t="s">
        <v>369</v>
      </c>
      <c r="D2182" t="s">
        <v>426</v>
      </c>
      <c r="F2182" t="s">
        <v>460</v>
      </c>
      <c r="G2182" t="str">
        <f>HYPERLINK("https://ca.linkedin.com/jobs/view/data-analyst-at-synechron-3364863079?refId=%2FMDWMzoQVUCBcDA5AodCOA%3D%3D&amp;trackingId=ufdygdPxkBgjFDDNoKb56g%3D%3D&amp;position=8&amp;pageNum=0&amp;trk=public_jobs_jserp-result_search-card", "Job Link")</f>
        <v>Job Link</v>
      </c>
      <c r="H2182" t="s">
        <v>478</v>
      </c>
      <c r="I2182" t="s">
        <v>481</v>
      </c>
      <c r="J2182" t="s">
        <v>486</v>
      </c>
      <c r="K2182" t="s">
        <v>563</v>
      </c>
      <c r="L2182" t="s">
        <v>584</v>
      </c>
      <c r="M2182" t="s">
        <v>588</v>
      </c>
      <c r="N2182" t="s">
        <v>601</v>
      </c>
    </row>
    <row r="2183" spans="1:14" x14ac:dyDescent="0.25">
      <c r="A2183" t="s">
        <v>14</v>
      </c>
      <c r="B2183" t="s">
        <v>150</v>
      </c>
      <c r="C2183" t="s">
        <v>367</v>
      </c>
      <c r="D2183" t="s">
        <v>426</v>
      </c>
      <c r="F2183" t="s">
        <v>460</v>
      </c>
      <c r="G2183" t="str">
        <f>HYPERLINK("https://ca.linkedin.com/jobs/view/data-analyst-at-synechron-3361756851?refId=%2FMDWMzoQVUCBcDA5AodCOA%3D%3D&amp;trackingId=xmYdNbVfrbxsPUAqx%2BKYRw%3D%3D&amp;position=9&amp;pageNum=0&amp;trk=public_jobs_jserp-result_search-card", "Job Link")</f>
        <v>Job Link</v>
      </c>
      <c r="H2183" t="s">
        <v>478</v>
      </c>
      <c r="I2183" t="s">
        <v>481</v>
      </c>
      <c r="J2183" t="s">
        <v>486</v>
      </c>
      <c r="K2183" t="s">
        <v>562</v>
      </c>
      <c r="L2183" t="s">
        <v>584</v>
      </c>
      <c r="M2183" t="s">
        <v>588</v>
      </c>
      <c r="N2183" t="s">
        <v>601</v>
      </c>
    </row>
    <row r="2184" spans="1:14" x14ac:dyDescent="0.25">
      <c r="A2184" t="s">
        <v>14</v>
      </c>
      <c r="B2184" t="s">
        <v>212</v>
      </c>
      <c r="C2184" t="s">
        <v>370</v>
      </c>
      <c r="D2184" t="s">
        <v>426</v>
      </c>
      <c r="F2184" t="s">
        <v>432</v>
      </c>
      <c r="G2184" t="str">
        <f>HYPERLINK("https://ca.linkedin.com/jobs/view/data-analyst-at-agilus-work-solutions-3358673093?refId=%2FMDWMzoQVUCBcDA5AodCOA%3D%3D&amp;trackingId=zD8SZbeojQ5CJJQ5l%2Bg2NA%3D%3D&amp;position=10&amp;pageNum=0&amp;trk=public_jobs_jserp-result_search-card", "Job Link")</f>
        <v>Job Link</v>
      </c>
      <c r="H2184" t="s">
        <v>477</v>
      </c>
      <c r="I2184" t="s">
        <v>483</v>
      </c>
      <c r="J2184" t="s">
        <v>486</v>
      </c>
      <c r="K2184" t="s">
        <v>518</v>
      </c>
      <c r="L2184" t="s">
        <v>582</v>
      </c>
      <c r="M2184" t="s">
        <v>588</v>
      </c>
      <c r="N2184" t="s">
        <v>601</v>
      </c>
    </row>
    <row r="2185" spans="1:14" x14ac:dyDescent="0.25">
      <c r="A2185" t="s">
        <v>14</v>
      </c>
      <c r="B2185" t="s">
        <v>213</v>
      </c>
      <c r="C2185" t="s">
        <v>371</v>
      </c>
      <c r="D2185" t="s">
        <v>426</v>
      </c>
      <c r="F2185" t="s">
        <v>472</v>
      </c>
      <c r="G2185" t="str">
        <f>HYPERLINK("https://ca.linkedin.com/jobs/view/data-analyst-at-linkus-group-3345817125?refId=%2FMDWMzoQVUCBcDA5AodCOA%3D%3D&amp;trackingId=M2INLbN3SCIr%2F4XJCSaDlA%3D%3D&amp;position=11&amp;pageNum=0&amp;trk=public_jobs_jserp-result_search-card", "Job Link")</f>
        <v>Job Link</v>
      </c>
      <c r="H2185" t="s">
        <v>476</v>
      </c>
      <c r="I2185" t="s">
        <v>481</v>
      </c>
      <c r="J2185" t="s">
        <v>486</v>
      </c>
      <c r="K2185" t="s">
        <v>518</v>
      </c>
      <c r="L2185" t="s">
        <v>588</v>
      </c>
      <c r="M2185" t="s">
        <v>601</v>
      </c>
    </row>
    <row r="2186" spans="1:14" x14ac:dyDescent="0.25">
      <c r="A2186" t="s">
        <v>14</v>
      </c>
      <c r="B2186" t="s">
        <v>214</v>
      </c>
      <c r="C2186" t="s">
        <v>372</v>
      </c>
      <c r="D2186" t="s">
        <v>426</v>
      </c>
      <c r="F2186" t="s">
        <v>432</v>
      </c>
      <c r="G2186" t="str">
        <f>HYPERLINK("https://ca.linkedin.com/jobs/view/data-analyst-at-goeasy-ltd-3358677253?refId=%2FMDWMzoQVUCBcDA5AodCOA%3D%3D&amp;trackingId=RHvv3hNC%2Fs7tuIY7kKTQ5Q%3D%3D&amp;position=12&amp;pageNum=0&amp;trk=public_jobs_jserp-result_search-card", "Job Link")</f>
        <v>Job Link</v>
      </c>
      <c r="H2186" t="s">
        <v>476</v>
      </c>
      <c r="I2186" t="s">
        <v>481</v>
      </c>
      <c r="J2186" t="s">
        <v>486</v>
      </c>
      <c r="K2186" t="s">
        <v>550</v>
      </c>
      <c r="L2186" t="s">
        <v>584</v>
      </c>
      <c r="M2186" t="s">
        <v>588</v>
      </c>
      <c r="N2186" t="s">
        <v>601</v>
      </c>
    </row>
    <row r="2187" spans="1:14" x14ac:dyDescent="0.25">
      <c r="A2187" t="s">
        <v>83</v>
      </c>
      <c r="B2187" t="s">
        <v>215</v>
      </c>
      <c r="C2187" t="s">
        <v>373</v>
      </c>
      <c r="D2187" t="s">
        <v>426</v>
      </c>
      <c r="F2187" t="s">
        <v>462</v>
      </c>
      <c r="G2187">
        <v>0</v>
      </c>
      <c r="H2187" t="s">
        <v>478</v>
      </c>
      <c r="I2187" t="s">
        <v>483</v>
      </c>
      <c r="J2187" t="s">
        <v>509</v>
      </c>
      <c r="K2187" t="s">
        <v>550</v>
      </c>
      <c r="L2187" t="s">
        <v>584</v>
      </c>
      <c r="M2187" t="s">
        <v>588</v>
      </c>
      <c r="N2187" t="s">
        <v>601</v>
      </c>
    </row>
    <row r="2188" spans="1:14" x14ac:dyDescent="0.25">
      <c r="A2188" t="s">
        <v>20</v>
      </c>
      <c r="B2188" t="s">
        <v>207</v>
      </c>
      <c r="C2188" t="s">
        <v>374</v>
      </c>
      <c r="D2188" t="s">
        <v>426</v>
      </c>
      <c r="F2188" t="s">
        <v>463</v>
      </c>
      <c r="G2188" t="str">
        <f>HYPERLINK("https://ca.linkedin.com/jobs/view/senior-data-analyst-at-onlia-3320897882?refId=%2FMDWMzoQVUCBcDA5AodCOA%3D%3D&amp;trackingId=D9vDiT5TNpwRmaJpwTs6cQ%3D%3D&amp;position=14&amp;pageNum=0&amp;trk=public_jobs_jserp-result_search-card", "Job Link")</f>
        <v>Job Link</v>
      </c>
      <c r="H2188" t="s">
        <v>477</v>
      </c>
      <c r="I2188" t="s">
        <v>481</v>
      </c>
      <c r="J2188" t="s">
        <v>486</v>
      </c>
      <c r="K2188" t="s">
        <v>523</v>
      </c>
      <c r="L2188" t="s">
        <v>582</v>
      </c>
      <c r="M2188" t="s">
        <v>588</v>
      </c>
      <c r="N2188" t="s">
        <v>601</v>
      </c>
    </row>
    <row r="2189" spans="1:14" x14ac:dyDescent="0.25">
      <c r="A2189" t="s">
        <v>84</v>
      </c>
      <c r="B2189" t="s">
        <v>216</v>
      </c>
      <c r="C2189" t="s">
        <v>375</v>
      </c>
      <c r="D2189" t="s">
        <v>426</v>
      </c>
      <c r="F2189" t="s">
        <v>452</v>
      </c>
      <c r="G2189" t="str">
        <f>HYPERLINK("https://ca.linkedin.com/jobs/view/data-analyst-hybrid-at-xylem-3335088701?refId=%2FMDWMzoQVUCBcDA5AodCOA%3D%3D&amp;trackingId=gXV8Xhdm3x%2BzRp2Fv985MA%3D%3D&amp;position=15&amp;pageNum=0&amp;trk=public_jobs_jserp-result_search-card", "Job Link")</f>
        <v>Job Link</v>
      </c>
      <c r="H2189" t="s">
        <v>476</v>
      </c>
      <c r="I2189" t="s">
        <v>481</v>
      </c>
      <c r="J2189" t="s">
        <v>486</v>
      </c>
      <c r="K2189" t="s">
        <v>564</v>
      </c>
      <c r="L2189" t="s">
        <v>584</v>
      </c>
      <c r="M2189" t="s">
        <v>588</v>
      </c>
      <c r="N2189" t="s">
        <v>601</v>
      </c>
    </row>
    <row r="2190" spans="1:14" x14ac:dyDescent="0.25">
      <c r="A2190" t="s">
        <v>85</v>
      </c>
      <c r="B2190" t="s">
        <v>217</v>
      </c>
      <c r="C2190" t="s">
        <v>376</v>
      </c>
      <c r="D2190" t="s">
        <v>426</v>
      </c>
      <c r="F2190" t="s">
        <v>473</v>
      </c>
      <c r="G2190" t="str">
        <f>HYPERLINK("https://ca.linkedin.com/jobs/view/data-analyst-python-sql-at-geotab-3341823745?refId=%2FMDWMzoQVUCBcDA5AodCOA%3D%3D&amp;trackingId=SVR%2F2PCxzpJytREWFZrM9w%3D%3D&amp;position=16&amp;pageNum=0&amp;trk=public_jobs_jserp-result_search-card", "Job Link")</f>
        <v>Job Link</v>
      </c>
      <c r="H2190" t="s">
        <v>479</v>
      </c>
      <c r="I2190" t="s">
        <v>481</v>
      </c>
      <c r="J2190" t="s">
        <v>486</v>
      </c>
      <c r="K2190" t="s">
        <v>521</v>
      </c>
      <c r="L2190" t="s">
        <v>612</v>
      </c>
      <c r="M2190" t="s">
        <v>588</v>
      </c>
      <c r="N2190" t="s">
        <v>601</v>
      </c>
    </row>
    <row r="2191" spans="1:14" x14ac:dyDescent="0.25">
      <c r="A2191" t="s">
        <v>86</v>
      </c>
      <c r="B2191" t="s">
        <v>167</v>
      </c>
      <c r="C2191" t="s">
        <v>377</v>
      </c>
      <c r="D2191" t="s">
        <v>426</v>
      </c>
      <c r="F2191" t="s">
        <v>454</v>
      </c>
      <c r="G2191" t="str">
        <f>HYPERLINK("https://ca.linkedin.com/jobs/view/data-analyst-reporting-at-thescore-3345941286?refId=%2FMDWMzoQVUCBcDA5AodCOA%3D%3D&amp;trackingId=n90WblTlQX5Rp3nJPhPQrA%3D%3D&amp;position=17&amp;pageNum=0&amp;trk=public_jobs_jserp-result_search-card", "Job Link")</f>
        <v>Job Link</v>
      </c>
      <c r="H2191" t="s">
        <v>476</v>
      </c>
      <c r="I2191" t="s">
        <v>481</v>
      </c>
      <c r="J2191" t="s">
        <v>486</v>
      </c>
      <c r="K2191" t="s">
        <v>545</v>
      </c>
      <c r="L2191" t="s">
        <v>582</v>
      </c>
      <c r="M2191" t="s">
        <v>588</v>
      </c>
      <c r="N2191" t="s">
        <v>601</v>
      </c>
    </row>
    <row r="2192" spans="1:14" x14ac:dyDescent="0.25">
      <c r="A2192" t="s">
        <v>87</v>
      </c>
      <c r="B2192" t="s">
        <v>218</v>
      </c>
      <c r="C2192" t="s">
        <v>378</v>
      </c>
      <c r="D2192" t="s">
        <v>426</v>
      </c>
      <c r="F2192" t="s">
        <v>432</v>
      </c>
      <c r="G2192">
        <v>0</v>
      </c>
      <c r="H2192" t="s">
        <v>478</v>
      </c>
      <c r="I2192" t="s">
        <v>483</v>
      </c>
      <c r="J2192" t="s">
        <v>486</v>
      </c>
      <c r="K2192" t="s">
        <v>521</v>
      </c>
      <c r="L2192" t="s">
        <v>582</v>
      </c>
      <c r="M2192" t="s">
        <v>588</v>
      </c>
      <c r="N2192" t="s">
        <v>601</v>
      </c>
    </row>
    <row r="2193" spans="1:14" x14ac:dyDescent="0.25">
      <c r="A2193" t="s">
        <v>88</v>
      </c>
      <c r="B2193" t="s">
        <v>219</v>
      </c>
      <c r="C2193" t="s">
        <v>379</v>
      </c>
      <c r="D2193" t="s">
        <v>426</v>
      </c>
      <c r="F2193" t="s">
        <v>454</v>
      </c>
      <c r="G2193" t="str">
        <f>HYPERLINK("https://ca.linkedin.com/jobs/view/data-analyst-flight-pricing-optimization-at-priceline-3345993633?refId=%2FMDWMzoQVUCBcDA5AodCOA%3D%3D&amp;trackingId=N8ue8YDP5D%2B7XzZpkAQg2g%3D%3D&amp;position=19&amp;pageNum=0&amp;trk=public_jobs_jserp-result_search-card", "Job Link")</f>
        <v>Job Link</v>
      </c>
      <c r="H2193" t="s">
        <v>476</v>
      </c>
      <c r="I2193" t="s">
        <v>481</v>
      </c>
      <c r="J2193" t="s">
        <v>486</v>
      </c>
      <c r="K2193" t="s">
        <v>565</v>
      </c>
      <c r="L2193" t="s">
        <v>582</v>
      </c>
      <c r="M2193" t="s">
        <v>588</v>
      </c>
      <c r="N2193" t="s">
        <v>601</v>
      </c>
    </row>
    <row r="2194" spans="1:14" x14ac:dyDescent="0.25">
      <c r="A2194" t="s">
        <v>27</v>
      </c>
      <c r="B2194" t="s">
        <v>220</v>
      </c>
      <c r="C2194" t="s">
        <v>380</v>
      </c>
      <c r="D2194" t="s">
        <v>426</v>
      </c>
      <c r="F2194" t="s">
        <v>434</v>
      </c>
      <c r="G2194" t="str">
        <f>HYPERLINK("https://ca.linkedin.com/jobs/view/sr-data-analyst-at-randstad-canada-3354999789?refId=%2FMDWMzoQVUCBcDA5AodCOA%3D%3D&amp;trackingId=TRJB81R0DG9Gy07%2F%2F5j%2BsQ%3D%3D&amp;position=20&amp;pageNum=0&amp;trk=public_jobs_jserp-result_search-card", "Job Link")</f>
        <v>Job Link</v>
      </c>
      <c r="H2194" t="s">
        <v>478</v>
      </c>
      <c r="I2194" t="s">
        <v>483</v>
      </c>
      <c r="J2194" t="s">
        <v>486</v>
      </c>
      <c r="K2194" t="s">
        <v>518</v>
      </c>
      <c r="L2194" t="s">
        <v>584</v>
      </c>
      <c r="M2194" t="s">
        <v>588</v>
      </c>
      <c r="N2194" t="s">
        <v>601</v>
      </c>
    </row>
    <row r="2195" spans="1:14" x14ac:dyDescent="0.25">
      <c r="A2195" t="s">
        <v>89</v>
      </c>
      <c r="B2195" t="s">
        <v>221</v>
      </c>
      <c r="C2195" t="s">
        <v>381</v>
      </c>
      <c r="D2195" t="s">
        <v>426</v>
      </c>
      <c r="F2195" t="s">
        <v>461</v>
      </c>
      <c r="G2195">
        <v>0</v>
      </c>
      <c r="H2195" t="s">
        <v>476</v>
      </c>
      <c r="I2195" t="s">
        <v>481</v>
      </c>
      <c r="J2195" t="s">
        <v>488</v>
      </c>
      <c r="K2195" t="s">
        <v>566</v>
      </c>
      <c r="L2195" t="s">
        <v>582</v>
      </c>
      <c r="M2195" t="s">
        <v>588</v>
      </c>
      <c r="N2195" t="s">
        <v>601</v>
      </c>
    </row>
    <row r="2196" spans="1:14" x14ac:dyDescent="0.25">
      <c r="A2196" t="s">
        <v>14</v>
      </c>
      <c r="B2196" t="s">
        <v>222</v>
      </c>
      <c r="C2196" t="s">
        <v>382</v>
      </c>
      <c r="D2196" t="s">
        <v>426</v>
      </c>
      <c r="F2196" t="s">
        <v>431</v>
      </c>
      <c r="G2196" t="str">
        <f>HYPERLINK("https://ca.linkedin.com/jobs/view/data-analyst-at-circle-k-3367192655?refId=%2FMDWMzoQVUCBcDA5AodCOA%3D%3D&amp;trackingId=w%2BKla8rpStrj6dWhWrq%2FOQ%3D%3D&amp;position=22&amp;pageNum=0&amp;trk=public_jobs_jserp-result_search-card", "Job Link")</f>
        <v>Job Link</v>
      </c>
      <c r="H2196" t="s">
        <v>476</v>
      </c>
      <c r="I2196" t="s">
        <v>481</v>
      </c>
      <c r="J2196" t="s">
        <v>486</v>
      </c>
      <c r="K2196" t="s">
        <v>567</v>
      </c>
      <c r="L2196" t="s">
        <v>582</v>
      </c>
      <c r="M2196" t="s">
        <v>588</v>
      </c>
      <c r="N2196" t="s">
        <v>601</v>
      </c>
    </row>
    <row r="2197" spans="1:14" x14ac:dyDescent="0.25">
      <c r="A2197" t="s">
        <v>90</v>
      </c>
      <c r="B2197" t="s">
        <v>223</v>
      </c>
      <c r="C2197" t="s">
        <v>383</v>
      </c>
      <c r="D2197" t="s">
        <v>426</v>
      </c>
      <c r="F2197" t="s">
        <v>443</v>
      </c>
      <c r="G2197" t="str">
        <f>HYPERLINK("https://ca.linkedin.com/jobs/view/data-administrator-data-analyst-at-hays-3369576413?refId=%2FMDWMzoQVUCBcDA5AodCOA%3D%3D&amp;trackingId=nKJFJsmU4xQbwHyu8vsiRw%3D%3D&amp;position=23&amp;pageNum=0&amp;trk=public_jobs_jserp-result_search-card", "Job Link")</f>
        <v>Job Link</v>
      </c>
      <c r="H2197" t="s">
        <v>478</v>
      </c>
      <c r="I2197" t="s">
        <v>481</v>
      </c>
      <c r="J2197" t="s">
        <v>486</v>
      </c>
      <c r="K2197" t="s">
        <v>518</v>
      </c>
      <c r="L2197" t="s">
        <v>583</v>
      </c>
      <c r="M2197" t="s">
        <v>610</v>
      </c>
      <c r="N2197" t="s">
        <v>601</v>
      </c>
    </row>
    <row r="2198" spans="1:14" x14ac:dyDescent="0.25">
      <c r="A2198" t="s">
        <v>91</v>
      </c>
      <c r="B2198" t="s">
        <v>224</v>
      </c>
      <c r="C2198" t="s">
        <v>384</v>
      </c>
      <c r="D2198" t="s">
        <v>426</v>
      </c>
      <c r="F2198" t="s">
        <v>431</v>
      </c>
      <c r="G2198" t="str">
        <f>HYPERLINK("https://ca.linkedin.com/jobs/view/commercial-data-analyst-at-organigram-inc-3367177254?refId=%2FMDWMzoQVUCBcDA5AodCOA%3D%3D&amp;trackingId=0muBkSrT6mr5OocAQ4cuFg%3D%3D&amp;position=24&amp;pageNum=0&amp;trk=public_jobs_jserp-result_search-card", "Job Link")</f>
        <v>Job Link</v>
      </c>
      <c r="I2198" t="s">
        <v>481</v>
      </c>
      <c r="L2198" t="s">
        <v>582</v>
      </c>
      <c r="M2198" t="s">
        <v>588</v>
      </c>
      <c r="N2198" t="s">
        <v>601</v>
      </c>
    </row>
    <row r="2199" spans="1:14" x14ac:dyDescent="0.25">
      <c r="A2199" t="s">
        <v>14</v>
      </c>
      <c r="B2199" t="s">
        <v>225</v>
      </c>
      <c r="C2199" t="s">
        <v>284</v>
      </c>
      <c r="D2199" t="s">
        <v>426</v>
      </c>
      <c r="F2199" t="s">
        <v>463</v>
      </c>
      <c r="G2199" t="str">
        <f>HYPERLINK("https://ca.linkedin.com/jobs/view/data-analyst-at-vector-institute-3325395506?refId=%2FMDWMzoQVUCBcDA5AodCOA%3D%3D&amp;trackingId=7bhxTI5Amh59n9WT%2BD4LDA%3D%3D&amp;position=25&amp;pageNum=0&amp;trk=public_jobs_jserp-result_search-card", "Job Link")</f>
        <v>Job Link</v>
      </c>
      <c r="L2199" t="s">
        <v>582</v>
      </c>
      <c r="M2199" t="s">
        <v>588</v>
      </c>
      <c r="N2199" t="s">
        <v>601</v>
      </c>
    </row>
    <row r="2200" spans="1:14" x14ac:dyDescent="0.25">
      <c r="A2200" t="s">
        <v>14</v>
      </c>
      <c r="B2200" t="s">
        <v>207</v>
      </c>
      <c r="C2200" t="s">
        <v>362</v>
      </c>
      <c r="D2200" t="s">
        <v>426</v>
      </c>
      <c r="F2200" t="s">
        <v>463</v>
      </c>
      <c r="G2200" t="str">
        <f>HYPERLINK("https://ca.linkedin.com/jobs/view/data-analyst-at-onlia-3320897897?refId=DuULPwfrmtIo4D4TbsZDBQ%3D%3D&amp;trackingId=CY8Zd0KbutX6W7JK0Fb0zg%3D%3D&amp;position=1&amp;pageNum=0&amp;trk=public_jobs_jserp-result_search-card", "Job Link")</f>
        <v>Job Link</v>
      </c>
      <c r="H2200" t="s">
        <v>477</v>
      </c>
      <c r="I2200" t="s">
        <v>481</v>
      </c>
      <c r="J2200" t="s">
        <v>486</v>
      </c>
      <c r="K2200" t="s">
        <v>523</v>
      </c>
      <c r="L2200" t="s">
        <v>582</v>
      </c>
      <c r="M2200" t="s">
        <v>588</v>
      </c>
      <c r="N2200" t="s">
        <v>601</v>
      </c>
    </row>
    <row r="2201" spans="1:14" x14ac:dyDescent="0.25">
      <c r="A2201" t="s">
        <v>14</v>
      </c>
      <c r="B2201" t="s">
        <v>208</v>
      </c>
      <c r="C2201" t="s">
        <v>363</v>
      </c>
      <c r="D2201" t="s">
        <v>426</v>
      </c>
      <c r="F2201" t="s">
        <v>445</v>
      </c>
      <c r="G2201" t="str">
        <f>HYPERLINK("https://ca.linkedin.com/jobs/view/data-analyst-at-electronic-arts-ea-3325611825?refId=DuULPwfrmtIo4D4TbsZDBQ%3D%3D&amp;trackingId=wq5LBcvD6eLkAKBH2cIP%2Bw%3D%3D&amp;position=2&amp;pageNum=0&amp;trk=public_jobs_jserp-result_search-card", "Job Link")</f>
        <v>Job Link</v>
      </c>
      <c r="H2201" t="s">
        <v>479</v>
      </c>
      <c r="I2201" t="s">
        <v>481</v>
      </c>
      <c r="J2201" t="s">
        <v>507</v>
      </c>
      <c r="K2201" t="s">
        <v>559</v>
      </c>
      <c r="L2201" t="s">
        <v>582</v>
      </c>
      <c r="M2201" t="s">
        <v>588</v>
      </c>
      <c r="N2201" t="s">
        <v>601</v>
      </c>
    </row>
    <row r="2202" spans="1:14" x14ac:dyDescent="0.25">
      <c r="A2202" t="s">
        <v>14</v>
      </c>
      <c r="B2202" t="s">
        <v>209</v>
      </c>
      <c r="C2202" t="s">
        <v>364</v>
      </c>
      <c r="D2202" t="s">
        <v>426</v>
      </c>
      <c r="F2202" t="s">
        <v>440</v>
      </c>
      <c r="G2202" t="str">
        <f>HYPERLINK("https://ca.linkedin.com/jobs/view/data-analyst-at-frostbite-3370111856?refId=DuULPwfrmtIo4D4TbsZDBQ%3D%3D&amp;trackingId=GT3iaFo683gexUu8FST2vw%3D%3D&amp;position=3&amp;pageNum=0&amp;trk=public_jobs_jserp-result_search-card", "Job Link")</f>
        <v>Job Link</v>
      </c>
      <c r="H2202" t="s">
        <v>479</v>
      </c>
      <c r="I2202" t="s">
        <v>481</v>
      </c>
      <c r="J2202" t="s">
        <v>507</v>
      </c>
      <c r="K2202" t="s">
        <v>559</v>
      </c>
      <c r="L2202" t="s">
        <v>590</v>
      </c>
      <c r="M2202" t="s">
        <v>618</v>
      </c>
      <c r="N2202" t="s">
        <v>601</v>
      </c>
    </row>
    <row r="2203" spans="1:14" x14ac:dyDescent="0.25">
      <c r="A2203" t="s">
        <v>14</v>
      </c>
      <c r="B2203" t="s">
        <v>211</v>
      </c>
      <c r="C2203" t="s">
        <v>366</v>
      </c>
      <c r="D2203" t="s">
        <v>426</v>
      </c>
      <c r="F2203" t="s">
        <v>443</v>
      </c>
      <c r="G2203" t="str">
        <f>HYPERLINK("https://ca.linkedin.com/jobs/view/data-analyst-at-mphasis-3363428246?refId=DuULPwfrmtIo4D4TbsZDBQ%3D%3D&amp;trackingId=BIFuhN1BZoBgsjmk5Xd7bw%3D%3D&amp;position=4&amp;pageNum=0&amp;trk=public_jobs_jserp-result_search-card", "Job Link")</f>
        <v>Job Link</v>
      </c>
      <c r="H2203" t="s">
        <v>477</v>
      </c>
      <c r="I2203" t="s">
        <v>481</v>
      </c>
      <c r="J2203" t="s">
        <v>486</v>
      </c>
      <c r="K2203" t="s">
        <v>521</v>
      </c>
      <c r="L2203" t="s">
        <v>609</v>
      </c>
      <c r="M2203" t="s">
        <v>610</v>
      </c>
      <c r="N2203" t="s">
        <v>601</v>
      </c>
    </row>
    <row r="2204" spans="1:14" x14ac:dyDescent="0.25">
      <c r="A2204" t="s">
        <v>81</v>
      </c>
      <c r="B2204" t="s">
        <v>210</v>
      </c>
      <c r="C2204" t="s">
        <v>365</v>
      </c>
      <c r="D2204" t="s">
        <v>426</v>
      </c>
      <c r="F2204" t="s">
        <v>436</v>
      </c>
      <c r="G2204" t="str">
        <f>HYPERLINK("https://ca.linkedin.com/jobs/view/data-analyst-c117-at-mitsubishi-motor-sales-of-canada-inc-3344852931?refId=DuULPwfrmtIo4D4TbsZDBQ%3D%3D&amp;trackingId=B%2FXy9HRsYcEiunb1LcRrOw%3D%3D&amp;position=5&amp;pageNum=0&amp;trk=public_jobs_jserp-result_search-card", "Job Link")</f>
        <v>Job Link</v>
      </c>
      <c r="H2204" t="s">
        <v>477</v>
      </c>
      <c r="I2204" t="s">
        <v>481</v>
      </c>
      <c r="J2204" t="s">
        <v>508</v>
      </c>
      <c r="K2204" t="s">
        <v>561</v>
      </c>
      <c r="L2204" t="s">
        <v>584</v>
      </c>
      <c r="M2204" t="s">
        <v>588</v>
      </c>
      <c r="N2204" t="s">
        <v>601</v>
      </c>
    </row>
    <row r="2205" spans="1:14" x14ac:dyDescent="0.25">
      <c r="A2205" t="s">
        <v>14</v>
      </c>
      <c r="B2205" t="s">
        <v>150</v>
      </c>
      <c r="C2205" t="s">
        <v>367</v>
      </c>
      <c r="D2205" t="s">
        <v>426</v>
      </c>
      <c r="F2205" t="s">
        <v>433</v>
      </c>
      <c r="G2205" t="str">
        <f>HYPERLINK("https://ca.linkedin.com/jobs/view/data-analyst-at-synechron-3348329085?refId=DuULPwfrmtIo4D4TbsZDBQ%3D%3D&amp;trackingId=dxIdgu%2FuKLyut%2BDJfD%2B7vA%3D%3D&amp;position=6&amp;pageNum=0&amp;trk=public_jobs_jserp-result_search-card", "Job Link")</f>
        <v>Job Link</v>
      </c>
      <c r="H2205" t="s">
        <v>478</v>
      </c>
      <c r="I2205" t="s">
        <v>481</v>
      </c>
      <c r="J2205" t="s">
        <v>486</v>
      </c>
      <c r="K2205" t="s">
        <v>562</v>
      </c>
      <c r="L2205" t="s">
        <v>584</v>
      </c>
      <c r="M2205" t="s">
        <v>588</v>
      </c>
      <c r="N2205" t="s">
        <v>601</v>
      </c>
    </row>
    <row r="2206" spans="1:14" x14ac:dyDescent="0.25">
      <c r="A2206" t="s">
        <v>82</v>
      </c>
      <c r="B2206" t="s">
        <v>179</v>
      </c>
      <c r="C2206" t="s">
        <v>368</v>
      </c>
      <c r="D2206" t="s">
        <v>426</v>
      </c>
      <c r="F2206" t="s">
        <v>471</v>
      </c>
      <c r="G2206" t="str">
        <f>HYPERLINK("https://ca.linkedin.com/jobs/view/business-data-analyst-at-capgemini-3327624663?refId=DuULPwfrmtIo4D4TbsZDBQ%3D%3D&amp;trackingId=IQEkaCK%2BNiLi0nI9%2BE2KVg%3D%3D&amp;position=7&amp;pageNum=0&amp;trk=public_jobs_jserp-result_search-card", "Job Link")</f>
        <v>Job Link</v>
      </c>
      <c r="H2206" t="s">
        <v>478</v>
      </c>
      <c r="I2206" t="s">
        <v>481</v>
      </c>
      <c r="J2206" t="s">
        <v>486</v>
      </c>
      <c r="K2206" t="s">
        <v>521</v>
      </c>
      <c r="L2206" t="s">
        <v>611</v>
      </c>
      <c r="M2206" t="s">
        <v>601</v>
      </c>
    </row>
    <row r="2207" spans="1:14" x14ac:dyDescent="0.25">
      <c r="A2207" t="s">
        <v>14</v>
      </c>
      <c r="B2207" t="s">
        <v>212</v>
      </c>
      <c r="C2207" t="s">
        <v>370</v>
      </c>
      <c r="D2207" t="s">
        <v>426</v>
      </c>
      <c r="F2207" t="s">
        <v>432</v>
      </c>
      <c r="G2207" t="str">
        <f>HYPERLINK("https://ca.linkedin.com/jobs/view/data-analyst-at-agilus-work-solutions-3358673093?refId=DuULPwfrmtIo4D4TbsZDBQ%3D%3D&amp;trackingId=bhHB%2FtYdbgzc5%2FrsmjXpdA%3D%3D&amp;position=8&amp;pageNum=0&amp;trk=public_jobs_jserp-result_search-card", "Job Link")</f>
        <v>Job Link</v>
      </c>
      <c r="H2207" t="s">
        <v>477</v>
      </c>
      <c r="I2207" t="s">
        <v>483</v>
      </c>
      <c r="J2207" t="s">
        <v>486</v>
      </c>
      <c r="K2207" t="s">
        <v>518</v>
      </c>
      <c r="L2207" t="s">
        <v>582</v>
      </c>
      <c r="M2207" t="s">
        <v>588</v>
      </c>
      <c r="N2207" t="s">
        <v>601</v>
      </c>
    </row>
    <row r="2208" spans="1:14" x14ac:dyDescent="0.25">
      <c r="A2208" t="s">
        <v>14</v>
      </c>
      <c r="B2208" t="s">
        <v>150</v>
      </c>
      <c r="C2208" t="s">
        <v>369</v>
      </c>
      <c r="D2208" t="s">
        <v>426</v>
      </c>
      <c r="F2208" t="s">
        <v>460</v>
      </c>
      <c r="G2208" t="str">
        <f>HYPERLINK("https://ca.linkedin.com/jobs/view/data-analyst-at-synechron-3364863079?refId=DuULPwfrmtIo4D4TbsZDBQ%3D%3D&amp;trackingId=aMLqIux2pAaCVc44oti6gg%3D%3D&amp;position=9&amp;pageNum=0&amp;trk=public_jobs_jserp-result_search-card", "Job Link")</f>
        <v>Job Link</v>
      </c>
      <c r="H2208" t="s">
        <v>478</v>
      </c>
      <c r="I2208" t="s">
        <v>481</v>
      </c>
      <c r="J2208" t="s">
        <v>486</v>
      </c>
      <c r="K2208" t="s">
        <v>563</v>
      </c>
      <c r="L2208" t="s">
        <v>584</v>
      </c>
      <c r="M2208" t="s">
        <v>588</v>
      </c>
      <c r="N2208" t="s">
        <v>601</v>
      </c>
    </row>
    <row r="2209" spans="1:14" x14ac:dyDescent="0.25">
      <c r="A2209" t="s">
        <v>14</v>
      </c>
      <c r="B2209" t="s">
        <v>150</v>
      </c>
      <c r="C2209" t="s">
        <v>367</v>
      </c>
      <c r="D2209" t="s">
        <v>426</v>
      </c>
      <c r="F2209" t="s">
        <v>460</v>
      </c>
      <c r="G2209" t="str">
        <f>HYPERLINK("https://ca.linkedin.com/jobs/view/data-analyst-at-synechron-3361756851?refId=DuULPwfrmtIo4D4TbsZDBQ%3D%3D&amp;trackingId=W7WarAW5u30fXwOWO6q4hA%3D%3D&amp;position=10&amp;pageNum=0&amp;trk=public_jobs_jserp-result_search-card", "Job Link")</f>
        <v>Job Link</v>
      </c>
      <c r="H2209" t="s">
        <v>478</v>
      </c>
      <c r="I2209" t="s">
        <v>481</v>
      </c>
      <c r="J2209" t="s">
        <v>486</v>
      </c>
      <c r="K2209" t="s">
        <v>562</v>
      </c>
      <c r="L2209" t="s">
        <v>584</v>
      </c>
      <c r="M2209" t="s">
        <v>588</v>
      </c>
      <c r="N2209" t="s">
        <v>601</v>
      </c>
    </row>
    <row r="2210" spans="1:14" x14ac:dyDescent="0.25">
      <c r="A2210" t="s">
        <v>14</v>
      </c>
      <c r="B2210" t="s">
        <v>213</v>
      </c>
      <c r="C2210" t="s">
        <v>371</v>
      </c>
      <c r="D2210" t="s">
        <v>426</v>
      </c>
      <c r="F2210" t="s">
        <v>472</v>
      </c>
      <c r="G2210" t="str">
        <f>HYPERLINK("https://ca.linkedin.com/jobs/view/data-analyst-at-linkus-group-3345817125?refId=DuULPwfrmtIo4D4TbsZDBQ%3D%3D&amp;trackingId=cdV5pquoaUZL1zz4Stvnjg%3D%3D&amp;position=11&amp;pageNum=0&amp;trk=public_jobs_jserp-result_search-card", "Job Link")</f>
        <v>Job Link</v>
      </c>
      <c r="H2210" t="s">
        <v>476</v>
      </c>
      <c r="I2210" t="s">
        <v>481</v>
      </c>
      <c r="J2210" t="s">
        <v>486</v>
      </c>
      <c r="K2210" t="s">
        <v>518</v>
      </c>
      <c r="L2210" t="s">
        <v>588</v>
      </c>
      <c r="M2210" t="s">
        <v>601</v>
      </c>
    </row>
    <row r="2211" spans="1:14" x14ac:dyDescent="0.25">
      <c r="A2211" t="s">
        <v>14</v>
      </c>
      <c r="B2211" t="s">
        <v>214</v>
      </c>
      <c r="C2211" t="s">
        <v>372</v>
      </c>
      <c r="D2211" t="s">
        <v>426</v>
      </c>
      <c r="F2211" t="s">
        <v>432</v>
      </c>
      <c r="G2211" t="str">
        <f>HYPERLINK("https://ca.linkedin.com/jobs/view/data-analyst-at-goeasy-ltd-3358677253?refId=DuULPwfrmtIo4D4TbsZDBQ%3D%3D&amp;trackingId=OA%2BuJ4stEvXUQHViUUEoiQ%3D%3D&amp;position=12&amp;pageNum=0&amp;trk=public_jobs_jserp-result_search-card", "Job Link")</f>
        <v>Job Link</v>
      </c>
      <c r="H2211" t="s">
        <v>476</v>
      </c>
      <c r="I2211" t="s">
        <v>481</v>
      </c>
      <c r="J2211" t="s">
        <v>486</v>
      </c>
      <c r="K2211" t="s">
        <v>550</v>
      </c>
      <c r="L2211" t="s">
        <v>584</v>
      </c>
      <c r="M2211" t="s">
        <v>588</v>
      </c>
      <c r="N2211" t="s">
        <v>601</v>
      </c>
    </row>
    <row r="2212" spans="1:14" x14ac:dyDescent="0.25">
      <c r="A2212" t="s">
        <v>83</v>
      </c>
      <c r="B2212" t="s">
        <v>215</v>
      </c>
      <c r="C2212" t="s">
        <v>373</v>
      </c>
      <c r="D2212" t="s">
        <v>426</v>
      </c>
      <c r="F2212" t="s">
        <v>462</v>
      </c>
      <c r="G2212">
        <v>0</v>
      </c>
      <c r="H2212" t="s">
        <v>478</v>
      </c>
      <c r="I2212" t="s">
        <v>483</v>
      </c>
      <c r="J2212" t="s">
        <v>509</v>
      </c>
      <c r="K2212" t="s">
        <v>550</v>
      </c>
      <c r="L2212" t="s">
        <v>584</v>
      </c>
      <c r="M2212" t="s">
        <v>588</v>
      </c>
      <c r="N2212" t="s">
        <v>601</v>
      </c>
    </row>
    <row r="2213" spans="1:14" x14ac:dyDescent="0.25">
      <c r="A2213" t="s">
        <v>91</v>
      </c>
      <c r="B2213" t="s">
        <v>224</v>
      </c>
      <c r="C2213" t="s">
        <v>384</v>
      </c>
      <c r="D2213" t="s">
        <v>426</v>
      </c>
      <c r="F2213" t="s">
        <v>431</v>
      </c>
      <c r="G2213" t="str">
        <f>HYPERLINK("https://ca.linkedin.com/jobs/view/commercial-data-analyst-at-organigram-inc-3367177254?refId=DuULPwfrmtIo4D4TbsZDBQ%3D%3D&amp;trackingId=%2FE7G3XuTgXn9xGKFiKkOCg%3D%3D&amp;position=14&amp;pageNum=0&amp;trk=public_jobs_jserp-result_search-card", "Job Link")</f>
        <v>Job Link</v>
      </c>
      <c r="I2213" t="s">
        <v>481</v>
      </c>
      <c r="L2213" t="s">
        <v>582</v>
      </c>
      <c r="M2213" t="s">
        <v>588</v>
      </c>
      <c r="N2213" t="s">
        <v>601</v>
      </c>
    </row>
    <row r="2214" spans="1:14" x14ac:dyDescent="0.25">
      <c r="A2214" t="s">
        <v>20</v>
      </c>
      <c r="B2214" t="s">
        <v>207</v>
      </c>
      <c r="C2214" t="s">
        <v>374</v>
      </c>
      <c r="D2214" t="s">
        <v>426</v>
      </c>
      <c r="F2214" t="s">
        <v>463</v>
      </c>
      <c r="G2214" t="str">
        <f>HYPERLINK("https://ca.linkedin.com/jobs/view/senior-data-analyst-at-onlia-3320897882?refId=DuULPwfrmtIo4D4TbsZDBQ%3D%3D&amp;trackingId=gSGJtUQ25c%2F%2FqoUvWzjD1Q%3D%3D&amp;position=15&amp;pageNum=0&amp;trk=public_jobs_jserp-result_search-card", "Job Link")</f>
        <v>Job Link</v>
      </c>
      <c r="H2214" t="s">
        <v>477</v>
      </c>
      <c r="I2214" t="s">
        <v>481</v>
      </c>
      <c r="J2214" t="s">
        <v>486</v>
      </c>
      <c r="K2214" t="s">
        <v>523</v>
      </c>
      <c r="L2214" t="s">
        <v>582</v>
      </c>
      <c r="M2214" t="s">
        <v>588</v>
      </c>
      <c r="N2214" t="s">
        <v>601</v>
      </c>
    </row>
    <row r="2215" spans="1:14" x14ac:dyDescent="0.25">
      <c r="A2215" t="s">
        <v>84</v>
      </c>
      <c r="B2215" t="s">
        <v>216</v>
      </c>
      <c r="C2215" t="s">
        <v>375</v>
      </c>
      <c r="D2215" t="s">
        <v>426</v>
      </c>
      <c r="F2215" t="s">
        <v>452</v>
      </c>
      <c r="G2215" t="str">
        <f>HYPERLINK("https://ca.linkedin.com/jobs/view/data-analyst-hybrid-at-xylem-3335088701?refId=DuULPwfrmtIo4D4TbsZDBQ%3D%3D&amp;trackingId=QwLxuKRSIiX9sIt3EzgmKA%3D%3D&amp;position=16&amp;pageNum=0&amp;trk=public_jobs_jserp-result_search-card", "Job Link")</f>
        <v>Job Link</v>
      </c>
      <c r="H2215" t="s">
        <v>476</v>
      </c>
      <c r="I2215" t="s">
        <v>481</v>
      </c>
      <c r="J2215" t="s">
        <v>486</v>
      </c>
      <c r="K2215" t="s">
        <v>564</v>
      </c>
      <c r="L2215" t="s">
        <v>584</v>
      </c>
      <c r="M2215" t="s">
        <v>588</v>
      </c>
      <c r="N2215" t="s">
        <v>601</v>
      </c>
    </row>
    <row r="2216" spans="1:14" x14ac:dyDescent="0.25">
      <c r="A2216" t="s">
        <v>85</v>
      </c>
      <c r="B2216" t="s">
        <v>217</v>
      </c>
      <c r="C2216" t="s">
        <v>376</v>
      </c>
      <c r="D2216" t="s">
        <v>426</v>
      </c>
      <c r="F2216" t="s">
        <v>473</v>
      </c>
      <c r="G2216" t="str">
        <f>HYPERLINK("https://ca.linkedin.com/jobs/view/data-analyst-python-sql-at-geotab-3341823745?refId=DuULPwfrmtIo4D4TbsZDBQ%3D%3D&amp;trackingId=vOH9GiwEYr%2Bpwbog8AHkOA%3D%3D&amp;position=17&amp;pageNum=0&amp;trk=public_jobs_jserp-result_search-card", "Job Link")</f>
        <v>Job Link</v>
      </c>
      <c r="H2216" t="s">
        <v>479</v>
      </c>
      <c r="I2216" t="s">
        <v>481</v>
      </c>
      <c r="J2216" t="s">
        <v>486</v>
      </c>
      <c r="K2216" t="s">
        <v>521</v>
      </c>
      <c r="L2216" t="s">
        <v>612</v>
      </c>
      <c r="M2216" t="s">
        <v>588</v>
      </c>
      <c r="N2216" t="s">
        <v>601</v>
      </c>
    </row>
    <row r="2217" spans="1:14" x14ac:dyDescent="0.25">
      <c r="A2217" t="s">
        <v>86</v>
      </c>
      <c r="B2217" t="s">
        <v>167</v>
      </c>
      <c r="C2217" t="s">
        <v>377</v>
      </c>
      <c r="D2217" t="s">
        <v>426</v>
      </c>
      <c r="F2217" t="s">
        <v>454</v>
      </c>
      <c r="G2217" t="str">
        <f>HYPERLINK("https://ca.linkedin.com/jobs/view/data-analyst-reporting-at-thescore-3345941286?refId=DuULPwfrmtIo4D4TbsZDBQ%3D%3D&amp;trackingId=vsMLzQICr8FtzLtIehovWQ%3D%3D&amp;position=18&amp;pageNum=0&amp;trk=public_jobs_jserp-result_search-card", "Job Link")</f>
        <v>Job Link</v>
      </c>
      <c r="H2217" t="s">
        <v>476</v>
      </c>
      <c r="I2217" t="s">
        <v>481</v>
      </c>
      <c r="J2217" t="s">
        <v>486</v>
      </c>
      <c r="K2217" t="s">
        <v>545</v>
      </c>
      <c r="L2217" t="s">
        <v>582</v>
      </c>
      <c r="M2217" t="s">
        <v>588</v>
      </c>
      <c r="N2217" t="s">
        <v>601</v>
      </c>
    </row>
    <row r="2218" spans="1:14" x14ac:dyDescent="0.25">
      <c r="A2218" t="s">
        <v>87</v>
      </c>
      <c r="B2218" t="s">
        <v>218</v>
      </c>
      <c r="C2218" t="s">
        <v>378</v>
      </c>
      <c r="D2218" t="s">
        <v>426</v>
      </c>
      <c r="F2218" t="s">
        <v>432</v>
      </c>
      <c r="G2218">
        <v>0</v>
      </c>
      <c r="H2218" t="s">
        <v>478</v>
      </c>
      <c r="I2218" t="s">
        <v>483</v>
      </c>
      <c r="J2218" t="s">
        <v>486</v>
      </c>
      <c r="K2218" t="s">
        <v>521</v>
      </c>
      <c r="L2218" t="s">
        <v>582</v>
      </c>
      <c r="M2218" t="s">
        <v>588</v>
      </c>
      <c r="N2218" t="s">
        <v>601</v>
      </c>
    </row>
    <row r="2219" spans="1:14" x14ac:dyDescent="0.25">
      <c r="A2219" t="s">
        <v>90</v>
      </c>
      <c r="B2219" t="s">
        <v>223</v>
      </c>
      <c r="C2219" t="s">
        <v>383</v>
      </c>
      <c r="D2219" t="s">
        <v>426</v>
      </c>
      <c r="F2219" t="s">
        <v>443</v>
      </c>
      <c r="G2219" t="str">
        <f>HYPERLINK("https://ca.linkedin.com/jobs/view/data-administrator-data-analyst-at-hays-3369576413?refId=DuULPwfrmtIo4D4TbsZDBQ%3D%3D&amp;trackingId=952%2BhOvJwYIU%2FsRvbrDMBA%3D%3D&amp;position=20&amp;pageNum=0&amp;trk=public_jobs_jserp-result_search-card", "Job Link")</f>
        <v>Job Link</v>
      </c>
      <c r="H2219" t="s">
        <v>478</v>
      </c>
      <c r="I2219" t="s">
        <v>481</v>
      </c>
      <c r="J2219" t="s">
        <v>486</v>
      </c>
      <c r="K2219" t="s">
        <v>518</v>
      </c>
      <c r="L2219" t="s">
        <v>583</v>
      </c>
      <c r="M2219" t="s">
        <v>610</v>
      </c>
      <c r="N2219" t="s">
        <v>601</v>
      </c>
    </row>
    <row r="2220" spans="1:14" x14ac:dyDescent="0.25">
      <c r="A2220" t="s">
        <v>88</v>
      </c>
      <c r="B2220" t="s">
        <v>219</v>
      </c>
      <c r="C2220" t="s">
        <v>379</v>
      </c>
      <c r="D2220" t="s">
        <v>426</v>
      </c>
      <c r="F2220" t="s">
        <v>454</v>
      </c>
      <c r="G2220" t="str">
        <f>HYPERLINK("https://ca.linkedin.com/jobs/view/data-analyst-flight-pricing-optimization-at-priceline-3345993633?refId=DuULPwfrmtIo4D4TbsZDBQ%3D%3D&amp;trackingId=H%2B1tqPBkr47SE%2BovNuI4Hg%3D%3D&amp;position=21&amp;pageNum=0&amp;trk=public_jobs_jserp-result_search-card", "Job Link")</f>
        <v>Job Link</v>
      </c>
      <c r="H2220" t="s">
        <v>476</v>
      </c>
      <c r="I2220" t="s">
        <v>481</v>
      </c>
      <c r="J2220" t="s">
        <v>486</v>
      </c>
      <c r="K2220" t="s">
        <v>565</v>
      </c>
      <c r="L2220" t="s">
        <v>582</v>
      </c>
      <c r="M2220" t="s">
        <v>588</v>
      </c>
      <c r="N2220" t="s">
        <v>601</v>
      </c>
    </row>
    <row r="2221" spans="1:14" x14ac:dyDescent="0.25">
      <c r="A2221" t="s">
        <v>27</v>
      </c>
      <c r="B2221" t="s">
        <v>220</v>
      </c>
      <c r="C2221" t="s">
        <v>380</v>
      </c>
      <c r="D2221" t="s">
        <v>426</v>
      </c>
      <c r="F2221" t="s">
        <v>434</v>
      </c>
      <c r="G2221" t="str">
        <f>HYPERLINK("https://ca.linkedin.com/jobs/view/sr-data-analyst-at-randstad-canada-3354999789?refId=DuULPwfrmtIo4D4TbsZDBQ%3D%3D&amp;trackingId=NENio9KmDsAwn4tGrJHW9Q%3D%3D&amp;position=22&amp;pageNum=0&amp;trk=public_jobs_jserp-result_search-card", "Job Link")</f>
        <v>Job Link</v>
      </c>
      <c r="H2221" t="s">
        <v>478</v>
      </c>
      <c r="I2221" t="s">
        <v>483</v>
      </c>
      <c r="J2221" t="s">
        <v>486</v>
      </c>
      <c r="K2221" t="s">
        <v>518</v>
      </c>
      <c r="L2221" t="s">
        <v>584</v>
      </c>
      <c r="M2221" t="s">
        <v>588</v>
      </c>
      <c r="N2221" t="s">
        <v>601</v>
      </c>
    </row>
    <row r="2222" spans="1:14" x14ac:dyDescent="0.25">
      <c r="A2222" t="s">
        <v>89</v>
      </c>
      <c r="B2222" t="s">
        <v>221</v>
      </c>
      <c r="C2222" t="s">
        <v>381</v>
      </c>
      <c r="D2222" t="s">
        <v>426</v>
      </c>
      <c r="F2222" t="s">
        <v>461</v>
      </c>
      <c r="G2222">
        <v>0</v>
      </c>
      <c r="H2222" t="s">
        <v>476</v>
      </c>
      <c r="I2222" t="s">
        <v>481</v>
      </c>
      <c r="J2222" t="s">
        <v>488</v>
      </c>
      <c r="K2222" t="s">
        <v>566</v>
      </c>
      <c r="L2222" t="s">
        <v>582</v>
      </c>
      <c r="M2222" t="s">
        <v>588</v>
      </c>
      <c r="N2222" t="s">
        <v>601</v>
      </c>
    </row>
    <row r="2223" spans="1:14" x14ac:dyDescent="0.25">
      <c r="A2223" t="s">
        <v>14</v>
      </c>
      <c r="B2223" t="s">
        <v>222</v>
      </c>
      <c r="C2223" t="s">
        <v>382</v>
      </c>
      <c r="D2223" t="s">
        <v>426</v>
      </c>
      <c r="F2223" t="s">
        <v>431</v>
      </c>
      <c r="G2223" t="str">
        <f>HYPERLINK("https://ca.linkedin.com/jobs/view/data-analyst-at-circle-k-3367192655?refId=DuULPwfrmtIo4D4TbsZDBQ%3D%3D&amp;trackingId=eXWtT1lPED4CAs5j%2FRg49w%3D%3D&amp;position=24&amp;pageNum=0&amp;trk=public_jobs_jserp-result_search-card", "Job Link")</f>
        <v>Job Link</v>
      </c>
      <c r="H2223" t="s">
        <v>476</v>
      </c>
      <c r="I2223" t="s">
        <v>481</v>
      </c>
      <c r="J2223" t="s">
        <v>486</v>
      </c>
      <c r="K2223" t="s">
        <v>567</v>
      </c>
      <c r="L2223" t="s">
        <v>582</v>
      </c>
      <c r="M2223" t="s">
        <v>588</v>
      </c>
      <c r="N2223" t="s">
        <v>601</v>
      </c>
    </row>
    <row r="2224" spans="1:14" x14ac:dyDescent="0.25">
      <c r="A2224" t="s">
        <v>14</v>
      </c>
      <c r="B2224" t="s">
        <v>225</v>
      </c>
      <c r="C2224" t="s">
        <v>385</v>
      </c>
      <c r="D2224" t="s">
        <v>426</v>
      </c>
      <c r="F2224" t="s">
        <v>463</v>
      </c>
      <c r="G2224" t="str">
        <f>HYPERLINK("https://ca.linkedin.com/jobs/view/data-analyst-at-vector-institute-3325395506?refId=DuULPwfrmtIo4D4TbsZDBQ%3D%3D&amp;trackingId=sYbLdI43YGQQ%2B28yMTZ7xA%3D%3D&amp;position=25&amp;pageNum=0&amp;trk=public_jobs_jserp-result_search-card", "Job Link")</f>
        <v>Job Link</v>
      </c>
      <c r="H2224" t="s">
        <v>478</v>
      </c>
      <c r="I2224" t="s">
        <v>481</v>
      </c>
      <c r="J2224" t="s">
        <v>486</v>
      </c>
      <c r="K2224" t="s">
        <v>520</v>
      </c>
      <c r="L2224" t="s">
        <v>582</v>
      </c>
      <c r="M2224" t="s">
        <v>588</v>
      </c>
      <c r="N2224" t="s">
        <v>601</v>
      </c>
    </row>
    <row r="2225" spans="1:14" x14ac:dyDescent="0.25">
      <c r="A2225" t="s">
        <v>14</v>
      </c>
      <c r="B2225" t="s">
        <v>207</v>
      </c>
      <c r="C2225" t="s">
        <v>362</v>
      </c>
      <c r="D2225" t="s">
        <v>426</v>
      </c>
      <c r="F2225" t="s">
        <v>463</v>
      </c>
      <c r="G2225" t="str">
        <f>HYPERLINK("https://ca.linkedin.com/jobs/view/data-analyst-at-onlia-3320897897?refId=SwaYN9iQYK44J0fsn0AxhQ%3D%3D&amp;trackingId=ZyjO9cORwN6PkhcmkdjXWw%3D%3D&amp;position=1&amp;pageNum=0&amp;trk=public_jobs_jserp-result_search-card", "Job Link")</f>
        <v>Job Link</v>
      </c>
      <c r="H2225" t="s">
        <v>477</v>
      </c>
      <c r="I2225" t="s">
        <v>481</v>
      </c>
      <c r="J2225" t="s">
        <v>486</v>
      </c>
      <c r="K2225" t="s">
        <v>523</v>
      </c>
      <c r="L2225" t="s">
        <v>582</v>
      </c>
      <c r="M2225" t="s">
        <v>588</v>
      </c>
      <c r="N2225" t="s">
        <v>601</v>
      </c>
    </row>
    <row r="2226" spans="1:14" x14ac:dyDescent="0.25">
      <c r="A2226" t="s">
        <v>14</v>
      </c>
      <c r="B2226" t="s">
        <v>208</v>
      </c>
      <c r="C2226" t="s">
        <v>363</v>
      </c>
      <c r="D2226" t="s">
        <v>426</v>
      </c>
      <c r="F2226" t="s">
        <v>445</v>
      </c>
      <c r="G2226" t="str">
        <f>HYPERLINK("https://ca.linkedin.com/jobs/view/data-analyst-at-electronic-arts-ea-3325611825?refId=SwaYN9iQYK44J0fsn0AxhQ%3D%3D&amp;trackingId=gwhhKQGgEyUmBTFI2YFNXw%3D%3D&amp;position=2&amp;pageNum=0&amp;trk=public_jobs_jserp-result_search-card", "Job Link")</f>
        <v>Job Link</v>
      </c>
      <c r="H2226" t="s">
        <v>479</v>
      </c>
      <c r="I2226" t="s">
        <v>481</v>
      </c>
      <c r="J2226" t="s">
        <v>507</v>
      </c>
      <c r="K2226" t="s">
        <v>559</v>
      </c>
      <c r="L2226" t="s">
        <v>582</v>
      </c>
      <c r="M2226" t="s">
        <v>588</v>
      </c>
      <c r="N2226" t="s">
        <v>601</v>
      </c>
    </row>
    <row r="2227" spans="1:14" x14ac:dyDescent="0.25">
      <c r="A2227" t="s">
        <v>14</v>
      </c>
      <c r="B2227" t="s">
        <v>209</v>
      </c>
      <c r="C2227" t="s">
        <v>364</v>
      </c>
      <c r="D2227" t="s">
        <v>426</v>
      </c>
      <c r="F2227" t="s">
        <v>440</v>
      </c>
      <c r="G2227" t="str">
        <f>HYPERLINK("https://ca.linkedin.com/jobs/view/data-analyst-at-frostbite-3370111856?refId=SwaYN9iQYK44J0fsn0AxhQ%3D%3D&amp;trackingId=nx8gToYrYCm6yG7H%2BrmrQQ%3D%3D&amp;position=3&amp;pageNum=0&amp;trk=public_jobs_jserp-result_search-card", "Job Link")</f>
        <v>Job Link</v>
      </c>
      <c r="H2227" t="s">
        <v>479</v>
      </c>
      <c r="I2227" t="s">
        <v>481</v>
      </c>
      <c r="J2227" t="s">
        <v>507</v>
      </c>
      <c r="K2227" t="s">
        <v>559</v>
      </c>
      <c r="L2227" t="s">
        <v>590</v>
      </c>
      <c r="M2227" t="s">
        <v>618</v>
      </c>
      <c r="N2227" t="s">
        <v>601</v>
      </c>
    </row>
    <row r="2228" spans="1:14" x14ac:dyDescent="0.25">
      <c r="A2228" t="s">
        <v>14</v>
      </c>
      <c r="B2228" t="s">
        <v>211</v>
      </c>
      <c r="C2228" t="s">
        <v>366</v>
      </c>
      <c r="D2228" t="s">
        <v>426</v>
      </c>
      <c r="F2228" t="s">
        <v>443</v>
      </c>
      <c r="G2228" t="str">
        <f>HYPERLINK("https://ca.linkedin.com/jobs/view/data-analyst-at-mphasis-3363428246?refId=SwaYN9iQYK44J0fsn0AxhQ%3D%3D&amp;trackingId=NXUH8hqQDNc9w6SJFTK2GQ%3D%3D&amp;position=4&amp;pageNum=0&amp;trk=public_jobs_jserp-result_search-card", "Job Link")</f>
        <v>Job Link</v>
      </c>
      <c r="H2228" t="s">
        <v>477</v>
      </c>
      <c r="I2228" t="s">
        <v>481</v>
      </c>
      <c r="J2228" t="s">
        <v>486</v>
      </c>
      <c r="K2228" t="s">
        <v>521</v>
      </c>
      <c r="L2228" t="s">
        <v>609</v>
      </c>
      <c r="M2228" t="s">
        <v>610</v>
      </c>
      <c r="N2228" t="s">
        <v>601</v>
      </c>
    </row>
    <row r="2229" spans="1:14" x14ac:dyDescent="0.25">
      <c r="A2229" t="s">
        <v>81</v>
      </c>
      <c r="B2229" t="s">
        <v>210</v>
      </c>
      <c r="C2229" t="s">
        <v>365</v>
      </c>
      <c r="D2229" t="s">
        <v>426</v>
      </c>
      <c r="F2229" t="s">
        <v>436</v>
      </c>
      <c r="G2229" t="str">
        <f>HYPERLINK("https://ca.linkedin.com/jobs/view/data-analyst-c117-at-mitsubishi-motor-sales-of-canada-inc-3344852931?refId=SwaYN9iQYK44J0fsn0AxhQ%3D%3D&amp;trackingId=Uv%2Bc%2FIlV9oyka5qo3%2Fe3OA%3D%3D&amp;position=5&amp;pageNum=0&amp;trk=public_jobs_jserp-result_search-card", "Job Link")</f>
        <v>Job Link</v>
      </c>
      <c r="H2229" t="s">
        <v>477</v>
      </c>
      <c r="I2229" t="s">
        <v>481</v>
      </c>
      <c r="J2229" t="s">
        <v>508</v>
      </c>
      <c r="K2229" t="s">
        <v>561</v>
      </c>
      <c r="L2229" t="s">
        <v>584</v>
      </c>
      <c r="M2229" t="s">
        <v>588</v>
      </c>
      <c r="N2229" t="s">
        <v>601</v>
      </c>
    </row>
    <row r="2230" spans="1:14" x14ac:dyDescent="0.25">
      <c r="A2230" t="s">
        <v>14</v>
      </c>
      <c r="B2230" t="s">
        <v>150</v>
      </c>
      <c r="C2230" t="s">
        <v>367</v>
      </c>
      <c r="D2230" t="s">
        <v>426</v>
      </c>
      <c r="F2230" t="s">
        <v>433</v>
      </c>
      <c r="G2230" t="str">
        <f>HYPERLINK("https://ca.linkedin.com/jobs/view/data-analyst-at-synechron-3348329085?refId=SwaYN9iQYK44J0fsn0AxhQ%3D%3D&amp;trackingId=DJ9JFqDOY7AhyvOD0iW1aA%3D%3D&amp;position=6&amp;pageNum=0&amp;trk=public_jobs_jserp-result_search-card", "Job Link")</f>
        <v>Job Link</v>
      </c>
      <c r="H2230" t="s">
        <v>478</v>
      </c>
      <c r="I2230" t="s">
        <v>481</v>
      </c>
      <c r="J2230" t="s">
        <v>486</v>
      </c>
      <c r="K2230" t="s">
        <v>562</v>
      </c>
      <c r="L2230" t="s">
        <v>584</v>
      </c>
      <c r="M2230" t="s">
        <v>588</v>
      </c>
      <c r="N2230" t="s">
        <v>601</v>
      </c>
    </row>
    <row r="2231" spans="1:14" x14ac:dyDescent="0.25">
      <c r="A2231" t="s">
        <v>82</v>
      </c>
      <c r="B2231" t="s">
        <v>179</v>
      </c>
      <c r="C2231" t="s">
        <v>368</v>
      </c>
      <c r="D2231" t="s">
        <v>426</v>
      </c>
      <c r="F2231" t="s">
        <v>471</v>
      </c>
      <c r="G2231" t="str">
        <f>HYPERLINK("https://ca.linkedin.com/jobs/view/business-data-analyst-at-capgemini-3327624663?refId=SwaYN9iQYK44J0fsn0AxhQ%3D%3D&amp;trackingId=2zr5gmGxhLHWm3D1rnSYPQ%3D%3D&amp;position=7&amp;pageNum=0&amp;trk=public_jobs_jserp-result_search-card", "Job Link")</f>
        <v>Job Link</v>
      </c>
      <c r="H2231" t="s">
        <v>478</v>
      </c>
      <c r="I2231" t="s">
        <v>481</v>
      </c>
      <c r="J2231" t="s">
        <v>486</v>
      </c>
      <c r="K2231" t="s">
        <v>521</v>
      </c>
      <c r="L2231" t="s">
        <v>611</v>
      </c>
      <c r="M2231" t="s">
        <v>601</v>
      </c>
    </row>
    <row r="2232" spans="1:14" x14ac:dyDescent="0.25">
      <c r="A2232" t="s">
        <v>14</v>
      </c>
      <c r="B2232" t="s">
        <v>212</v>
      </c>
      <c r="C2232" t="s">
        <v>370</v>
      </c>
      <c r="D2232" t="s">
        <v>426</v>
      </c>
      <c r="F2232" t="s">
        <v>432</v>
      </c>
      <c r="G2232" t="str">
        <f>HYPERLINK("https://ca.linkedin.com/jobs/view/data-analyst-at-agilus-work-solutions-3358673093?refId=SwaYN9iQYK44J0fsn0AxhQ%3D%3D&amp;trackingId=%2FYmtGjAdtrv%2B4OAX0GKBcw%3D%3D&amp;position=8&amp;pageNum=0&amp;trk=public_jobs_jserp-result_search-card", "Job Link")</f>
        <v>Job Link</v>
      </c>
      <c r="H2232" t="s">
        <v>477</v>
      </c>
      <c r="I2232" t="s">
        <v>483</v>
      </c>
      <c r="J2232" t="s">
        <v>486</v>
      </c>
      <c r="K2232" t="s">
        <v>518</v>
      </c>
      <c r="L2232" t="s">
        <v>582</v>
      </c>
      <c r="M2232" t="s">
        <v>588</v>
      </c>
      <c r="N2232" t="s">
        <v>601</v>
      </c>
    </row>
    <row r="2233" spans="1:14" x14ac:dyDescent="0.25">
      <c r="A2233" t="s">
        <v>14</v>
      </c>
      <c r="B2233" t="s">
        <v>150</v>
      </c>
      <c r="C2233" t="s">
        <v>369</v>
      </c>
      <c r="D2233" t="s">
        <v>426</v>
      </c>
      <c r="F2233" t="s">
        <v>460</v>
      </c>
      <c r="G2233" t="str">
        <f>HYPERLINK("https://ca.linkedin.com/jobs/view/data-analyst-at-synechron-3364863079?refId=SwaYN9iQYK44J0fsn0AxhQ%3D%3D&amp;trackingId=4To8UTPsi2KUSqnzlKBBlQ%3D%3D&amp;position=9&amp;pageNum=0&amp;trk=public_jobs_jserp-result_search-card", "Job Link")</f>
        <v>Job Link</v>
      </c>
      <c r="H2233" t="s">
        <v>478</v>
      </c>
      <c r="I2233" t="s">
        <v>481</v>
      </c>
      <c r="J2233" t="s">
        <v>486</v>
      </c>
      <c r="K2233" t="s">
        <v>563</v>
      </c>
      <c r="L2233" t="s">
        <v>584</v>
      </c>
      <c r="M2233" t="s">
        <v>588</v>
      </c>
      <c r="N2233" t="s">
        <v>601</v>
      </c>
    </row>
    <row r="2234" spans="1:14" x14ac:dyDescent="0.25">
      <c r="A2234" t="s">
        <v>14</v>
      </c>
      <c r="B2234" t="s">
        <v>150</v>
      </c>
      <c r="C2234" t="s">
        <v>367</v>
      </c>
      <c r="D2234" t="s">
        <v>426</v>
      </c>
      <c r="F2234" t="s">
        <v>460</v>
      </c>
      <c r="G2234" t="str">
        <f>HYPERLINK("https://ca.linkedin.com/jobs/view/data-analyst-at-synechron-3361756851?refId=SwaYN9iQYK44J0fsn0AxhQ%3D%3D&amp;trackingId=QRFUIay0svyb2xRloa9y3g%3D%3D&amp;position=10&amp;pageNum=0&amp;trk=public_jobs_jserp-result_search-card", "Job Link")</f>
        <v>Job Link</v>
      </c>
      <c r="H2234" t="s">
        <v>478</v>
      </c>
      <c r="I2234" t="s">
        <v>481</v>
      </c>
      <c r="J2234" t="s">
        <v>486</v>
      </c>
      <c r="K2234" t="s">
        <v>562</v>
      </c>
      <c r="L2234" t="s">
        <v>584</v>
      </c>
      <c r="M2234" t="s">
        <v>588</v>
      </c>
      <c r="N2234" t="s">
        <v>601</v>
      </c>
    </row>
    <row r="2235" spans="1:14" x14ac:dyDescent="0.25">
      <c r="A2235" t="s">
        <v>14</v>
      </c>
      <c r="B2235" t="s">
        <v>213</v>
      </c>
      <c r="C2235" t="s">
        <v>371</v>
      </c>
      <c r="D2235" t="s">
        <v>426</v>
      </c>
      <c r="F2235" t="s">
        <v>472</v>
      </c>
      <c r="G2235" t="str">
        <f>HYPERLINK("https://ca.linkedin.com/jobs/view/data-analyst-at-linkus-group-3345817125?refId=SwaYN9iQYK44J0fsn0AxhQ%3D%3D&amp;trackingId=C%2BmQj%2FAZYdgIG8TOUh5rhQ%3D%3D&amp;position=11&amp;pageNum=0&amp;trk=public_jobs_jserp-result_search-card", "Job Link")</f>
        <v>Job Link</v>
      </c>
      <c r="H2235" t="s">
        <v>476</v>
      </c>
      <c r="I2235" t="s">
        <v>481</v>
      </c>
      <c r="J2235" t="s">
        <v>486</v>
      </c>
      <c r="K2235" t="s">
        <v>518</v>
      </c>
      <c r="L2235" t="s">
        <v>588</v>
      </c>
      <c r="M2235" t="s">
        <v>601</v>
      </c>
    </row>
    <row r="2236" spans="1:14" x14ac:dyDescent="0.25">
      <c r="A2236" t="s">
        <v>14</v>
      </c>
      <c r="B2236" t="s">
        <v>214</v>
      </c>
      <c r="C2236" t="s">
        <v>372</v>
      </c>
      <c r="D2236" t="s">
        <v>426</v>
      </c>
      <c r="F2236" t="s">
        <v>432</v>
      </c>
      <c r="G2236" t="str">
        <f>HYPERLINK("https://ca.linkedin.com/jobs/view/data-analyst-at-goeasy-ltd-3358677253?refId=SwaYN9iQYK44J0fsn0AxhQ%3D%3D&amp;trackingId=I8uzmGSyObcRpkt%2FSdePiw%3D%3D&amp;position=12&amp;pageNum=0&amp;trk=public_jobs_jserp-result_search-card", "Job Link")</f>
        <v>Job Link</v>
      </c>
      <c r="H2236" t="s">
        <v>476</v>
      </c>
      <c r="I2236" t="s">
        <v>481</v>
      </c>
      <c r="J2236" t="s">
        <v>486</v>
      </c>
      <c r="K2236" t="s">
        <v>550</v>
      </c>
      <c r="L2236" t="s">
        <v>584</v>
      </c>
      <c r="M2236" t="s">
        <v>588</v>
      </c>
      <c r="N2236" t="s">
        <v>601</v>
      </c>
    </row>
    <row r="2237" spans="1:14" x14ac:dyDescent="0.25">
      <c r="A2237" t="s">
        <v>83</v>
      </c>
      <c r="B2237" t="s">
        <v>215</v>
      </c>
      <c r="C2237" t="s">
        <v>373</v>
      </c>
      <c r="D2237" t="s">
        <v>426</v>
      </c>
      <c r="F2237" t="s">
        <v>462</v>
      </c>
      <c r="G2237">
        <v>0</v>
      </c>
      <c r="H2237" t="s">
        <v>478</v>
      </c>
      <c r="I2237" t="s">
        <v>483</v>
      </c>
      <c r="J2237" t="s">
        <v>509</v>
      </c>
      <c r="K2237" t="s">
        <v>550</v>
      </c>
      <c r="L2237" t="s">
        <v>584</v>
      </c>
      <c r="M2237" t="s">
        <v>588</v>
      </c>
      <c r="N2237" t="s">
        <v>601</v>
      </c>
    </row>
    <row r="2238" spans="1:14" x14ac:dyDescent="0.25">
      <c r="A2238" t="s">
        <v>91</v>
      </c>
      <c r="B2238" t="s">
        <v>224</v>
      </c>
      <c r="C2238" t="s">
        <v>384</v>
      </c>
      <c r="D2238" t="s">
        <v>426</v>
      </c>
      <c r="F2238" t="s">
        <v>431</v>
      </c>
      <c r="G2238" t="str">
        <f>HYPERLINK("https://ca.linkedin.com/jobs/view/commercial-data-analyst-at-organigram-inc-3367177254?refId=SwaYN9iQYK44J0fsn0AxhQ%3D%3D&amp;trackingId=fggCs4Uo8Juk2NggtFFk9A%3D%3D&amp;position=14&amp;pageNum=0&amp;trk=public_jobs_jserp-result_search-card", "Job Link")</f>
        <v>Job Link</v>
      </c>
      <c r="I2238" t="s">
        <v>481</v>
      </c>
      <c r="L2238" t="s">
        <v>582</v>
      </c>
      <c r="M2238" t="s">
        <v>588</v>
      </c>
      <c r="N2238" t="s">
        <v>601</v>
      </c>
    </row>
    <row r="2239" spans="1:14" x14ac:dyDescent="0.25">
      <c r="A2239" t="s">
        <v>20</v>
      </c>
      <c r="B2239" t="s">
        <v>207</v>
      </c>
      <c r="C2239" t="s">
        <v>374</v>
      </c>
      <c r="D2239" t="s">
        <v>426</v>
      </c>
      <c r="F2239" t="s">
        <v>463</v>
      </c>
      <c r="G2239" t="str">
        <f>HYPERLINK("https://ca.linkedin.com/jobs/view/senior-data-analyst-at-onlia-3320897882?refId=SwaYN9iQYK44J0fsn0AxhQ%3D%3D&amp;trackingId=RX9KYVh8LhVe3hQx0R8qDg%3D%3D&amp;position=15&amp;pageNum=0&amp;trk=public_jobs_jserp-result_search-card", "Job Link")</f>
        <v>Job Link</v>
      </c>
      <c r="H2239" t="s">
        <v>477</v>
      </c>
      <c r="I2239" t="s">
        <v>481</v>
      </c>
      <c r="J2239" t="s">
        <v>486</v>
      </c>
      <c r="K2239" t="s">
        <v>523</v>
      </c>
      <c r="L2239" t="s">
        <v>582</v>
      </c>
      <c r="M2239" t="s">
        <v>588</v>
      </c>
      <c r="N2239" t="s">
        <v>601</v>
      </c>
    </row>
    <row r="2240" spans="1:14" x14ac:dyDescent="0.25">
      <c r="A2240" t="s">
        <v>84</v>
      </c>
      <c r="B2240" t="s">
        <v>216</v>
      </c>
      <c r="C2240" t="s">
        <v>375</v>
      </c>
      <c r="D2240" t="s">
        <v>426</v>
      </c>
      <c r="F2240" t="s">
        <v>452</v>
      </c>
      <c r="G2240" t="str">
        <f>HYPERLINK("https://ca.linkedin.com/jobs/view/data-analyst-hybrid-at-xylem-3335088701?refId=SwaYN9iQYK44J0fsn0AxhQ%3D%3D&amp;trackingId=A7GrHATFD73SkozlqbOAWA%3D%3D&amp;position=16&amp;pageNum=0&amp;trk=public_jobs_jserp-result_search-card", "Job Link")</f>
        <v>Job Link</v>
      </c>
      <c r="H2240" t="s">
        <v>476</v>
      </c>
      <c r="I2240" t="s">
        <v>481</v>
      </c>
      <c r="J2240" t="s">
        <v>486</v>
      </c>
      <c r="K2240" t="s">
        <v>564</v>
      </c>
      <c r="L2240" t="s">
        <v>584</v>
      </c>
      <c r="M2240" t="s">
        <v>588</v>
      </c>
      <c r="N2240" t="s">
        <v>601</v>
      </c>
    </row>
    <row r="2241" spans="1:14" x14ac:dyDescent="0.25">
      <c r="A2241" t="s">
        <v>85</v>
      </c>
      <c r="B2241" t="s">
        <v>217</v>
      </c>
      <c r="C2241" t="s">
        <v>376</v>
      </c>
      <c r="D2241" t="s">
        <v>426</v>
      </c>
      <c r="F2241" t="s">
        <v>473</v>
      </c>
      <c r="G2241" t="str">
        <f>HYPERLINK("https://ca.linkedin.com/jobs/view/data-analyst-python-sql-at-geotab-3341823745?refId=SwaYN9iQYK44J0fsn0AxhQ%3D%3D&amp;trackingId=I%2FTOHsJS3BL4WOHxt%2BDwgg%3D%3D&amp;position=17&amp;pageNum=0&amp;trk=public_jobs_jserp-result_search-card", "Job Link")</f>
        <v>Job Link</v>
      </c>
      <c r="H2241" t="s">
        <v>479</v>
      </c>
      <c r="I2241" t="s">
        <v>481</v>
      </c>
      <c r="J2241" t="s">
        <v>486</v>
      </c>
      <c r="K2241" t="s">
        <v>521</v>
      </c>
      <c r="L2241" t="s">
        <v>612</v>
      </c>
      <c r="M2241" t="s">
        <v>588</v>
      </c>
      <c r="N2241" t="s">
        <v>601</v>
      </c>
    </row>
    <row r="2242" spans="1:14" x14ac:dyDescent="0.25">
      <c r="A2242" t="s">
        <v>86</v>
      </c>
      <c r="B2242" t="s">
        <v>167</v>
      </c>
      <c r="C2242" t="s">
        <v>377</v>
      </c>
      <c r="D2242" t="s">
        <v>426</v>
      </c>
      <c r="F2242" t="s">
        <v>454</v>
      </c>
      <c r="G2242" t="str">
        <f>HYPERLINK("https://ca.linkedin.com/jobs/view/data-analyst-reporting-at-thescore-3345941286?refId=SwaYN9iQYK44J0fsn0AxhQ%3D%3D&amp;trackingId=voV%2FCk9AxTHlYD6LLScb%2Fw%3D%3D&amp;position=18&amp;pageNum=0&amp;trk=public_jobs_jserp-result_search-card", "Job Link")</f>
        <v>Job Link</v>
      </c>
      <c r="H2242" t="s">
        <v>476</v>
      </c>
      <c r="I2242" t="s">
        <v>481</v>
      </c>
      <c r="J2242" t="s">
        <v>486</v>
      </c>
      <c r="K2242" t="s">
        <v>545</v>
      </c>
      <c r="L2242" t="s">
        <v>582</v>
      </c>
      <c r="M2242" t="s">
        <v>588</v>
      </c>
      <c r="N2242" t="s">
        <v>601</v>
      </c>
    </row>
    <row r="2243" spans="1:14" x14ac:dyDescent="0.25">
      <c r="A2243" t="s">
        <v>87</v>
      </c>
      <c r="B2243" t="s">
        <v>218</v>
      </c>
      <c r="C2243" t="s">
        <v>378</v>
      </c>
      <c r="D2243" t="s">
        <v>426</v>
      </c>
      <c r="F2243" t="s">
        <v>432</v>
      </c>
      <c r="G2243">
        <v>0</v>
      </c>
      <c r="H2243" t="s">
        <v>478</v>
      </c>
      <c r="I2243" t="s">
        <v>483</v>
      </c>
      <c r="J2243" t="s">
        <v>486</v>
      </c>
      <c r="K2243" t="s">
        <v>521</v>
      </c>
      <c r="L2243" t="s">
        <v>582</v>
      </c>
      <c r="M2243" t="s">
        <v>588</v>
      </c>
      <c r="N2243" t="s">
        <v>601</v>
      </c>
    </row>
    <row r="2244" spans="1:14" x14ac:dyDescent="0.25">
      <c r="A2244" t="s">
        <v>90</v>
      </c>
      <c r="B2244" t="s">
        <v>223</v>
      </c>
      <c r="C2244" t="s">
        <v>383</v>
      </c>
      <c r="D2244" t="s">
        <v>426</v>
      </c>
      <c r="F2244" t="s">
        <v>443</v>
      </c>
      <c r="G2244" t="str">
        <f>HYPERLINK("https://ca.linkedin.com/jobs/view/data-administrator-data-analyst-at-hays-3369576413?refId=SwaYN9iQYK44J0fsn0AxhQ%3D%3D&amp;trackingId=egNDTFce5%2FmoEnWHyrdBGw%3D%3D&amp;position=20&amp;pageNum=0&amp;trk=public_jobs_jserp-result_search-card", "Job Link")</f>
        <v>Job Link</v>
      </c>
      <c r="H2244" t="s">
        <v>478</v>
      </c>
      <c r="I2244" t="s">
        <v>481</v>
      </c>
      <c r="J2244" t="s">
        <v>486</v>
      </c>
      <c r="K2244" t="s">
        <v>518</v>
      </c>
      <c r="L2244" t="s">
        <v>583</v>
      </c>
      <c r="M2244" t="s">
        <v>610</v>
      </c>
      <c r="N2244" t="s">
        <v>601</v>
      </c>
    </row>
    <row r="2245" spans="1:14" x14ac:dyDescent="0.25">
      <c r="A2245" t="s">
        <v>88</v>
      </c>
      <c r="B2245" t="s">
        <v>219</v>
      </c>
      <c r="C2245" t="s">
        <v>379</v>
      </c>
      <c r="D2245" t="s">
        <v>426</v>
      </c>
      <c r="F2245" t="s">
        <v>454</v>
      </c>
      <c r="G2245" t="str">
        <f>HYPERLINK("https://ca.linkedin.com/jobs/view/data-analyst-flight-pricing-optimization-at-priceline-3345993633?refId=SwaYN9iQYK44J0fsn0AxhQ%3D%3D&amp;trackingId=OQZGFdP4oeq1Eqz%2FMwf7aA%3D%3D&amp;position=21&amp;pageNum=0&amp;trk=public_jobs_jserp-result_search-card", "Job Link")</f>
        <v>Job Link</v>
      </c>
      <c r="H2245" t="s">
        <v>476</v>
      </c>
      <c r="I2245" t="s">
        <v>481</v>
      </c>
      <c r="J2245" t="s">
        <v>486</v>
      </c>
      <c r="K2245" t="s">
        <v>565</v>
      </c>
      <c r="L2245" t="s">
        <v>582</v>
      </c>
      <c r="M2245" t="s">
        <v>588</v>
      </c>
      <c r="N2245" t="s">
        <v>601</v>
      </c>
    </row>
    <row r="2246" spans="1:14" x14ac:dyDescent="0.25">
      <c r="A2246" t="s">
        <v>27</v>
      </c>
      <c r="B2246" t="s">
        <v>220</v>
      </c>
      <c r="C2246" t="s">
        <v>380</v>
      </c>
      <c r="D2246" t="s">
        <v>426</v>
      </c>
      <c r="F2246" t="s">
        <v>434</v>
      </c>
      <c r="G2246" t="str">
        <f>HYPERLINK("https://ca.linkedin.com/jobs/view/sr-data-analyst-at-randstad-canada-3354999789?refId=SwaYN9iQYK44J0fsn0AxhQ%3D%3D&amp;trackingId=T6Ji7k6cY%2BxVyGBSzEc%2Fvg%3D%3D&amp;position=22&amp;pageNum=0&amp;trk=public_jobs_jserp-result_search-card", "Job Link")</f>
        <v>Job Link</v>
      </c>
      <c r="H2246" t="s">
        <v>478</v>
      </c>
      <c r="I2246" t="s">
        <v>483</v>
      </c>
      <c r="J2246" t="s">
        <v>486</v>
      </c>
      <c r="K2246" t="s">
        <v>518</v>
      </c>
      <c r="L2246" t="s">
        <v>584</v>
      </c>
      <c r="M2246" t="s">
        <v>588</v>
      </c>
      <c r="N2246" t="s">
        <v>601</v>
      </c>
    </row>
    <row r="2247" spans="1:14" x14ac:dyDescent="0.25">
      <c r="A2247" t="s">
        <v>89</v>
      </c>
      <c r="B2247" t="s">
        <v>221</v>
      </c>
      <c r="C2247" t="s">
        <v>381</v>
      </c>
      <c r="D2247" t="s">
        <v>426</v>
      </c>
      <c r="F2247" t="s">
        <v>461</v>
      </c>
      <c r="G2247">
        <v>0</v>
      </c>
      <c r="H2247" t="s">
        <v>476</v>
      </c>
      <c r="I2247" t="s">
        <v>481</v>
      </c>
      <c r="J2247" t="s">
        <v>488</v>
      </c>
      <c r="K2247" t="s">
        <v>566</v>
      </c>
      <c r="L2247" t="s">
        <v>582</v>
      </c>
      <c r="M2247" t="s">
        <v>588</v>
      </c>
      <c r="N2247" t="s">
        <v>601</v>
      </c>
    </row>
    <row r="2248" spans="1:14" x14ac:dyDescent="0.25">
      <c r="A2248" t="s">
        <v>14</v>
      </c>
      <c r="B2248" t="s">
        <v>222</v>
      </c>
      <c r="C2248" t="s">
        <v>382</v>
      </c>
      <c r="D2248" t="s">
        <v>426</v>
      </c>
      <c r="F2248" t="s">
        <v>431</v>
      </c>
      <c r="G2248" t="str">
        <f>HYPERLINK("https://ca.linkedin.com/jobs/view/data-analyst-at-circle-k-3367192655?refId=SwaYN9iQYK44J0fsn0AxhQ%3D%3D&amp;trackingId=YQ23pztgLzBOOp%2FyeiA6rg%3D%3D&amp;position=24&amp;pageNum=0&amp;trk=public_jobs_jserp-result_search-card", "Job Link")</f>
        <v>Job Link</v>
      </c>
      <c r="H2248" t="s">
        <v>476</v>
      </c>
      <c r="I2248" t="s">
        <v>481</v>
      </c>
      <c r="J2248" t="s">
        <v>486</v>
      </c>
      <c r="K2248" t="s">
        <v>567</v>
      </c>
      <c r="L2248" t="s">
        <v>582</v>
      </c>
      <c r="M2248" t="s">
        <v>588</v>
      </c>
      <c r="N2248" t="s">
        <v>601</v>
      </c>
    </row>
    <row r="2249" spans="1:14" x14ac:dyDescent="0.25">
      <c r="A2249" t="s">
        <v>14</v>
      </c>
      <c r="B2249" t="s">
        <v>225</v>
      </c>
      <c r="C2249" t="s">
        <v>385</v>
      </c>
      <c r="D2249" t="s">
        <v>426</v>
      </c>
      <c r="F2249" t="s">
        <v>463</v>
      </c>
      <c r="G2249" t="str">
        <f>HYPERLINK("https://ca.linkedin.com/jobs/view/data-analyst-at-vector-institute-3325395506?refId=SwaYN9iQYK44J0fsn0AxhQ%3D%3D&amp;trackingId=nt3Kd9SOOg13Ejcq585Yug%3D%3D&amp;position=25&amp;pageNum=0&amp;trk=public_jobs_jserp-result_search-card", "Job Link")</f>
        <v>Job Link</v>
      </c>
      <c r="H2249" t="s">
        <v>478</v>
      </c>
      <c r="I2249" t="s">
        <v>481</v>
      </c>
      <c r="J2249" t="s">
        <v>486</v>
      </c>
      <c r="K2249" t="s">
        <v>520</v>
      </c>
      <c r="L2249" t="s">
        <v>582</v>
      </c>
      <c r="M2249" t="s">
        <v>588</v>
      </c>
      <c r="N2249" t="s">
        <v>601</v>
      </c>
    </row>
    <row r="2250" spans="1:14" x14ac:dyDescent="0.25">
      <c r="A2250" t="s">
        <v>14</v>
      </c>
      <c r="B2250" t="s">
        <v>207</v>
      </c>
      <c r="C2250" t="s">
        <v>362</v>
      </c>
      <c r="D2250" t="s">
        <v>426</v>
      </c>
      <c r="F2250" t="s">
        <v>463</v>
      </c>
      <c r="G2250" t="str">
        <f>HYPERLINK("https://ca.linkedin.com/jobs/view/data-analyst-at-onlia-3320897897?refId=X5l66XZFiklZwSI5%2Fp82xg%3D%3D&amp;trackingId=mPGMnowAqYWQAI%2Fy2Zn4IQ%3D%3D&amp;position=1&amp;pageNum=0&amp;trk=public_jobs_jserp-result_search-card", "Job Link")</f>
        <v>Job Link</v>
      </c>
      <c r="H2250" t="s">
        <v>477</v>
      </c>
      <c r="I2250" t="s">
        <v>481</v>
      </c>
      <c r="J2250" t="s">
        <v>486</v>
      </c>
      <c r="K2250" t="s">
        <v>523</v>
      </c>
      <c r="L2250" t="s">
        <v>582</v>
      </c>
      <c r="M2250" t="s">
        <v>588</v>
      </c>
      <c r="N2250" t="s">
        <v>601</v>
      </c>
    </row>
    <row r="2251" spans="1:14" x14ac:dyDescent="0.25">
      <c r="A2251" t="s">
        <v>14</v>
      </c>
      <c r="B2251" t="s">
        <v>208</v>
      </c>
      <c r="C2251" t="s">
        <v>363</v>
      </c>
      <c r="D2251" t="s">
        <v>426</v>
      </c>
      <c r="F2251" t="s">
        <v>445</v>
      </c>
      <c r="G2251" t="str">
        <f>HYPERLINK("https://ca.linkedin.com/jobs/view/data-analyst-at-electronic-arts-ea-3325611825?refId=X5l66XZFiklZwSI5%2Fp82xg%3D%3D&amp;trackingId=k9uzQ6ThjxumGTy6809xiA%3D%3D&amp;position=2&amp;pageNum=0&amp;trk=public_jobs_jserp-result_search-card", "Job Link")</f>
        <v>Job Link</v>
      </c>
      <c r="H2251" t="s">
        <v>479</v>
      </c>
      <c r="I2251" t="s">
        <v>481</v>
      </c>
      <c r="J2251" t="s">
        <v>507</v>
      </c>
      <c r="K2251" t="s">
        <v>559</v>
      </c>
      <c r="L2251" t="s">
        <v>582</v>
      </c>
      <c r="M2251" t="s">
        <v>588</v>
      </c>
      <c r="N2251" t="s">
        <v>601</v>
      </c>
    </row>
    <row r="2252" spans="1:14" x14ac:dyDescent="0.25">
      <c r="A2252" t="s">
        <v>14</v>
      </c>
      <c r="B2252" t="s">
        <v>209</v>
      </c>
      <c r="C2252" t="s">
        <v>364</v>
      </c>
      <c r="D2252" t="s">
        <v>426</v>
      </c>
      <c r="F2252" t="s">
        <v>440</v>
      </c>
      <c r="G2252" t="str">
        <f>HYPERLINK("https://ca.linkedin.com/jobs/view/data-analyst-at-frostbite-3370111856?refId=X5l66XZFiklZwSI5%2Fp82xg%3D%3D&amp;trackingId=JT9qgLZXfx121HndC4CDKA%3D%3D&amp;position=3&amp;pageNum=0&amp;trk=public_jobs_jserp-result_search-card", "Job Link")</f>
        <v>Job Link</v>
      </c>
      <c r="H2252" t="s">
        <v>479</v>
      </c>
      <c r="I2252" t="s">
        <v>481</v>
      </c>
      <c r="J2252" t="s">
        <v>507</v>
      </c>
      <c r="K2252" t="s">
        <v>559</v>
      </c>
      <c r="L2252" t="s">
        <v>590</v>
      </c>
      <c r="M2252" t="s">
        <v>618</v>
      </c>
      <c r="N2252" t="s">
        <v>601</v>
      </c>
    </row>
    <row r="2253" spans="1:14" x14ac:dyDescent="0.25">
      <c r="A2253" t="s">
        <v>81</v>
      </c>
      <c r="B2253" t="s">
        <v>210</v>
      </c>
      <c r="C2253" t="s">
        <v>365</v>
      </c>
      <c r="D2253" t="s">
        <v>426</v>
      </c>
      <c r="F2253" t="s">
        <v>436</v>
      </c>
      <c r="G2253" t="str">
        <f>HYPERLINK("https://ca.linkedin.com/jobs/view/data-analyst-c117-at-mitsubishi-motor-sales-of-canada-inc-3344852931?refId=X5l66XZFiklZwSI5%2Fp82xg%3D%3D&amp;trackingId=9Bcc2NtOPiAxObKz0Ytu%2Fg%3D%3D&amp;position=4&amp;pageNum=0&amp;trk=public_jobs_jserp-result_search-card", "Job Link")</f>
        <v>Job Link</v>
      </c>
      <c r="H2253" t="s">
        <v>477</v>
      </c>
      <c r="I2253" t="s">
        <v>481</v>
      </c>
      <c r="J2253" t="s">
        <v>508</v>
      </c>
      <c r="K2253" t="s">
        <v>561</v>
      </c>
      <c r="L2253" t="s">
        <v>584</v>
      </c>
      <c r="M2253" t="s">
        <v>588</v>
      </c>
      <c r="N2253" t="s">
        <v>601</v>
      </c>
    </row>
    <row r="2254" spans="1:14" x14ac:dyDescent="0.25">
      <c r="A2254" t="s">
        <v>14</v>
      </c>
      <c r="B2254" t="s">
        <v>211</v>
      </c>
      <c r="C2254" t="s">
        <v>366</v>
      </c>
      <c r="D2254" t="s">
        <v>426</v>
      </c>
      <c r="F2254" t="s">
        <v>443</v>
      </c>
      <c r="G2254" t="str">
        <f>HYPERLINK("https://ca.linkedin.com/jobs/view/data-analyst-at-mphasis-3363428246?refId=X5l66XZFiklZwSI5%2Fp82xg%3D%3D&amp;trackingId=yMmSjiZNjHVhpPz%2BkB7BoA%3D%3D&amp;position=5&amp;pageNum=0&amp;trk=public_jobs_jserp-result_search-card", "Job Link")</f>
        <v>Job Link</v>
      </c>
      <c r="H2254" t="s">
        <v>477</v>
      </c>
      <c r="I2254" t="s">
        <v>481</v>
      </c>
      <c r="J2254" t="s">
        <v>486</v>
      </c>
      <c r="K2254" t="s">
        <v>521</v>
      </c>
      <c r="L2254" t="s">
        <v>609</v>
      </c>
      <c r="M2254" t="s">
        <v>610</v>
      </c>
      <c r="N2254" t="s">
        <v>601</v>
      </c>
    </row>
    <row r="2255" spans="1:14" x14ac:dyDescent="0.25">
      <c r="A2255" t="s">
        <v>14</v>
      </c>
      <c r="B2255" t="s">
        <v>150</v>
      </c>
      <c r="C2255" t="s">
        <v>367</v>
      </c>
      <c r="D2255" t="s">
        <v>426</v>
      </c>
      <c r="F2255" t="s">
        <v>433</v>
      </c>
      <c r="G2255" t="str">
        <f>HYPERLINK("https://ca.linkedin.com/jobs/view/data-analyst-at-synechron-3348329085?refId=X5l66XZFiklZwSI5%2Fp82xg%3D%3D&amp;trackingId=lByae%2B7A%2BksL4Ff097nOCw%3D%3D&amp;position=6&amp;pageNum=0&amp;trk=public_jobs_jserp-result_search-card", "Job Link")</f>
        <v>Job Link</v>
      </c>
      <c r="H2255" t="s">
        <v>478</v>
      </c>
      <c r="I2255" t="s">
        <v>481</v>
      </c>
      <c r="J2255" t="s">
        <v>486</v>
      </c>
      <c r="K2255" t="s">
        <v>562</v>
      </c>
      <c r="L2255" t="s">
        <v>584</v>
      </c>
      <c r="M2255" t="s">
        <v>588</v>
      </c>
      <c r="N2255" t="s">
        <v>601</v>
      </c>
    </row>
    <row r="2256" spans="1:14" x14ac:dyDescent="0.25">
      <c r="A2256" t="s">
        <v>82</v>
      </c>
      <c r="B2256" t="s">
        <v>179</v>
      </c>
      <c r="C2256" t="s">
        <v>368</v>
      </c>
      <c r="D2256" t="s">
        <v>426</v>
      </c>
      <c r="F2256" t="s">
        <v>471</v>
      </c>
      <c r="G2256" t="str">
        <f>HYPERLINK("https://ca.linkedin.com/jobs/view/business-data-analyst-at-capgemini-3327624663?refId=X5l66XZFiklZwSI5%2Fp82xg%3D%3D&amp;trackingId=OrZG1%2B0Ls4%2BVXF1ehvntJA%3D%3D&amp;position=7&amp;pageNum=0&amp;trk=public_jobs_jserp-result_search-card", "Job Link")</f>
        <v>Job Link</v>
      </c>
      <c r="H2256" t="s">
        <v>478</v>
      </c>
      <c r="I2256" t="s">
        <v>481</v>
      </c>
      <c r="J2256" t="s">
        <v>486</v>
      </c>
      <c r="K2256" t="s">
        <v>521</v>
      </c>
      <c r="L2256" t="s">
        <v>611</v>
      </c>
      <c r="M2256" t="s">
        <v>601</v>
      </c>
    </row>
    <row r="2257" spans="1:14" x14ac:dyDescent="0.25">
      <c r="A2257" t="s">
        <v>14</v>
      </c>
      <c r="B2257" t="s">
        <v>150</v>
      </c>
      <c r="C2257" t="s">
        <v>369</v>
      </c>
      <c r="D2257" t="s">
        <v>426</v>
      </c>
      <c r="F2257" t="s">
        <v>460</v>
      </c>
      <c r="G2257" t="str">
        <f>HYPERLINK("https://ca.linkedin.com/jobs/view/data-analyst-at-synechron-3364863079?refId=X5l66XZFiklZwSI5%2Fp82xg%3D%3D&amp;trackingId=D2z5aoyMwnYKJSjiWMk%2Bow%3D%3D&amp;position=8&amp;pageNum=0&amp;trk=public_jobs_jserp-result_search-card", "Job Link")</f>
        <v>Job Link</v>
      </c>
      <c r="H2257" t="s">
        <v>478</v>
      </c>
      <c r="I2257" t="s">
        <v>481</v>
      </c>
      <c r="J2257" t="s">
        <v>486</v>
      </c>
      <c r="K2257" t="s">
        <v>563</v>
      </c>
      <c r="L2257" t="s">
        <v>584</v>
      </c>
      <c r="M2257" t="s">
        <v>588</v>
      </c>
      <c r="N2257" t="s">
        <v>601</v>
      </c>
    </row>
    <row r="2258" spans="1:14" x14ac:dyDescent="0.25">
      <c r="A2258" t="s">
        <v>14</v>
      </c>
      <c r="B2258" t="s">
        <v>150</v>
      </c>
      <c r="C2258" t="s">
        <v>367</v>
      </c>
      <c r="D2258" t="s">
        <v>426</v>
      </c>
      <c r="F2258" t="s">
        <v>460</v>
      </c>
      <c r="G2258" t="str">
        <f>HYPERLINK("https://ca.linkedin.com/jobs/view/data-analyst-at-synechron-3361756851?refId=X5l66XZFiklZwSI5%2Fp82xg%3D%3D&amp;trackingId=3Pu9V8Lb2lFcYnkf0l%2Bwyw%3D%3D&amp;position=9&amp;pageNum=0&amp;trk=public_jobs_jserp-result_search-card", "Job Link")</f>
        <v>Job Link</v>
      </c>
      <c r="H2258" t="s">
        <v>478</v>
      </c>
      <c r="I2258" t="s">
        <v>481</v>
      </c>
      <c r="J2258" t="s">
        <v>486</v>
      </c>
      <c r="K2258" t="s">
        <v>562</v>
      </c>
      <c r="L2258" t="s">
        <v>584</v>
      </c>
      <c r="M2258" t="s">
        <v>588</v>
      </c>
      <c r="N2258" t="s">
        <v>601</v>
      </c>
    </row>
    <row r="2259" spans="1:14" x14ac:dyDescent="0.25">
      <c r="A2259" t="s">
        <v>14</v>
      </c>
      <c r="B2259" t="s">
        <v>212</v>
      </c>
      <c r="C2259" t="s">
        <v>370</v>
      </c>
      <c r="D2259" t="s">
        <v>426</v>
      </c>
      <c r="F2259" t="s">
        <v>432</v>
      </c>
      <c r="G2259" t="str">
        <f>HYPERLINK("https://ca.linkedin.com/jobs/view/data-analyst-at-agilus-work-solutions-3358673093?refId=X5l66XZFiklZwSI5%2Fp82xg%3D%3D&amp;trackingId=X%2Fi4kuFkOdQYHn43wnTRZg%3D%3D&amp;position=10&amp;pageNum=0&amp;trk=public_jobs_jserp-result_search-card", "Job Link")</f>
        <v>Job Link</v>
      </c>
      <c r="H2259" t="s">
        <v>477</v>
      </c>
      <c r="I2259" t="s">
        <v>483</v>
      </c>
      <c r="J2259" t="s">
        <v>486</v>
      </c>
      <c r="K2259" t="s">
        <v>518</v>
      </c>
      <c r="L2259" t="s">
        <v>582</v>
      </c>
      <c r="M2259" t="s">
        <v>588</v>
      </c>
      <c r="N2259" t="s">
        <v>601</v>
      </c>
    </row>
    <row r="2260" spans="1:14" x14ac:dyDescent="0.25">
      <c r="A2260" t="s">
        <v>14</v>
      </c>
      <c r="B2260" t="s">
        <v>213</v>
      </c>
      <c r="C2260" t="s">
        <v>371</v>
      </c>
      <c r="D2260" t="s">
        <v>426</v>
      </c>
      <c r="F2260" t="s">
        <v>472</v>
      </c>
      <c r="G2260" t="str">
        <f>HYPERLINK("https://ca.linkedin.com/jobs/view/data-analyst-at-linkus-group-3345817125?refId=X5l66XZFiklZwSI5%2Fp82xg%3D%3D&amp;trackingId=OyToKCcMHphQ1%2BuqIANTDQ%3D%3D&amp;position=11&amp;pageNum=0&amp;trk=public_jobs_jserp-result_search-card", "Job Link")</f>
        <v>Job Link</v>
      </c>
      <c r="H2260" t="s">
        <v>476</v>
      </c>
      <c r="I2260" t="s">
        <v>481</v>
      </c>
      <c r="J2260" t="s">
        <v>486</v>
      </c>
      <c r="K2260" t="s">
        <v>518</v>
      </c>
      <c r="L2260" t="s">
        <v>588</v>
      </c>
      <c r="M2260" t="s">
        <v>601</v>
      </c>
    </row>
    <row r="2261" spans="1:14" x14ac:dyDescent="0.25">
      <c r="A2261" t="s">
        <v>14</v>
      </c>
      <c r="B2261" t="s">
        <v>214</v>
      </c>
      <c r="C2261" t="s">
        <v>372</v>
      </c>
      <c r="D2261" t="s">
        <v>426</v>
      </c>
      <c r="F2261" t="s">
        <v>432</v>
      </c>
      <c r="G2261" t="str">
        <f>HYPERLINK("https://ca.linkedin.com/jobs/view/data-analyst-at-goeasy-ltd-3358677253?refId=X5l66XZFiklZwSI5%2Fp82xg%3D%3D&amp;trackingId=d89s05It8Pid%2FuTvXiV9Fw%3D%3D&amp;position=12&amp;pageNum=0&amp;trk=public_jobs_jserp-result_search-card", "Job Link")</f>
        <v>Job Link</v>
      </c>
      <c r="H2261" t="s">
        <v>476</v>
      </c>
      <c r="I2261" t="s">
        <v>481</v>
      </c>
      <c r="J2261" t="s">
        <v>486</v>
      </c>
      <c r="K2261" t="s">
        <v>550</v>
      </c>
      <c r="L2261" t="s">
        <v>584</v>
      </c>
      <c r="M2261" t="s">
        <v>588</v>
      </c>
      <c r="N2261" t="s">
        <v>601</v>
      </c>
    </row>
    <row r="2262" spans="1:14" x14ac:dyDescent="0.25">
      <c r="A2262" t="s">
        <v>83</v>
      </c>
      <c r="B2262" t="s">
        <v>215</v>
      </c>
      <c r="C2262" t="s">
        <v>373</v>
      </c>
      <c r="D2262" t="s">
        <v>426</v>
      </c>
      <c r="F2262" t="s">
        <v>462</v>
      </c>
      <c r="G2262">
        <v>0</v>
      </c>
      <c r="H2262" t="s">
        <v>478</v>
      </c>
      <c r="I2262" t="s">
        <v>483</v>
      </c>
      <c r="J2262" t="s">
        <v>509</v>
      </c>
      <c r="K2262" t="s">
        <v>550</v>
      </c>
      <c r="L2262" t="s">
        <v>584</v>
      </c>
      <c r="M2262" t="s">
        <v>588</v>
      </c>
      <c r="N2262" t="s">
        <v>601</v>
      </c>
    </row>
    <row r="2263" spans="1:14" x14ac:dyDescent="0.25">
      <c r="A2263" t="s">
        <v>20</v>
      </c>
      <c r="B2263" t="s">
        <v>207</v>
      </c>
      <c r="C2263" t="s">
        <v>374</v>
      </c>
      <c r="D2263" t="s">
        <v>426</v>
      </c>
      <c r="F2263" t="s">
        <v>463</v>
      </c>
      <c r="G2263" t="str">
        <f>HYPERLINK("https://ca.linkedin.com/jobs/view/senior-data-analyst-at-onlia-3320897882?refId=X5l66XZFiklZwSI5%2Fp82xg%3D%3D&amp;trackingId=uot5bReCPLy73hrRSiDrOQ%3D%3D&amp;position=14&amp;pageNum=0&amp;trk=public_jobs_jserp-result_search-card", "Job Link")</f>
        <v>Job Link</v>
      </c>
      <c r="H2263" t="s">
        <v>477</v>
      </c>
      <c r="I2263" t="s">
        <v>481</v>
      </c>
      <c r="J2263" t="s">
        <v>486</v>
      </c>
      <c r="K2263" t="s">
        <v>523</v>
      </c>
      <c r="L2263" t="s">
        <v>582</v>
      </c>
      <c r="M2263" t="s">
        <v>588</v>
      </c>
      <c r="N2263" t="s">
        <v>601</v>
      </c>
    </row>
    <row r="2264" spans="1:14" x14ac:dyDescent="0.25">
      <c r="A2264" t="s">
        <v>84</v>
      </c>
      <c r="B2264" t="s">
        <v>216</v>
      </c>
      <c r="C2264" t="s">
        <v>375</v>
      </c>
      <c r="D2264" t="s">
        <v>426</v>
      </c>
      <c r="F2264" t="s">
        <v>452</v>
      </c>
      <c r="G2264" t="str">
        <f>HYPERLINK("https://ca.linkedin.com/jobs/view/data-analyst-hybrid-at-xylem-3335088701?refId=X5l66XZFiklZwSI5%2Fp82xg%3D%3D&amp;trackingId=pKVpZ321Tz%2FLlPW4q6SOZg%3D%3D&amp;position=15&amp;pageNum=0&amp;trk=public_jobs_jserp-result_search-card", "Job Link")</f>
        <v>Job Link</v>
      </c>
      <c r="H2264" t="s">
        <v>476</v>
      </c>
      <c r="I2264" t="s">
        <v>481</v>
      </c>
      <c r="J2264" t="s">
        <v>486</v>
      </c>
      <c r="K2264" t="s">
        <v>564</v>
      </c>
      <c r="L2264" t="s">
        <v>584</v>
      </c>
      <c r="M2264" t="s">
        <v>588</v>
      </c>
      <c r="N2264" t="s">
        <v>601</v>
      </c>
    </row>
    <row r="2265" spans="1:14" x14ac:dyDescent="0.25">
      <c r="A2265" t="s">
        <v>85</v>
      </c>
      <c r="B2265" t="s">
        <v>217</v>
      </c>
      <c r="C2265" t="s">
        <v>376</v>
      </c>
      <c r="D2265" t="s">
        <v>426</v>
      </c>
      <c r="F2265" t="s">
        <v>473</v>
      </c>
      <c r="G2265" t="str">
        <f>HYPERLINK("https://ca.linkedin.com/jobs/view/data-analyst-python-sql-at-geotab-3341823745?refId=X5l66XZFiklZwSI5%2Fp82xg%3D%3D&amp;trackingId=eQt8v3Yd76wiY42cGorA0w%3D%3D&amp;position=16&amp;pageNum=0&amp;trk=public_jobs_jserp-result_search-card", "Job Link")</f>
        <v>Job Link</v>
      </c>
      <c r="H2265" t="s">
        <v>479</v>
      </c>
      <c r="I2265" t="s">
        <v>481</v>
      </c>
      <c r="J2265" t="s">
        <v>486</v>
      </c>
      <c r="K2265" t="s">
        <v>521</v>
      </c>
      <c r="L2265" t="s">
        <v>612</v>
      </c>
      <c r="M2265" t="s">
        <v>588</v>
      </c>
      <c r="N2265" t="s">
        <v>601</v>
      </c>
    </row>
    <row r="2266" spans="1:14" x14ac:dyDescent="0.25">
      <c r="A2266" t="s">
        <v>86</v>
      </c>
      <c r="B2266" t="s">
        <v>167</v>
      </c>
      <c r="C2266" t="s">
        <v>377</v>
      </c>
      <c r="D2266" t="s">
        <v>426</v>
      </c>
      <c r="F2266" t="s">
        <v>454</v>
      </c>
      <c r="G2266" t="str">
        <f>HYPERLINK("https://ca.linkedin.com/jobs/view/data-analyst-reporting-at-thescore-3345941286?refId=X5l66XZFiklZwSI5%2Fp82xg%3D%3D&amp;trackingId=UMop%2BERiPm%2BTlK3fQoMzog%3D%3D&amp;position=17&amp;pageNum=0&amp;trk=public_jobs_jserp-result_search-card", "Job Link")</f>
        <v>Job Link</v>
      </c>
      <c r="H2266" t="s">
        <v>476</v>
      </c>
      <c r="I2266" t="s">
        <v>481</v>
      </c>
      <c r="J2266" t="s">
        <v>486</v>
      </c>
      <c r="K2266" t="s">
        <v>545</v>
      </c>
      <c r="L2266" t="s">
        <v>582</v>
      </c>
      <c r="M2266" t="s">
        <v>588</v>
      </c>
      <c r="N2266" t="s">
        <v>601</v>
      </c>
    </row>
    <row r="2267" spans="1:14" x14ac:dyDescent="0.25">
      <c r="A2267" t="s">
        <v>87</v>
      </c>
      <c r="B2267" t="s">
        <v>218</v>
      </c>
      <c r="C2267" t="s">
        <v>378</v>
      </c>
      <c r="D2267" t="s">
        <v>426</v>
      </c>
      <c r="F2267" t="s">
        <v>432</v>
      </c>
      <c r="G2267">
        <v>0</v>
      </c>
      <c r="H2267" t="s">
        <v>478</v>
      </c>
      <c r="I2267" t="s">
        <v>483</v>
      </c>
      <c r="J2267" t="s">
        <v>486</v>
      </c>
      <c r="K2267" t="s">
        <v>521</v>
      </c>
      <c r="L2267" t="s">
        <v>582</v>
      </c>
      <c r="M2267" t="s">
        <v>588</v>
      </c>
      <c r="N2267" t="s">
        <v>601</v>
      </c>
    </row>
    <row r="2268" spans="1:14" x14ac:dyDescent="0.25">
      <c r="A2268" t="s">
        <v>88</v>
      </c>
      <c r="B2268" t="s">
        <v>219</v>
      </c>
      <c r="C2268" t="s">
        <v>379</v>
      </c>
      <c r="D2268" t="s">
        <v>426</v>
      </c>
      <c r="F2268" t="s">
        <v>454</v>
      </c>
      <c r="G2268" t="str">
        <f>HYPERLINK("https://ca.linkedin.com/jobs/view/data-analyst-flight-pricing-optimization-at-priceline-3345993633?refId=X5l66XZFiklZwSI5%2Fp82xg%3D%3D&amp;trackingId=9pD3iNKmZG43T0lkUpSGrg%3D%3D&amp;position=19&amp;pageNum=0&amp;trk=public_jobs_jserp-result_search-card", "Job Link")</f>
        <v>Job Link</v>
      </c>
      <c r="H2268" t="s">
        <v>476</v>
      </c>
      <c r="I2268" t="s">
        <v>481</v>
      </c>
      <c r="J2268" t="s">
        <v>486</v>
      </c>
      <c r="K2268" t="s">
        <v>565</v>
      </c>
      <c r="L2268" t="s">
        <v>582</v>
      </c>
      <c r="M2268" t="s">
        <v>588</v>
      </c>
      <c r="N2268" t="s">
        <v>601</v>
      </c>
    </row>
    <row r="2269" spans="1:14" x14ac:dyDescent="0.25">
      <c r="A2269" t="s">
        <v>27</v>
      </c>
      <c r="B2269" t="s">
        <v>220</v>
      </c>
      <c r="C2269" t="s">
        <v>380</v>
      </c>
      <c r="D2269" t="s">
        <v>426</v>
      </c>
      <c r="F2269" t="s">
        <v>434</v>
      </c>
      <c r="G2269" t="str">
        <f>HYPERLINK("https://ca.linkedin.com/jobs/view/sr-data-analyst-at-randstad-canada-3354999789?refId=X5l66XZFiklZwSI5%2Fp82xg%3D%3D&amp;trackingId=GP5r%2FwMEAIQVfV%2Bmzfhq0w%3D%3D&amp;position=20&amp;pageNum=0&amp;trk=public_jobs_jserp-result_search-card", "Job Link")</f>
        <v>Job Link</v>
      </c>
      <c r="H2269" t="s">
        <v>478</v>
      </c>
      <c r="I2269" t="s">
        <v>483</v>
      </c>
      <c r="J2269" t="s">
        <v>486</v>
      </c>
      <c r="K2269" t="s">
        <v>518</v>
      </c>
      <c r="L2269" t="s">
        <v>584</v>
      </c>
      <c r="M2269" t="s">
        <v>588</v>
      </c>
      <c r="N2269" t="s">
        <v>601</v>
      </c>
    </row>
    <row r="2270" spans="1:14" x14ac:dyDescent="0.25">
      <c r="A2270" t="s">
        <v>89</v>
      </c>
      <c r="B2270" t="s">
        <v>221</v>
      </c>
      <c r="C2270" t="s">
        <v>381</v>
      </c>
      <c r="D2270" t="s">
        <v>426</v>
      </c>
      <c r="F2270" t="s">
        <v>461</v>
      </c>
      <c r="G2270">
        <v>0</v>
      </c>
      <c r="H2270" t="s">
        <v>476</v>
      </c>
      <c r="I2270" t="s">
        <v>481</v>
      </c>
      <c r="J2270" t="s">
        <v>488</v>
      </c>
      <c r="K2270" t="s">
        <v>566</v>
      </c>
      <c r="L2270" t="s">
        <v>582</v>
      </c>
      <c r="M2270" t="s">
        <v>588</v>
      </c>
      <c r="N2270" t="s">
        <v>601</v>
      </c>
    </row>
    <row r="2271" spans="1:14" x14ac:dyDescent="0.25">
      <c r="A2271" t="s">
        <v>14</v>
      </c>
      <c r="B2271" t="s">
        <v>222</v>
      </c>
      <c r="C2271" t="s">
        <v>382</v>
      </c>
      <c r="D2271" t="s">
        <v>426</v>
      </c>
      <c r="F2271" t="s">
        <v>431</v>
      </c>
      <c r="G2271" t="str">
        <f>HYPERLINK("https://ca.linkedin.com/jobs/view/data-analyst-at-circle-k-3367192655?refId=X5l66XZFiklZwSI5%2Fp82xg%3D%3D&amp;trackingId=Jb8rADlhGxIYyfeK9B%2FRzw%3D%3D&amp;position=22&amp;pageNum=0&amp;trk=public_jobs_jserp-result_search-card", "Job Link")</f>
        <v>Job Link</v>
      </c>
      <c r="H2271" t="s">
        <v>476</v>
      </c>
      <c r="I2271" t="s">
        <v>481</v>
      </c>
      <c r="J2271" t="s">
        <v>486</v>
      </c>
      <c r="K2271" t="s">
        <v>567</v>
      </c>
      <c r="L2271" t="s">
        <v>582</v>
      </c>
      <c r="M2271" t="s">
        <v>588</v>
      </c>
      <c r="N2271" t="s">
        <v>601</v>
      </c>
    </row>
    <row r="2272" spans="1:14" x14ac:dyDescent="0.25">
      <c r="A2272" t="s">
        <v>90</v>
      </c>
      <c r="B2272" t="s">
        <v>223</v>
      </c>
      <c r="C2272" t="s">
        <v>383</v>
      </c>
      <c r="D2272" t="s">
        <v>426</v>
      </c>
      <c r="F2272" t="s">
        <v>443</v>
      </c>
      <c r="G2272" t="str">
        <f>HYPERLINK("https://ca.linkedin.com/jobs/view/data-administrator-data-analyst-at-hays-3369576413?refId=X5l66XZFiklZwSI5%2Fp82xg%3D%3D&amp;trackingId=mTyc1hjWnrVv7HiBGe0OkQ%3D%3D&amp;position=23&amp;pageNum=0&amp;trk=public_jobs_jserp-result_search-card", "Job Link")</f>
        <v>Job Link</v>
      </c>
      <c r="H2272" t="s">
        <v>478</v>
      </c>
      <c r="I2272" t="s">
        <v>481</v>
      </c>
      <c r="J2272" t="s">
        <v>486</v>
      </c>
      <c r="K2272" t="s">
        <v>518</v>
      </c>
      <c r="L2272" t="s">
        <v>583</v>
      </c>
      <c r="M2272" t="s">
        <v>610</v>
      </c>
      <c r="N2272" t="s">
        <v>601</v>
      </c>
    </row>
    <row r="2273" spans="1:14" x14ac:dyDescent="0.25">
      <c r="A2273" t="s">
        <v>91</v>
      </c>
      <c r="B2273" t="s">
        <v>224</v>
      </c>
      <c r="C2273" t="s">
        <v>384</v>
      </c>
      <c r="D2273" t="s">
        <v>426</v>
      </c>
      <c r="F2273" t="s">
        <v>431</v>
      </c>
      <c r="G2273" t="str">
        <f>HYPERLINK("https://ca.linkedin.com/jobs/view/commercial-data-analyst-at-organigram-inc-3367177254?refId=X5l66XZFiklZwSI5%2Fp82xg%3D%3D&amp;trackingId=CkqBI3uARKQgF3VGIzNOig%3D%3D&amp;position=24&amp;pageNum=0&amp;trk=public_jobs_jserp-result_search-card", "Job Link")</f>
        <v>Job Link</v>
      </c>
      <c r="I2273" t="s">
        <v>481</v>
      </c>
      <c r="L2273" t="s">
        <v>582</v>
      </c>
      <c r="M2273" t="s">
        <v>588</v>
      </c>
      <c r="N2273" t="s">
        <v>601</v>
      </c>
    </row>
    <row r="2274" spans="1:14" x14ac:dyDescent="0.25">
      <c r="A2274" t="s">
        <v>14</v>
      </c>
      <c r="B2274" t="s">
        <v>225</v>
      </c>
      <c r="C2274" t="s">
        <v>385</v>
      </c>
      <c r="D2274" t="s">
        <v>426</v>
      </c>
      <c r="F2274" t="s">
        <v>463</v>
      </c>
      <c r="G2274" t="str">
        <f>HYPERLINK("https://ca.linkedin.com/jobs/view/data-analyst-at-vector-institute-3325395506?refId=X5l66XZFiklZwSI5%2Fp82xg%3D%3D&amp;trackingId=K0tXvKsHtBOn0E9GJ1ZOaA%3D%3D&amp;position=25&amp;pageNum=0&amp;trk=public_jobs_jserp-result_search-card", "Job Link")</f>
        <v>Job Link</v>
      </c>
      <c r="H2274" t="s">
        <v>478</v>
      </c>
      <c r="I2274" t="s">
        <v>481</v>
      </c>
      <c r="J2274" t="s">
        <v>486</v>
      </c>
      <c r="K2274" t="s">
        <v>520</v>
      </c>
      <c r="L2274" t="s">
        <v>582</v>
      </c>
      <c r="M2274" t="s">
        <v>588</v>
      </c>
      <c r="N2274" t="s">
        <v>601</v>
      </c>
    </row>
    <row r="2275" spans="1:14" x14ac:dyDescent="0.25">
      <c r="A2275" t="s">
        <v>14</v>
      </c>
      <c r="B2275" t="s">
        <v>207</v>
      </c>
      <c r="C2275" t="s">
        <v>362</v>
      </c>
      <c r="D2275" t="s">
        <v>426</v>
      </c>
      <c r="F2275" t="s">
        <v>463</v>
      </c>
      <c r="G2275" t="str">
        <f>HYPERLINK("https://ca.linkedin.com/jobs/view/data-analyst-at-onlia-3320897897?refId=BFFpYWuVW9Rr1y94fxJgvw%3D%3D&amp;trackingId=2TqPsZske2qDa7p1NmmoZA%3D%3D&amp;position=1&amp;pageNum=0&amp;trk=public_jobs_jserp-result_search-card", "Job Link")</f>
        <v>Job Link</v>
      </c>
      <c r="H2275" t="s">
        <v>477</v>
      </c>
      <c r="I2275" t="s">
        <v>481</v>
      </c>
      <c r="J2275" t="s">
        <v>486</v>
      </c>
      <c r="K2275" t="s">
        <v>523</v>
      </c>
      <c r="L2275" t="s">
        <v>582</v>
      </c>
      <c r="M2275" t="s">
        <v>588</v>
      </c>
      <c r="N2275" t="s">
        <v>601</v>
      </c>
    </row>
    <row r="2276" spans="1:14" x14ac:dyDescent="0.25">
      <c r="A2276" t="s">
        <v>14</v>
      </c>
      <c r="B2276" t="s">
        <v>208</v>
      </c>
      <c r="C2276" t="s">
        <v>363</v>
      </c>
      <c r="D2276" t="s">
        <v>426</v>
      </c>
      <c r="F2276" t="s">
        <v>445</v>
      </c>
      <c r="G2276" t="str">
        <f>HYPERLINK("https://ca.linkedin.com/jobs/view/data-analyst-at-electronic-arts-ea-3325611825?refId=BFFpYWuVW9Rr1y94fxJgvw%3D%3D&amp;trackingId=SQEG6RFTdx4BimA9JFltfA%3D%3D&amp;position=2&amp;pageNum=0&amp;trk=public_jobs_jserp-result_search-card", "Job Link")</f>
        <v>Job Link</v>
      </c>
      <c r="H2276" t="s">
        <v>479</v>
      </c>
      <c r="I2276" t="s">
        <v>481</v>
      </c>
      <c r="J2276" t="s">
        <v>507</v>
      </c>
      <c r="K2276" t="s">
        <v>559</v>
      </c>
      <c r="L2276" t="s">
        <v>582</v>
      </c>
      <c r="M2276" t="s">
        <v>588</v>
      </c>
      <c r="N2276" t="s">
        <v>601</v>
      </c>
    </row>
    <row r="2277" spans="1:14" x14ac:dyDescent="0.25">
      <c r="A2277" t="s">
        <v>14</v>
      </c>
      <c r="B2277" t="s">
        <v>209</v>
      </c>
      <c r="C2277" t="s">
        <v>364</v>
      </c>
      <c r="D2277" t="s">
        <v>426</v>
      </c>
      <c r="F2277" t="s">
        <v>440</v>
      </c>
      <c r="G2277" t="str">
        <f>HYPERLINK("https://ca.linkedin.com/jobs/view/data-analyst-at-frostbite-3370111856?refId=BFFpYWuVW9Rr1y94fxJgvw%3D%3D&amp;trackingId=vpbqsU9spAN%2BMzdQoxnBHg%3D%3D&amp;position=3&amp;pageNum=0&amp;trk=public_jobs_jserp-result_search-card", "Job Link")</f>
        <v>Job Link</v>
      </c>
      <c r="H2277" t="s">
        <v>479</v>
      </c>
      <c r="I2277" t="s">
        <v>481</v>
      </c>
      <c r="J2277" t="s">
        <v>507</v>
      </c>
      <c r="K2277" t="s">
        <v>559</v>
      </c>
      <c r="L2277" t="s">
        <v>590</v>
      </c>
      <c r="M2277" t="s">
        <v>618</v>
      </c>
      <c r="N2277" t="s">
        <v>601</v>
      </c>
    </row>
    <row r="2278" spans="1:14" x14ac:dyDescent="0.25">
      <c r="A2278" t="s">
        <v>14</v>
      </c>
      <c r="B2278" t="s">
        <v>211</v>
      </c>
      <c r="C2278" t="s">
        <v>366</v>
      </c>
      <c r="D2278" t="s">
        <v>426</v>
      </c>
      <c r="F2278" t="s">
        <v>443</v>
      </c>
      <c r="G2278" t="str">
        <f>HYPERLINK("https://ca.linkedin.com/jobs/view/data-analyst-at-mphasis-3363428246?refId=BFFpYWuVW9Rr1y94fxJgvw%3D%3D&amp;trackingId=VIXlv3dXwZDAKtkB6rL4Nw%3D%3D&amp;position=4&amp;pageNum=0&amp;trk=public_jobs_jserp-result_search-card", "Job Link")</f>
        <v>Job Link</v>
      </c>
      <c r="H2278" t="s">
        <v>477</v>
      </c>
      <c r="I2278" t="s">
        <v>481</v>
      </c>
      <c r="J2278" t="s">
        <v>486</v>
      </c>
      <c r="K2278" t="s">
        <v>521</v>
      </c>
      <c r="L2278" t="s">
        <v>609</v>
      </c>
      <c r="M2278" t="s">
        <v>610</v>
      </c>
      <c r="N2278" t="s">
        <v>601</v>
      </c>
    </row>
    <row r="2279" spans="1:14" x14ac:dyDescent="0.25">
      <c r="A2279" t="s">
        <v>81</v>
      </c>
      <c r="B2279" t="s">
        <v>210</v>
      </c>
      <c r="C2279" t="s">
        <v>365</v>
      </c>
      <c r="D2279" t="s">
        <v>426</v>
      </c>
      <c r="F2279" t="s">
        <v>436</v>
      </c>
      <c r="G2279" t="str">
        <f>HYPERLINK("https://ca.linkedin.com/jobs/view/data-analyst-c117-at-mitsubishi-motor-sales-of-canada-inc-3344852931?refId=BFFpYWuVW9Rr1y94fxJgvw%3D%3D&amp;trackingId=AlUPfE18Gej%2BktTgw8SxVw%3D%3D&amp;position=5&amp;pageNum=0&amp;trk=public_jobs_jserp-result_search-card", "Job Link")</f>
        <v>Job Link</v>
      </c>
      <c r="H2279" t="s">
        <v>477</v>
      </c>
      <c r="I2279" t="s">
        <v>481</v>
      </c>
      <c r="J2279" t="s">
        <v>508</v>
      </c>
      <c r="K2279" t="s">
        <v>561</v>
      </c>
      <c r="L2279" t="s">
        <v>584</v>
      </c>
      <c r="M2279" t="s">
        <v>588</v>
      </c>
      <c r="N2279" t="s">
        <v>601</v>
      </c>
    </row>
    <row r="2280" spans="1:14" x14ac:dyDescent="0.25">
      <c r="A2280" t="s">
        <v>14</v>
      </c>
      <c r="B2280" t="s">
        <v>150</v>
      </c>
      <c r="C2280" t="s">
        <v>367</v>
      </c>
      <c r="D2280" t="s">
        <v>426</v>
      </c>
      <c r="F2280" t="s">
        <v>433</v>
      </c>
      <c r="G2280" t="str">
        <f>HYPERLINK("https://ca.linkedin.com/jobs/view/data-analyst-at-synechron-3348329085?refId=BFFpYWuVW9Rr1y94fxJgvw%3D%3D&amp;trackingId=XgUJis2zp27x0en6fFrSgw%3D%3D&amp;position=6&amp;pageNum=0&amp;trk=public_jobs_jserp-result_search-card", "Job Link")</f>
        <v>Job Link</v>
      </c>
      <c r="H2280" t="s">
        <v>478</v>
      </c>
      <c r="I2280" t="s">
        <v>481</v>
      </c>
      <c r="J2280" t="s">
        <v>486</v>
      </c>
      <c r="K2280" t="s">
        <v>562</v>
      </c>
      <c r="L2280" t="s">
        <v>584</v>
      </c>
      <c r="M2280" t="s">
        <v>588</v>
      </c>
      <c r="N2280" t="s">
        <v>601</v>
      </c>
    </row>
    <row r="2281" spans="1:14" x14ac:dyDescent="0.25">
      <c r="A2281" t="s">
        <v>82</v>
      </c>
      <c r="B2281" t="s">
        <v>179</v>
      </c>
      <c r="C2281" t="s">
        <v>368</v>
      </c>
      <c r="D2281" t="s">
        <v>426</v>
      </c>
      <c r="F2281" t="s">
        <v>471</v>
      </c>
      <c r="G2281" t="str">
        <f>HYPERLINK("https://ca.linkedin.com/jobs/view/business-data-analyst-at-capgemini-3327624663?refId=BFFpYWuVW9Rr1y94fxJgvw%3D%3D&amp;trackingId=bsElzHmNll2oFlEmqEAauQ%3D%3D&amp;position=7&amp;pageNum=0&amp;trk=public_jobs_jserp-result_search-card", "Job Link")</f>
        <v>Job Link</v>
      </c>
      <c r="H2281" t="s">
        <v>478</v>
      </c>
      <c r="I2281" t="s">
        <v>481</v>
      </c>
      <c r="J2281" t="s">
        <v>486</v>
      </c>
      <c r="K2281" t="s">
        <v>521</v>
      </c>
      <c r="L2281" t="s">
        <v>611</v>
      </c>
      <c r="M2281" t="s">
        <v>601</v>
      </c>
    </row>
    <row r="2282" spans="1:14" x14ac:dyDescent="0.25">
      <c r="A2282" t="s">
        <v>14</v>
      </c>
      <c r="B2282" t="s">
        <v>150</v>
      </c>
      <c r="C2282" t="s">
        <v>369</v>
      </c>
      <c r="D2282" t="s">
        <v>426</v>
      </c>
      <c r="F2282" t="s">
        <v>460</v>
      </c>
      <c r="G2282" t="str">
        <f>HYPERLINK("https://ca.linkedin.com/jobs/view/data-analyst-at-synechron-3364863079?refId=BFFpYWuVW9Rr1y94fxJgvw%3D%3D&amp;trackingId=gBfdngFnB3KEzsnCzPIeJQ%3D%3D&amp;position=8&amp;pageNum=0&amp;trk=public_jobs_jserp-result_search-card", "Job Link")</f>
        <v>Job Link</v>
      </c>
      <c r="H2282" t="s">
        <v>478</v>
      </c>
      <c r="I2282" t="s">
        <v>481</v>
      </c>
      <c r="J2282" t="s">
        <v>486</v>
      </c>
      <c r="K2282" t="s">
        <v>563</v>
      </c>
      <c r="L2282" t="s">
        <v>584</v>
      </c>
      <c r="M2282" t="s">
        <v>588</v>
      </c>
      <c r="N2282" t="s">
        <v>601</v>
      </c>
    </row>
    <row r="2283" spans="1:14" x14ac:dyDescent="0.25">
      <c r="A2283" t="s">
        <v>14</v>
      </c>
      <c r="B2283" t="s">
        <v>150</v>
      </c>
      <c r="C2283" t="s">
        <v>367</v>
      </c>
      <c r="D2283" t="s">
        <v>426</v>
      </c>
      <c r="F2283" t="s">
        <v>460</v>
      </c>
      <c r="G2283" t="str">
        <f>HYPERLINK("https://ca.linkedin.com/jobs/view/data-analyst-at-synechron-3361756851?refId=BFFpYWuVW9Rr1y94fxJgvw%3D%3D&amp;trackingId=5G%2B5su5qLooARBQ7gXw%2F%2Fw%3D%3D&amp;position=9&amp;pageNum=0&amp;trk=public_jobs_jserp-result_search-card", "Job Link")</f>
        <v>Job Link</v>
      </c>
      <c r="H2283" t="s">
        <v>478</v>
      </c>
      <c r="I2283" t="s">
        <v>481</v>
      </c>
      <c r="J2283" t="s">
        <v>486</v>
      </c>
      <c r="K2283" t="s">
        <v>562</v>
      </c>
      <c r="L2283" t="s">
        <v>584</v>
      </c>
      <c r="M2283" t="s">
        <v>588</v>
      </c>
      <c r="N2283" t="s">
        <v>601</v>
      </c>
    </row>
    <row r="2284" spans="1:14" x14ac:dyDescent="0.25">
      <c r="A2284" t="s">
        <v>14</v>
      </c>
      <c r="B2284" t="s">
        <v>212</v>
      </c>
      <c r="C2284" t="s">
        <v>370</v>
      </c>
      <c r="D2284" t="s">
        <v>426</v>
      </c>
      <c r="F2284" t="s">
        <v>432</v>
      </c>
      <c r="G2284" t="str">
        <f>HYPERLINK("https://ca.linkedin.com/jobs/view/data-analyst-at-agilus-work-solutions-3358673093?refId=BFFpYWuVW9Rr1y94fxJgvw%3D%3D&amp;trackingId=2MBid6Trl0kj0mI2InDXVg%3D%3D&amp;position=10&amp;pageNum=0&amp;trk=public_jobs_jserp-result_search-card", "Job Link")</f>
        <v>Job Link</v>
      </c>
      <c r="H2284" t="s">
        <v>477</v>
      </c>
      <c r="I2284" t="s">
        <v>483</v>
      </c>
      <c r="J2284" t="s">
        <v>486</v>
      </c>
      <c r="K2284" t="s">
        <v>518</v>
      </c>
      <c r="L2284" t="s">
        <v>582</v>
      </c>
      <c r="M2284" t="s">
        <v>588</v>
      </c>
      <c r="N2284" t="s">
        <v>601</v>
      </c>
    </row>
    <row r="2285" spans="1:14" x14ac:dyDescent="0.25">
      <c r="A2285" t="s">
        <v>14</v>
      </c>
      <c r="B2285" t="s">
        <v>214</v>
      </c>
      <c r="C2285" t="s">
        <v>372</v>
      </c>
      <c r="D2285" t="s">
        <v>426</v>
      </c>
      <c r="F2285" t="s">
        <v>432</v>
      </c>
      <c r="G2285" t="str">
        <f>HYPERLINK("https://ca.linkedin.com/jobs/view/data-analyst-at-goeasy-ltd-3358677253?refId=BFFpYWuVW9Rr1y94fxJgvw%3D%3D&amp;trackingId=Ik0CmXKy0Wvq3rWaVzUs%2Bw%3D%3D&amp;position=11&amp;pageNum=0&amp;trk=public_jobs_jserp-result_search-card", "Job Link")</f>
        <v>Job Link</v>
      </c>
      <c r="H2285" t="s">
        <v>476</v>
      </c>
      <c r="I2285" t="s">
        <v>481</v>
      </c>
      <c r="J2285" t="s">
        <v>486</v>
      </c>
      <c r="K2285" t="s">
        <v>550</v>
      </c>
      <c r="L2285" t="s">
        <v>584</v>
      </c>
      <c r="M2285" t="s">
        <v>588</v>
      </c>
      <c r="N2285" t="s">
        <v>601</v>
      </c>
    </row>
    <row r="2286" spans="1:14" x14ac:dyDescent="0.25">
      <c r="A2286" t="s">
        <v>14</v>
      </c>
      <c r="B2286" t="s">
        <v>213</v>
      </c>
      <c r="C2286" t="s">
        <v>371</v>
      </c>
      <c r="D2286" t="s">
        <v>426</v>
      </c>
      <c r="F2286" t="s">
        <v>472</v>
      </c>
      <c r="G2286" t="str">
        <f>HYPERLINK("https://ca.linkedin.com/jobs/view/data-analyst-at-linkus-group-3345817125?refId=BFFpYWuVW9Rr1y94fxJgvw%3D%3D&amp;trackingId=LXXYaLNwjdudQCVyKRtxaA%3D%3D&amp;position=12&amp;pageNum=0&amp;trk=public_jobs_jserp-result_search-card", "Job Link")</f>
        <v>Job Link</v>
      </c>
      <c r="H2286" t="s">
        <v>476</v>
      </c>
      <c r="I2286" t="s">
        <v>481</v>
      </c>
      <c r="J2286" t="s">
        <v>486</v>
      </c>
      <c r="K2286" t="s">
        <v>518</v>
      </c>
      <c r="L2286" t="s">
        <v>588</v>
      </c>
      <c r="M2286" t="s">
        <v>601</v>
      </c>
    </row>
    <row r="2287" spans="1:14" x14ac:dyDescent="0.25">
      <c r="A2287" t="s">
        <v>83</v>
      </c>
      <c r="B2287" t="s">
        <v>215</v>
      </c>
      <c r="C2287" t="s">
        <v>373</v>
      </c>
      <c r="D2287" t="s">
        <v>426</v>
      </c>
      <c r="F2287" t="s">
        <v>462</v>
      </c>
      <c r="G2287">
        <v>0</v>
      </c>
      <c r="H2287" t="s">
        <v>478</v>
      </c>
      <c r="I2287" t="s">
        <v>483</v>
      </c>
      <c r="J2287" t="s">
        <v>509</v>
      </c>
      <c r="K2287" t="s">
        <v>550</v>
      </c>
      <c r="L2287" t="s">
        <v>584</v>
      </c>
      <c r="M2287" t="s">
        <v>588</v>
      </c>
      <c r="N2287" t="s">
        <v>601</v>
      </c>
    </row>
    <row r="2288" spans="1:14" x14ac:dyDescent="0.25">
      <c r="A2288" t="s">
        <v>91</v>
      </c>
      <c r="B2288" t="s">
        <v>224</v>
      </c>
      <c r="C2288" t="s">
        <v>284</v>
      </c>
      <c r="D2288" t="s">
        <v>426</v>
      </c>
      <c r="F2288" t="s">
        <v>431</v>
      </c>
      <c r="G2288" t="str">
        <f>HYPERLINK("https://ca.linkedin.com/jobs/view/commercial-data-analyst-at-organigram-inc-3367177254?refId=BFFpYWuVW9Rr1y94fxJgvw%3D%3D&amp;trackingId=i71fPar6gohcxaw4Q%2BA03w%3D%3D&amp;position=14&amp;pageNum=0&amp;trk=public_jobs_jserp-result_search-card", "Job Link")</f>
        <v>Job Link</v>
      </c>
      <c r="L2288" t="s">
        <v>582</v>
      </c>
      <c r="M2288" t="s">
        <v>588</v>
      </c>
      <c r="N2288" t="s">
        <v>601</v>
      </c>
    </row>
    <row r="2289" spans="1:14" x14ac:dyDescent="0.25">
      <c r="A2289" t="s">
        <v>20</v>
      </c>
      <c r="B2289" t="s">
        <v>207</v>
      </c>
      <c r="C2289" t="s">
        <v>374</v>
      </c>
      <c r="D2289" t="s">
        <v>426</v>
      </c>
      <c r="F2289" t="s">
        <v>463</v>
      </c>
      <c r="G2289" t="str">
        <f>HYPERLINK("https://ca.linkedin.com/jobs/view/senior-data-analyst-at-onlia-3320897882?refId=BFFpYWuVW9Rr1y94fxJgvw%3D%3D&amp;trackingId=W8p3jVjsRvu3zVJsYKS83w%3D%3D&amp;position=15&amp;pageNum=0&amp;trk=public_jobs_jserp-result_search-card", "Job Link")</f>
        <v>Job Link</v>
      </c>
      <c r="H2289" t="s">
        <v>477</v>
      </c>
      <c r="I2289" t="s">
        <v>481</v>
      </c>
      <c r="J2289" t="s">
        <v>486</v>
      </c>
      <c r="K2289" t="s">
        <v>523</v>
      </c>
      <c r="L2289" t="s">
        <v>582</v>
      </c>
      <c r="M2289" t="s">
        <v>588</v>
      </c>
      <c r="N2289" t="s">
        <v>601</v>
      </c>
    </row>
    <row r="2290" spans="1:14" x14ac:dyDescent="0.25">
      <c r="A2290" t="s">
        <v>84</v>
      </c>
      <c r="B2290" t="s">
        <v>216</v>
      </c>
      <c r="C2290" t="s">
        <v>375</v>
      </c>
      <c r="D2290" t="s">
        <v>426</v>
      </c>
      <c r="F2290" t="s">
        <v>452</v>
      </c>
      <c r="G2290" t="str">
        <f>HYPERLINK("https://ca.linkedin.com/jobs/view/data-analyst-hybrid-at-xylem-3335088701?refId=BFFpYWuVW9Rr1y94fxJgvw%3D%3D&amp;trackingId=RJSAcI7Xbtsz7i71NB5Apw%3D%3D&amp;position=16&amp;pageNum=0&amp;trk=public_jobs_jserp-result_search-card", "Job Link")</f>
        <v>Job Link</v>
      </c>
      <c r="H2290" t="s">
        <v>476</v>
      </c>
      <c r="I2290" t="s">
        <v>481</v>
      </c>
      <c r="J2290" t="s">
        <v>486</v>
      </c>
      <c r="K2290" t="s">
        <v>564</v>
      </c>
      <c r="L2290" t="s">
        <v>584</v>
      </c>
      <c r="M2290" t="s">
        <v>588</v>
      </c>
      <c r="N2290" t="s">
        <v>601</v>
      </c>
    </row>
    <row r="2291" spans="1:14" x14ac:dyDescent="0.25">
      <c r="A2291" t="s">
        <v>85</v>
      </c>
      <c r="B2291" t="s">
        <v>217</v>
      </c>
      <c r="C2291" t="s">
        <v>376</v>
      </c>
      <c r="D2291" t="s">
        <v>426</v>
      </c>
      <c r="F2291" t="s">
        <v>473</v>
      </c>
      <c r="G2291" t="str">
        <f>HYPERLINK("https://ca.linkedin.com/jobs/view/data-analyst-python-sql-at-geotab-3341823745?refId=BFFpYWuVW9Rr1y94fxJgvw%3D%3D&amp;trackingId=JEAWZ%2BCydKjPn%2FFg5hG09A%3D%3D&amp;position=17&amp;pageNum=0&amp;trk=public_jobs_jserp-result_search-card", "Job Link")</f>
        <v>Job Link</v>
      </c>
      <c r="H2291" t="s">
        <v>479</v>
      </c>
      <c r="I2291" t="s">
        <v>481</v>
      </c>
      <c r="J2291" t="s">
        <v>486</v>
      </c>
      <c r="K2291" t="s">
        <v>521</v>
      </c>
      <c r="L2291" t="s">
        <v>612</v>
      </c>
      <c r="M2291" t="s">
        <v>588</v>
      </c>
      <c r="N2291" t="s">
        <v>601</v>
      </c>
    </row>
    <row r="2292" spans="1:14" x14ac:dyDescent="0.25">
      <c r="A2292" t="s">
        <v>86</v>
      </c>
      <c r="B2292" t="s">
        <v>167</v>
      </c>
      <c r="C2292" t="s">
        <v>377</v>
      </c>
      <c r="D2292" t="s">
        <v>426</v>
      </c>
      <c r="F2292" t="s">
        <v>454</v>
      </c>
      <c r="G2292" t="str">
        <f>HYPERLINK("https://ca.linkedin.com/jobs/view/data-analyst-reporting-at-thescore-3345941286?refId=BFFpYWuVW9Rr1y94fxJgvw%3D%3D&amp;trackingId=t4JQGUE%2BBU7N2pGpzCECPw%3D%3D&amp;position=18&amp;pageNum=0&amp;trk=public_jobs_jserp-result_search-card", "Job Link")</f>
        <v>Job Link</v>
      </c>
      <c r="H2292" t="s">
        <v>476</v>
      </c>
      <c r="I2292" t="s">
        <v>481</v>
      </c>
      <c r="J2292" t="s">
        <v>486</v>
      </c>
      <c r="K2292" t="s">
        <v>545</v>
      </c>
      <c r="L2292" t="s">
        <v>582</v>
      </c>
      <c r="M2292" t="s">
        <v>588</v>
      </c>
      <c r="N2292" t="s">
        <v>601</v>
      </c>
    </row>
    <row r="2293" spans="1:14" x14ac:dyDescent="0.25">
      <c r="A2293" t="s">
        <v>87</v>
      </c>
      <c r="B2293" t="s">
        <v>218</v>
      </c>
      <c r="C2293" t="s">
        <v>378</v>
      </c>
      <c r="D2293" t="s">
        <v>426</v>
      </c>
      <c r="F2293" t="s">
        <v>432</v>
      </c>
      <c r="G2293">
        <v>0</v>
      </c>
      <c r="H2293" t="s">
        <v>478</v>
      </c>
      <c r="I2293" t="s">
        <v>483</v>
      </c>
      <c r="J2293" t="s">
        <v>486</v>
      </c>
      <c r="K2293" t="s">
        <v>521</v>
      </c>
      <c r="L2293" t="s">
        <v>582</v>
      </c>
      <c r="M2293" t="s">
        <v>588</v>
      </c>
      <c r="N2293" t="s">
        <v>601</v>
      </c>
    </row>
    <row r="2294" spans="1:14" x14ac:dyDescent="0.25">
      <c r="A2294" t="s">
        <v>90</v>
      </c>
      <c r="B2294" t="s">
        <v>223</v>
      </c>
      <c r="C2294" t="s">
        <v>383</v>
      </c>
      <c r="D2294" t="s">
        <v>426</v>
      </c>
      <c r="F2294" t="s">
        <v>443</v>
      </c>
      <c r="G2294" t="str">
        <f>HYPERLINK("https://ca.linkedin.com/jobs/view/data-administrator-data-analyst-at-hays-3369576413?refId=BFFpYWuVW9Rr1y94fxJgvw%3D%3D&amp;trackingId=Fo%2F40cCM4C33bDe2RtO0OQ%3D%3D&amp;position=20&amp;pageNum=0&amp;trk=public_jobs_jserp-result_search-card", "Job Link")</f>
        <v>Job Link</v>
      </c>
      <c r="H2294" t="s">
        <v>478</v>
      </c>
      <c r="I2294" t="s">
        <v>481</v>
      </c>
      <c r="J2294" t="s">
        <v>486</v>
      </c>
      <c r="K2294" t="s">
        <v>518</v>
      </c>
      <c r="L2294" t="s">
        <v>583</v>
      </c>
      <c r="M2294" t="s">
        <v>610</v>
      </c>
      <c r="N2294" t="s">
        <v>601</v>
      </c>
    </row>
    <row r="2295" spans="1:14" x14ac:dyDescent="0.25">
      <c r="A2295" t="s">
        <v>88</v>
      </c>
      <c r="B2295" t="s">
        <v>219</v>
      </c>
      <c r="C2295" t="s">
        <v>379</v>
      </c>
      <c r="D2295" t="s">
        <v>426</v>
      </c>
      <c r="F2295" t="s">
        <v>454</v>
      </c>
      <c r="G2295" t="str">
        <f>HYPERLINK("https://ca.linkedin.com/jobs/view/data-analyst-flight-pricing-optimization-at-priceline-3345993633?refId=BFFpYWuVW9Rr1y94fxJgvw%3D%3D&amp;trackingId=WfuZA0fS7e1fSgZEhpzPMQ%3D%3D&amp;position=21&amp;pageNum=0&amp;trk=public_jobs_jserp-result_search-card", "Job Link")</f>
        <v>Job Link</v>
      </c>
      <c r="H2295" t="s">
        <v>476</v>
      </c>
      <c r="I2295" t="s">
        <v>481</v>
      </c>
      <c r="J2295" t="s">
        <v>486</v>
      </c>
      <c r="K2295" t="s">
        <v>565</v>
      </c>
      <c r="L2295" t="s">
        <v>582</v>
      </c>
      <c r="M2295" t="s">
        <v>588</v>
      </c>
      <c r="N2295" t="s">
        <v>601</v>
      </c>
    </row>
    <row r="2296" spans="1:14" x14ac:dyDescent="0.25">
      <c r="A2296" t="s">
        <v>89</v>
      </c>
      <c r="B2296" t="s">
        <v>221</v>
      </c>
      <c r="C2296" t="s">
        <v>381</v>
      </c>
      <c r="D2296" t="s">
        <v>426</v>
      </c>
      <c r="F2296" t="s">
        <v>461</v>
      </c>
      <c r="G2296">
        <v>0</v>
      </c>
      <c r="H2296" t="s">
        <v>476</v>
      </c>
      <c r="I2296" t="s">
        <v>481</v>
      </c>
      <c r="J2296" t="s">
        <v>488</v>
      </c>
      <c r="K2296" t="s">
        <v>566</v>
      </c>
      <c r="L2296" t="s">
        <v>582</v>
      </c>
      <c r="M2296" t="s">
        <v>588</v>
      </c>
      <c r="N2296" t="s">
        <v>601</v>
      </c>
    </row>
    <row r="2297" spans="1:14" x14ac:dyDescent="0.25">
      <c r="A2297" t="s">
        <v>14</v>
      </c>
      <c r="B2297" t="s">
        <v>222</v>
      </c>
      <c r="C2297" t="s">
        <v>382</v>
      </c>
      <c r="D2297" t="s">
        <v>426</v>
      </c>
      <c r="F2297" t="s">
        <v>431</v>
      </c>
      <c r="G2297" t="str">
        <f>HYPERLINK("https://ca.linkedin.com/jobs/view/data-analyst-at-circle-k-3367192655?refId=BFFpYWuVW9Rr1y94fxJgvw%3D%3D&amp;trackingId=gD%2Be2fjjFiWFWiYeI8LrpQ%3D%3D&amp;position=23&amp;pageNum=0&amp;trk=public_jobs_jserp-result_search-card", "Job Link")</f>
        <v>Job Link</v>
      </c>
      <c r="H2297" t="s">
        <v>476</v>
      </c>
      <c r="I2297" t="s">
        <v>481</v>
      </c>
      <c r="J2297" t="s">
        <v>486</v>
      </c>
      <c r="K2297" t="s">
        <v>567</v>
      </c>
      <c r="L2297" t="s">
        <v>582</v>
      </c>
      <c r="M2297" t="s">
        <v>588</v>
      </c>
      <c r="N2297" t="s">
        <v>601</v>
      </c>
    </row>
    <row r="2298" spans="1:14" x14ac:dyDescent="0.25">
      <c r="A2298" t="s">
        <v>14</v>
      </c>
      <c r="B2298" t="s">
        <v>225</v>
      </c>
      <c r="C2298" t="s">
        <v>385</v>
      </c>
      <c r="D2298" t="s">
        <v>426</v>
      </c>
      <c r="F2298" t="s">
        <v>463</v>
      </c>
      <c r="G2298" t="str">
        <f>HYPERLINK("https://ca.linkedin.com/jobs/view/data-analyst-at-vector-institute-3325395506?refId=BFFpYWuVW9Rr1y94fxJgvw%3D%3D&amp;trackingId=Dd5We0ZX0k3oeTdStDO1iQ%3D%3D&amp;position=24&amp;pageNum=0&amp;trk=public_jobs_jserp-result_search-card", "Job Link")</f>
        <v>Job Link</v>
      </c>
      <c r="H2298" t="s">
        <v>478</v>
      </c>
      <c r="I2298" t="s">
        <v>481</v>
      </c>
      <c r="J2298" t="s">
        <v>486</v>
      </c>
      <c r="K2298" t="s">
        <v>520</v>
      </c>
      <c r="L2298" t="s">
        <v>582</v>
      </c>
      <c r="M2298" t="s">
        <v>588</v>
      </c>
      <c r="N2298" t="s">
        <v>601</v>
      </c>
    </row>
    <row r="2299" spans="1:14" x14ac:dyDescent="0.25">
      <c r="A2299" t="s">
        <v>14</v>
      </c>
      <c r="B2299" t="s">
        <v>226</v>
      </c>
      <c r="C2299" t="s">
        <v>386</v>
      </c>
      <c r="D2299" t="s">
        <v>426</v>
      </c>
      <c r="F2299" t="s">
        <v>474</v>
      </c>
      <c r="G2299" t="str">
        <f>HYPERLINK("https://ca.linkedin.com/jobs/view/data-analyst-at-gsl-group-3334387645?refId=BFFpYWuVW9Rr1y94fxJgvw%3D%3D&amp;trackingId=NvTO9F7oU7nhds9PzaeDnQ%3D%3D&amp;position=25&amp;pageNum=0&amp;trk=public_jobs_jserp-result_search-card", "Job Link")</f>
        <v>Job Link</v>
      </c>
      <c r="H2299" t="s">
        <v>476</v>
      </c>
      <c r="I2299" t="s">
        <v>481</v>
      </c>
      <c r="J2299" t="s">
        <v>486</v>
      </c>
      <c r="K2299" t="s">
        <v>568</v>
      </c>
      <c r="L2299" t="s">
        <v>590</v>
      </c>
      <c r="M2299" t="s">
        <v>618</v>
      </c>
      <c r="N2299" t="s">
        <v>601</v>
      </c>
    </row>
    <row r="2300" spans="1:14" x14ac:dyDescent="0.25">
      <c r="A2300" t="s">
        <v>14</v>
      </c>
      <c r="B2300" t="s">
        <v>207</v>
      </c>
      <c r="C2300" t="s">
        <v>362</v>
      </c>
      <c r="D2300" t="s">
        <v>426</v>
      </c>
      <c r="F2300" t="s">
        <v>463</v>
      </c>
      <c r="G2300" t="str">
        <f>HYPERLINK("https://ca.linkedin.com/jobs/view/data-analyst-at-onlia-3320897897?refId=aF5%2BA6%2BjTqdOE4kmyaBp%2Fw%3D%3D&amp;trackingId=toLqS8vFOmk0m7mHkY2kSg%3D%3D&amp;position=1&amp;pageNum=0&amp;trk=public_jobs_jserp-result_search-card", "Job Link")</f>
        <v>Job Link</v>
      </c>
      <c r="H2300" t="s">
        <v>477</v>
      </c>
      <c r="I2300" t="s">
        <v>481</v>
      </c>
      <c r="J2300" t="s">
        <v>486</v>
      </c>
      <c r="K2300" t="s">
        <v>523</v>
      </c>
      <c r="L2300" t="s">
        <v>582</v>
      </c>
      <c r="M2300" t="s">
        <v>588</v>
      </c>
      <c r="N2300" t="s">
        <v>601</v>
      </c>
    </row>
    <row r="2301" spans="1:14" x14ac:dyDescent="0.25">
      <c r="A2301" t="s">
        <v>14</v>
      </c>
      <c r="B2301" t="s">
        <v>208</v>
      </c>
      <c r="C2301" t="s">
        <v>363</v>
      </c>
      <c r="D2301" t="s">
        <v>426</v>
      </c>
      <c r="F2301" t="s">
        <v>445</v>
      </c>
      <c r="G2301" t="str">
        <f>HYPERLINK("https://ca.linkedin.com/jobs/view/data-analyst-at-electronic-arts-ea-3325611825?refId=aF5%2BA6%2BjTqdOE4kmyaBp%2Fw%3D%3D&amp;trackingId=YrNNkCfbcS8GjV%2FiE4sUag%3D%3D&amp;position=2&amp;pageNum=0&amp;trk=public_jobs_jserp-result_search-card", "Job Link")</f>
        <v>Job Link</v>
      </c>
      <c r="H2301" t="s">
        <v>479</v>
      </c>
      <c r="I2301" t="s">
        <v>481</v>
      </c>
      <c r="J2301" t="s">
        <v>507</v>
      </c>
      <c r="K2301" t="s">
        <v>559</v>
      </c>
      <c r="L2301" t="s">
        <v>582</v>
      </c>
      <c r="M2301" t="s">
        <v>588</v>
      </c>
      <c r="N2301" t="s">
        <v>601</v>
      </c>
    </row>
    <row r="2302" spans="1:14" x14ac:dyDescent="0.25">
      <c r="A2302" t="s">
        <v>14</v>
      </c>
      <c r="B2302" t="s">
        <v>209</v>
      </c>
      <c r="C2302" t="s">
        <v>364</v>
      </c>
      <c r="D2302" t="s">
        <v>426</v>
      </c>
      <c r="F2302" t="s">
        <v>440</v>
      </c>
      <c r="G2302" t="str">
        <f>HYPERLINK("https://ca.linkedin.com/jobs/view/data-analyst-at-frostbite-3370111856?refId=aF5%2BA6%2BjTqdOE4kmyaBp%2Fw%3D%3D&amp;trackingId=WqOWM%2Fpq7As9vGnqj54D8Q%3D%3D&amp;position=3&amp;pageNum=0&amp;trk=public_jobs_jserp-result_search-card", "Job Link")</f>
        <v>Job Link</v>
      </c>
      <c r="H2302" t="s">
        <v>479</v>
      </c>
      <c r="I2302" t="s">
        <v>481</v>
      </c>
      <c r="J2302" t="s">
        <v>507</v>
      </c>
      <c r="K2302" t="s">
        <v>559</v>
      </c>
      <c r="L2302" t="s">
        <v>590</v>
      </c>
      <c r="M2302" t="s">
        <v>618</v>
      </c>
      <c r="N2302" t="s">
        <v>601</v>
      </c>
    </row>
    <row r="2303" spans="1:14" x14ac:dyDescent="0.25">
      <c r="A2303" t="s">
        <v>81</v>
      </c>
      <c r="B2303" t="s">
        <v>210</v>
      </c>
      <c r="C2303" t="s">
        <v>365</v>
      </c>
      <c r="D2303" t="s">
        <v>426</v>
      </c>
      <c r="F2303" t="s">
        <v>436</v>
      </c>
      <c r="G2303" t="str">
        <f>HYPERLINK("https://ca.linkedin.com/jobs/view/data-analyst-c117-at-mitsubishi-motor-sales-of-canada-inc-3344852931?refId=aF5%2BA6%2BjTqdOE4kmyaBp%2Fw%3D%3D&amp;trackingId=IjjNhv9pz30qWCgOyJfzCA%3D%3D&amp;position=4&amp;pageNum=0&amp;trk=public_jobs_jserp-result_search-card", "Job Link")</f>
        <v>Job Link</v>
      </c>
      <c r="H2303" t="s">
        <v>477</v>
      </c>
      <c r="I2303" t="s">
        <v>481</v>
      </c>
      <c r="J2303" t="s">
        <v>508</v>
      </c>
      <c r="K2303" t="s">
        <v>561</v>
      </c>
      <c r="L2303" t="s">
        <v>584</v>
      </c>
      <c r="M2303" t="s">
        <v>588</v>
      </c>
      <c r="N2303" t="s">
        <v>601</v>
      </c>
    </row>
    <row r="2304" spans="1:14" x14ac:dyDescent="0.25">
      <c r="A2304" t="s">
        <v>14</v>
      </c>
      <c r="B2304" t="s">
        <v>211</v>
      </c>
      <c r="C2304" t="s">
        <v>366</v>
      </c>
      <c r="D2304" t="s">
        <v>426</v>
      </c>
      <c r="F2304" t="s">
        <v>443</v>
      </c>
      <c r="G2304" t="str">
        <f>HYPERLINK("https://ca.linkedin.com/jobs/view/data-analyst-at-mphasis-3363428246?refId=aF5%2BA6%2BjTqdOE4kmyaBp%2Fw%3D%3D&amp;trackingId=7kVprrekO%2FlckU5Usm%2BXnQ%3D%3D&amp;position=5&amp;pageNum=0&amp;trk=public_jobs_jserp-result_search-card", "Job Link")</f>
        <v>Job Link</v>
      </c>
      <c r="H2304" t="s">
        <v>477</v>
      </c>
      <c r="I2304" t="s">
        <v>481</v>
      </c>
      <c r="J2304" t="s">
        <v>486</v>
      </c>
      <c r="K2304" t="s">
        <v>521</v>
      </c>
      <c r="L2304" t="s">
        <v>609</v>
      </c>
      <c r="M2304" t="s">
        <v>610</v>
      </c>
      <c r="N2304" t="s">
        <v>601</v>
      </c>
    </row>
    <row r="2305" spans="1:14" x14ac:dyDescent="0.25">
      <c r="A2305" t="s">
        <v>14</v>
      </c>
      <c r="B2305" t="s">
        <v>150</v>
      </c>
      <c r="C2305" t="s">
        <v>367</v>
      </c>
      <c r="D2305" t="s">
        <v>426</v>
      </c>
      <c r="F2305" t="s">
        <v>433</v>
      </c>
      <c r="G2305" t="str">
        <f>HYPERLINK("https://ca.linkedin.com/jobs/view/data-analyst-at-synechron-3348329085?refId=aF5%2BA6%2BjTqdOE4kmyaBp%2Fw%3D%3D&amp;trackingId=prrudHKzXzh8otbUbetvBg%3D%3D&amp;position=6&amp;pageNum=0&amp;trk=public_jobs_jserp-result_search-card", "Job Link")</f>
        <v>Job Link</v>
      </c>
      <c r="H2305" t="s">
        <v>478</v>
      </c>
      <c r="I2305" t="s">
        <v>481</v>
      </c>
      <c r="J2305" t="s">
        <v>486</v>
      </c>
      <c r="K2305" t="s">
        <v>562</v>
      </c>
      <c r="L2305" t="s">
        <v>584</v>
      </c>
      <c r="M2305" t="s">
        <v>588</v>
      </c>
      <c r="N2305" t="s">
        <v>601</v>
      </c>
    </row>
    <row r="2306" spans="1:14" x14ac:dyDescent="0.25">
      <c r="A2306" t="s">
        <v>82</v>
      </c>
      <c r="B2306" t="s">
        <v>179</v>
      </c>
      <c r="C2306" t="s">
        <v>368</v>
      </c>
      <c r="D2306" t="s">
        <v>426</v>
      </c>
      <c r="F2306" t="s">
        <v>471</v>
      </c>
      <c r="G2306" t="str">
        <f>HYPERLINK("https://ca.linkedin.com/jobs/view/business-data-analyst-at-capgemini-3327624663?refId=aF5%2BA6%2BjTqdOE4kmyaBp%2Fw%3D%3D&amp;trackingId=%2BGClffjxJIPqXlv7zQdikA%3D%3D&amp;position=7&amp;pageNum=0&amp;trk=public_jobs_jserp-result_search-card", "Job Link")</f>
        <v>Job Link</v>
      </c>
      <c r="H2306" t="s">
        <v>478</v>
      </c>
      <c r="I2306" t="s">
        <v>481</v>
      </c>
      <c r="J2306" t="s">
        <v>486</v>
      </c>
      <c r="K2306" t="s">
        <v>521</v>
      </c>
      <c r="L2306" t="s">
        <v>611</v>
      </c>
      <c r="M2306" t="s">
        <v>601</v>
      </c>
    </row>
    <row r="2307" spans="1:14" x14ac:dyDescent="0.25">
      <c r="A2307" t="s">
        <v>14</v>
      </c>
      <c r="B2307" t="s">
        <v>150</v>
      </c>
      <c r="C2307" t="s">
        <v>369</v>
      </c>
      <c r="D2307" t="s">
        <v>426</v>
      </c>
      <c r="F2307" t="s">
        <v>460</v>
      </c>
      <c r="G2307" t="str">
        <f>HYPERLINK("https://ca.linkedin.com/jobs/view/data-analyst-at-synechron-3364863079?refId=aF5%2BA6%2BjTqdOE4kmyaBp%2Fw%3D%3D&amp;trackingId=nShg4RRWH9Dq3KjCy8ZBZA%3D%3D&amp;position=8&amp;pageNum=0&amp;trk=public_jobs_jserp-result_search-card", "Job Link")</f>
        <v>Job Link</v>
      </c>
      <c r="H2307" t="s">
        <v>478</v>
      </c>
      <c r="I2307" t="s">
        <v>481</v>
      </c>
      <c r="J2307" t="s">
        <v>486</v>
      </c>
      <c r="K2307" t="s">
        <v>563</v>
      </c>
      <c r="L2307" t="s">
        <v>584</v>
      </c>
      <c r="M2307" t="s">
        <v>588</v>
      </c>
      <c r="N2307" t="s">
        <v>601</v>
      </c>
    </row>
    <row r="2308" spans="1:14" x14ac:dyDescent="0.25">
      <c r="A2308" t="s">
        <v>14</v>
      </c>
      <c r="B2308" t="s">
        <v>150</v>
      </c>
      <c r="C2308" t="s">
        <v>367</v>
      </c>
      <c r="D2308" t="s">
        <v>426</v>
      </c>
      <c r="F2308" t="s">
        <v>460</v>
      </c>
      <c r="G2308" t="str">
        <f>HYPERLINK("https://ca.linkedin.com/jobs/view/data-analyst-at-synechron-3361756851?refId=aF5%2BA6%2BjTqdOE4kmyaBp%2Fw%3D%3D&amp;trackingId=JU0H6LMup06P8KiLwyvZsA%3D%3D&amp;position=9&amp;pageNum=0&amp;trk=public_jobs_jserp-result_search-card", "Job Link")</f>
        <v>Job Link</v>
      </c>
      <c r="H2308" t="s">
        <v>478</v>
      </c>
      <c r="I2308" t="s">
        <v>481</v>
      </c>
      <c r="J2308" t="s">
        <v>486</v>
      </c>
      <c r="K2308" t="s">
        <v>562</v>
      </c>
      <c r="L2308" t="s">
        <v>584</v>
      </c>
      <c r="M2308" t="s">
        <v>588</v>
      </c>
      <c r="N2308" t="s">
        <v>601</v>
      </c>
    </row>
    <row r="2309" spans="1:14" x14ac:dyDescent="0.25">
      <c r="A2309" t="s">
        <v>14</v>
      </c>
      <c r="B2309" t="s">
        <v>212</v>
      </c>
      <c r="C2309" t="s">
        <v>370</v>
      </c>
      <c r="D2309" t="s">
        <v>426</v>
      </c>
      <c r="F2309" t="s">
        <v>432</v>
      </c>
      <c r="G2309" t="str">
        <f>HYPERLINK("https://ca.linkedin.com/jobs/view/data-analyst-at-agilus-work-solutions-3358673093?refId=aF5%2BA6%2BjTqdOE4kmyaBp%2Fw%3D%3D&amp;trackingId=BRb4EpFDLu4obVpz5VRT4A%3D%3D&amp;position=10&amp;pageNum=0&amp;trk=public_jobs_jserp-result_search-card", "Job Link")</f>
        <v>Job Link</v>
      </c>
      <c r="H2309" t="s">
        <v>477</v>
      </c>
      <c r="I2309" t="s">
        <v>483</v>
      </c>
      <c r="J2309" t="s">
        <v>486</v>
      </c>
      <c r="K2309" t="s">
        <v>518</v>
      </c>
      <c r="L2309" t="s">
        <v>582</v>
      </c>
      <c r="M2309" t="s">
        <v>588</v>
      </c>
      <c r="N2309" t="s">
        <v>601</v>
      </c>
    </row>
    <row r="2310" spans="1:14" x14ac:dyDescent="0.25">
      <c r="A2310" t="s">
        <v>14</v>
      </c>
      <c r="B2310" t="s">
        <v>213</v>
      </c>
      <c r="C2310" t="s">
        <v>371</v>
      </c>
      <c r="D2310" t="s">
        <v>426</v>
      </c>
      <c r="F2310" t="s">
        <v>472</v>
      </c>
      <c r="G2310" t="str">
        <f>HYPERLINK("https://ca.linkedin.com/jobs/view/data-analyst-at-linkus-group-3345817125?refId=aF5%2BA6%2BjTqdOE4kmyaBp%2Fw%3D%3D&amp;trackingId=%2B0Yo3OXe2nT%2BKj4NrQXdYQ%3D%3D&amp;position=11&amp;pageNum=0&amp;trk=public_jobs_jserp-result_search-card", "Job Link")</f>
        <v>Job Link</v>
      </c>
      <c r="H2310" t="s">
        <v>476</v>
      </c>
      <c r="I2310" t="s">
        <v>481</v>
      </c>
      <c r="J2310" t="s">
        <v>486</v>
      </c>
      <c r="K2310" t="s">
        <v>518</v>
      </c>
      <c r="L2310" t="s">
        <v>588</v>
      </c>
      <c r="M2310" t="s">
        <v>601</v>
      </c>
    </row>
    <row r="2311" spans="1:14" x14ac:dyDescent="0.25">
      <c r="A2311" t="s">
        <v>14</v>
      </c>
      <c r="B2311" t="s">
        <v>214</v>
      </c>
      <c r="C2311" t="s">
        <v>372</v>
      </c>
      <c r="D2311" t="s">
        <v>426</v>
      </c>
      <c r="F2311" t="s">
        <v>432</v>
      </c>
      <c r="G2311" t="str">
        <f>HYPERLINK("https://ca.linkedin.com/jobs/view/data-analyst-at-goeasy-ltd-3358677253?refId=aF5%2BA6%2BjTqdOE4kmyaBp%2Fw%3D%3D&amp;trackingId=S5R6rTbp48e1eUEliAvzbg%3D%3D&amp;position=12&amp;pageNum=0&amp;trk=public_jobs_jserp-result_search-card", "Job Link")</f>
        <v>Job Link</v>
      </c>
      <c r="H2311" t="s">
        <v>476</v>
      </c>
      <c r="I2311" t="s">
        <v>481</v>
      </c>
      <c r="J2311" t="s">
        <v>486</v>
      </c>
      <c r="K2311" t="s">
        <v>550</v>
      </c>
      <c r="L2311" t="s">
        <v>584</v>
      </c>
      <c r="M2311" t="s">
        <v>588</v>
      </c>
      <c r="N2311" t="s">
        <v>601</v>
      </c>
    </row>
    <row r="2312" spans="1:14" x14ac:dyDescent="0.25">
      <c r="A2312" t="s">
        <v>83</v>
      </c>
      <c r="B2312" t="s">
        <v>215</v>
      </c>
      <c r="C2312" t="s">
        <v>373</v>
      </c>
      <c r="D2312" t="s">
        <v>426</v>
      </c>
      <c r="F2312" t="s">
        <v>462</v>
      </c>
      <c r="G2312">
        <v>0</v>
      </c>
      <c r="H2312" t="s">
        <v>478</v>
      </c>
      <c r="I2312" t="s">
        <v>483</v>
      </c>
      <c r="J2312" t="s">
        <v>509</v>
      </c>
      <c r="K2312" t="s">
        <v>550</v>
      </c>
      <c r="L2312" t="s">
        <v>584</v>
      </c>
      <c r="M2312" t="s">
        <v>588</v>
      </c>
      <c r="N2312" t="s">
        <v>601</v>
      </c>
    </row>
    <row r="2313" spans="1:14" x14ac:dyDescent="0.25">
      <c r="A2313" t="s">
        <v>20</v>
      </c>
      <c r="B2313" t="s">
        <v>207</v>
      </c>
      <c r="C2313" t="s">
        <v>374</v>
      </c>
      <c r="D2313" t="s">
        <v>426</v>
      </c>
      <c r="F2313" t="s">
        <v>463</v>
      </c>
      <c r="G2313" t="str">
        <f>HYPERLINK("https://ca.linkedin.com/jobs/view/senior-data-analyst-at-onlia-3320897882?refId=aF5%2BA6%2BjTqdOE4kmyaBp%2Fw%3D%3D&amp;trackingId=K241nZ86SM8TFmrf5mBwGQ%3D%3D&amp;position=14&amp;pageNum=0&amp;trk=public_jobs_jserp-result_search-card", "Job Link")</f>
        <v>Job Link</v>
      </c>
      <c r="H2313" t="s">
        <v>477</v>
      </c>
      <c r="I2313" t="s">
        <v>481</v>
      </c>
      <c r="J2313" t="s">
        <v>486</v>
      </c>
      <c r="K2313" t="s">
        <v>523</v>
      </c>
      <c r="L2313" t="s">
        <v>582</v>
      </c>
      <c r="M2313" t="s">
        <v>588</v>
      </c>
      <c r="N2313" t="s">
        <v>601</v>
      </c>
    </row>
    <row r="2314" spans="1:14" x14ac:dyDescent="0.25">
      <c r="A2314" t="s">
        <v>84</v>
      </c>
      <c r="B2314" t="s">
        <v>216</v>
      </c>
      <c r="C2314" t="s">
        <v>375</v>
      </c>
      <c r="D2314" t="s">
        <v>426</v>
      </c>
      <c r="F2314" t="s">
        <v>452</v>
      </c>
      <c r="G2314" t="str">
        <f>HYPERLINK("https://ca.linkedin.com/jobs/view/data-analyst-hybrid-at-xylem-3335088701?refId=aF5%2BA6%2BjTqdOE4kmyaBp%2Fw%3D%3D&amp;trackingId=UNkCvVWIwLlEGhayRI8oFg%3D%3D&amp;position=15&amp;pageNum=0&amp;trk=public_jobs_jserp-result_search-card", "Job Link")</f>
        <v>Job Link</v>
      </c>
      <c r="H2314" t="s">
        <v>476</v>
      </c>
      <c r="I2314" t="s">
        <v>481</v>
      </c>
      <c r="J2314" t="s">
        <v>486</v>
      </c>
      <c r="K2314" t="s">
        <v>564</v>
      </c>
      <c r="L2314" t="s">
        <v>584</v>
      </c>
      <c r="M2314" t="s">
        <v>588</v>
      </c>
      <c r="N2314" t="s">
        <v>601</v>
      </c>
    </row>
    <row r="2315" spans="1:14" x14ac:dyDescent="0.25">
      <c r="A2315" t="s">
        <v>85</v>
      </c>
      <c r="B2315" t="s">
        <v>217</v>
      </c>
      <c r="C2315" t="s">
        <v>376</v>
      </c>
      <c r="D2315" t="s">
        <v>426</v>
      </c>
      <c r="F2315" t="s">
        <v>473</v>
      </c>
      <c r="G2315" t="str">
        <f>HYPERLINK("https://ca.linkedin.com/jobs/view/data-analyst-python-sql-at-geotab-3341823745?refId=aF5%2BA6%2BjTqdOE4kmyaBp%2Fw%3D%3D&amp;trackingId=%2FjJcH64%2Fe940YJ%2Fak2nNbg%3D%3D&amp;position=16&amp;pageNum=0&amp;trk=public_jobs_jserp-result_search-card", "Job Link")</f>
        <v>Job Link</v>
      </c>
      <c r="H2315" t="s">
        <v>479</v>
      </c>
      <c r="I2315" t="s">
        <v>481</v>
      </c>
      <c r="J2315" t="s">
        <v>486</v>
      </c>
      <c r="K2315" t="s">
        <v>521</v>
      </c>
      <c r="L2315" t="s">
        <v>612</v>
      </c>
      <c r="M2315" t="s">
        <v>588</v>
      </c>
      <c r="N2315" t="s">
        <v>601</v>
      </c>
    </row>
    <row r="2316" spans="1:14" x14ac:dyDescent="0.25">
      <c r="A2316" t="s">
        <v>86</v>
      </c>
      <c r="B2316" t="s">
        <v>167</v>
      </c>
      <c r="C2316" t="s">
        <v>377</v>
      </c>
      <c r="D2316" t="s">
        <v>426</v>
      </c>
      <c r="F2316" t="s">
        <v>454</v>
      </c>
      <c r="G2316" t="str">
        <f>HYPERLINK("https://ca.linkedin.com/jobs/view/data-analyst-reporting-at-thescore-3345941286?refId=aF5%2BA6%2BjTqdOE4kmyaBp%2Fw%3D%3D&amp;trackingId=2ypHJ68kNQYFyCL6RLhQPA%3D%3D&amp;position=17&amp;pageNum=0&amp;trk=public_jobs_jserp-result_search-card", "Job Link")</f>
        <v>Job Link</v>
      </c>
      <c r="H2316" t="s">
        <v>476</v>
      </c>
      <c r="I2316" t="s">
        <v>481</v>
      </c>
      <c r="J2316" t="s">
        <v>486</v>
      </c>
      <c r="K2316" t="s">
        <v>545</v>
      </c>
      <c r="L2316" t="s">
        <v>582</v>
      </c>
      <c r="M2316" t="s">
        <v>588</v>
      </c>
      <c r="N2316" t="s">
        <v>601</v>
      </c>
    </row>
    <row r="2317" spans="1:14" x14ac:dyDescent="0.25">
      <c r="A2317" t="s">
        <v>87</v>
      </c>
      <c r="B2317" t="s">
        <v>218</v>
      </c>
      <c r="C2317" t="s">
        <v>378</v>
      </c>
      <c r="D2317" t="s">
        <v>426</v>
      </c>
      <c r="F2317" t="s">
        <v>432</v>
      </c>
      <c r="G2317">
        <v>0</v>
      </c>
      <c r="H2317" t="s">
        <v>478</v>
      </c>
      <c r="I2317" t="s">
        <v>483</v>
      </c>
      <c r="J2317" t="s">
        <v>486</v>
      </c>
      <c r="K2317" t="s">
        <v>521</v>
      </c>
      <c r="L2317" t="s">
        <v>582</v>
      </c>
      <c r="M2317" t="s">
        <v>588</v>
      </c>
      <c r="N2317" t="s">
        <v>601</v>
      </c>
    </row>
    <row r="2318" spans="1:14" x14ac:dyDescent="0.25">
      <c r="A2318" t="s">
        <v>88</v>
      </c>
      <c r="B2318" t="s">
        <v>219</v>
      </c>
      <c r="C2318" t="s">
        <v>379</v>
      </c>
      <c r="D2318" t="s">
        <v>426</v>
      </c>
      <c r="F2318" t="s">
        <v>454</v>
      </c>
      <c r="G2318" t="str">
        <f>HYPERLINK("https://ca.linkedin.com/jobs/view/data-analyst-flight-pricing-optimization-at-priceline-3345993633?refId=aF5%2BA6%2BjTqdOE4kmyaBp%2Fw%3D%3D&amp;trackingId=r72YCLCSknA3hUIoXkQZIA%3D%3D&amp;position=19&amp;pageNum=0&amp;trk=public_jobs_jserp-result_search-card", "Job Link")</f>
        <v>Job Link</v>
      </c>
      <c r="H2318" t="s">
        <v>476</v>
      </c>
      <c r="I2318" t="s">
        <v>481</v>
      </c>
      <c r="J2318" t="s">
        <v>486</v>
      </c>
      <c r="K2318" t="s">
        <v>565</v>
      </c>
      <c r="L2318" t="s">
        <v>582</v>
      </c>
      <c r="M2318" t="s">
        <v>588</v>
      </c>
      <c r="N2318" t="s">
        <v>601</v>
      </c>
    </row>
    <row r="2319" spans="1:14" x14ac:dyDescent="0.25">
      <c r="A2319" t="s">
        <v>27</v>
      </c>
      <c r="B2319" t="s">
        <v>220</v>
      </c>
      <c r="C2319" t="s">
        <v>380</v>
      </c>
      <c r="D2319" t="s">
        <v>426</v>
      </c>
      <c r="F2319" t="s">
        <v>434</v>
      </c>
      <c r="G2319" t="str">
        <f>HYPERLINK("https://ca.linkedin.com/jobs/view/sr-data-analyst-at-randstad-canada-3354999789?refId=aF5%2BA6%2BjTqdOE4kmyaBp%2Fw%3D%3D&amp;trackingId=7LhfKcV2bz%2Fmk2EC1Gqb9w%3D%3D&amp;position=20&amp;pageNum=0&amp;trk=public_jobs_jserp-result_search-card", "Job Link")</f>
        <v>Job Link</v>
      </c>
      <c r="H2319" t="s">
        <v>478</v>
      </c>
      <c r="I2319" t="s">
        <v>483</v>
      </c>
      <c r="J2319" t="s">
        <v>486</v>
      </c>
      <c r="K2319" t="s">
        <v>518</v>
      </c>
      <c r="L2319" t="s">
        <v>584</v>
      </c>
      <c r="M2319" t="s">
        <v>588</v>
      </c>
      <c r="N2319" t="s">
        <v>601</v>
      </c>
    </row>
    <row r="2320" spans="1:14" x14ac:dyDescent="0.25">
      <c r="A2320" t="s">
        <v>89</v>
      </c>
      <c r="B2320" t="s">
        <v>221</v>
      </c>
      <c r="C2320" t="s">
        <v>381</v>
      </c>
      <c r="D2320" t="s">
        <v>426</v>
      </c>
      <c r="F2320" t="s">
        <v>461</v>
      </c>
      <c r="G2320">
        <v>0</v>
      </c>
      <c r="H2320" t="s">
        <v>476</v>
      </c>
      <c r="I2320" t="s">
        <v>481</v>
      </c>
      <c r="J2320" t="s">
        <v>488</v>
      </c>
      <c r="K2320" t="s">
        <v>566</v>
      </c>
      <c r="L2320" t="s">
        <v>582</v>
      </c>
      <c r="M2320" t="s">
        <v>588</v>
      </c>
      <c r="N2320" t="s">
        <v>601</v>
      </c>
    </row>
    <row r="2321" spans="1:14" x14ac:dyDescent="0.25">
      <c r="A2321" t="s">
        <v>14</v>
      </c>
      <c r="B2321" t="s">
        <v>222</v>
      </c>
      <c r="C2321" t="s">
        <v>382</v>
      </c>
      <c r="D2321" t="s">
        <v>426</v>
      </c>
      <c r="F2321" t="s">
        <v>431</v>
      </c>
      <c r="G2321" t="str">
        <f>HYPERLINK("https://ca.linkedin.com/jobs/view/data-analyst-at-circle-k-3367192655?refId=aF5%2BA6%2BjTqdOE4kmyaBp%2Fw%3D%3D&amp;trackingId=FoTTexf3G3c%2BoNTgqpVUnA%3D%3D&amp;position=22&amp;pageNum=0&amp;trk=public_jobs_jserp-result_search-card", "Job Link")</f>
        <v>Job Link</v>
      </c>
      <c r="H2321" t="s">
        <v>476</v>
      </c>
      <c r="I2321" t="s">
        <v>481</v>
      </c>
      <c r="J2321" t="s">
        <v>486</v>
      </c>
      <c r="K2321" t="s">
        <v>567</v>
      </c>
      <c r="L2321" t="s">
        <v>582</v>
      </c>
      <c r="M2321" t="s">
        <v>588</v>
      </c>
      <c r="N2321" t="s">
        <v>601</v>
      </c>
    </row>
    <row r="2322" spans="1:14" x14ac:dyDescent="0.25">
      <c r="A2322" t="s">
        <v>90</v>
      </c>
      <c r="B2322" t="s">
        <v>223</v>
      </c>
      <c r="C2322" t="s">
        <v>383</v>
      </c>
      <c r="D2322" t="s">
        <v>426</v>
      </c>
      <c r="F2322" t="s">
        <v>443</v>
      </c>
      <c r="G2322" t="str">
        <f>HYPERLINK("https://ca.linkedin.com/jobs/view/data-administrator-data-analyst-at-hays-3369576413?refId=aF5%2BA6%2BjTqdOE4kmyaBp%2Fw%3D%3D&amp;trackingId=QuRqkYfT5q2sf1IDEj%2F%2BfQ%3D%3D&amp;position=23&amp;pageNum=0&amp;trk=public_jobs_jserp-result_search-card", "Job Link")</f>
        <v>Job Link</v>
      </c>
      <c r="H2322" t="s">
        <v>478</v>
      </c>
      <c r="I2322" t="s">
        <v>481</v>
      </c>
      <c r="J2322" t="s">
        <v>486</v>
      </c>
      <c r="K2322" t="s">
        <v>518</v>
      </c>
      <c r="L2322" t="s">
        <v>583</v>
      </c>
      <c r="M2322" t="s">
        <v>610</v>
      </c>
      <c r="N2322" t="s">
        <v>601</v>
      </c>
    </row>
    <row r="2323" spans="1:14" x14ac:dyDescent="0.25">
      <c r="A2323" t="s">
        <v>91</v>
      </c>
      <c r="B2323" t="s">
        <v>224</v>
      </c>
      <c r="C2323" t="s">
        <v>384</v>
      </c>
      <c r="D2323" t="s">
        <v>426</v>
      </c>
      <c r="F2323" t="s">
        <v>431</v>
      </c>
      <c r="G2323" t="str">
        <f>HYPERLINK("https://ca.linkedin.com/jobs/view/commercial-data-analyst-at-organigram-inc-3367177254?refId=aF5%2BA6%2BjTqdOE4kmyaBp%2Fw%3D%3D&amp;trackingId=r61srN9zyijGBWinbzUlNw%3D%3D&amp;position=24&amp;pageNum=0&amp;trk=public_jobs_jserp-result_search-card", "Job Link")</f>
        <v>Job Link</v>
      </c>
      <c r="I2323" t="s">
        <v>481</v>
      </c>
      <c r="L2323" t="s">
        <v>582</v>
      </c>
      <c r="M2323" t="s">
        <v>588</v>
      </c>
      <c r="N2323" t="s">
        <v>601</v>
      </c>
    </row>
    <row r="2324" spans="1:14" x14ac:dyDescent="0.25">
      <c r="A2324" t="s">
        <v>14</v>
      </c>
      <c r="B2324" t="s">
        <v>225</v>
      </c>
      <c r="C2324" t="s">
        <v>385</v>
      </c>
      <c r="D2324" t="s">
        <v>426</v>
      </c>
      <c r="F2324" t="s">
        <v>463</v>
      </c>
      <c r="G2324" t="str">
        <f>HYPERLINK("https://ca.linkedin.com/jobs/view/data-analyst-at-vector-institute-3325395506?refId=aF5%2BA6%2BjTqdOE4kmyaBp%2Fw%3D%3D&amp;trackingId=Vc0nQfz5SafdXdEgG4tTSw%3D%3D&amp;position=25&amp;pageNum=0&amp;trk=public_jobs_jserp-result_search-card", "Job Link")</f>
        <v>Job Link</v>
      </c>
      <c r="H2324" t="s">
        <v>478</v>
      </c>
      <c r="I2324" t="s">
        <v>481</v>
      </c>
      <c r="J2324" t="s">
        <v>486</v>
      </c>
      <c r="K2324" t="s">
        <v>520</v>
      </c>
      <c r="L2324" t="s">
        <v>582</v>
      </c>
      <c r="M2324" t="s">
        <v>588</v>
      </c>
      <c r="N2324" t="s">
        <v>601</v>
      </c>
    </row>
    <row r="2325" spans="1:14" x14ac:dyDescent="0.25">
      <c r="A2325" t="s">
        <v>14</v>
      </c>
      <c r="B2325" t="s">
        <v>207</v>
      </c>
      <c r="C2325" t="s">
        <v>362</v>
      </c>
      <c r="D2325" t="s">
        <v>426</v>
      </c>
      <c r="F2325" t="s">
        <v>463</v>
      </c>
      <c r="G2325" t="str">
        <f>HYPERLINK("https://ca.linkedin.com/jobs/view/data-analyst-at-onlia-3320897897?refId=PavB85DCP3%2Bnt32Ymhtc9g%3D%3D&amp;trackingId=GLrue3%2B7Uhs4lgM9lv3Ong%3D%3D&amp;position=1&amp;pageNum=0&amp;trk=public_jobs_jserp-result_search-card", "Job Link")</f>
        <v>Job Link</v>
      </c>
      <c r="H2325" t="s">
        <v>477</v>
      </c>
      <c r="I2325" t="s">
        <v>481</v>
      </c>
      <c r="J2325" t="s">
        <v>486</v>
      </c>
      <c r="K2325" t="s">
        <v>523</v>
      </c>
      <c r="L2325" t="s">
        <v>582</v>
      </c>
      <c r="M2325" t="s">
        <v>588</v>
      </c>
      <c r="N2325" t="s">
        <v>601</v>
      </c>
    </row>
    <row r="2326" spans="1:14" x14ac:dyDescent="0.25">
      <c r="A2326" t="s">
        <v>14</v>
      </c>
      <c r="B2326" t="s">
        <v>208</v>
      </c>
      <c r="C2326" t="s">
        <v>363</v>
      </c>
      <c r="D2326" t="s">
        <v>426</v>
      </c>
      <c r="F2326" t="s">
        <v>445</v>
      </c>
      <c r="G2326" t="str">
        <f>HYPERLINK("https://ca.linkedin.com/jobs/view/data-analyst-at-electronic-arts-ea-3325611825?refId=PavB85DCP3%2Bnt32Ymhtc9g%3D%3D&amp;trackingId=%2BpgfXbmGguicnlBHEIFDDA%3D%3D&amp;position=2&amp;pageNum=0&amp;trk=public_jobs_jserp-result_search-card", "Job Link")</f>
        <v>Job Link</v>
      </c>
      <c r="H2326" t="s">
        <v>479</v>
      </c>
      <c r="I2326" t="s">
        <v>481</v>
      </c>
      <c r="J2326" t="s">
        <v>507</v>
      </c>
      <c r="K2326" t="s">
        <v>559</v>
      </c>
      <c r="L2326" t="s">
        <v>582</v>
      </c>
      <c r="M2326" t="s">
        <v>588</v>
      </c>
      <c r="N2326" t="s">
        <v>601</v>
      </c>
    </row>
    <row r="2327" spans="1:14" x14ac:dyDescent="0.25">
      <c r="A2327" t="s">
        <v>14</v>
      </c>
      <c r="B2327" t="s">
        <v>209</v>
      </c>
      <c r="C2327" t="s">
        <v>364</v>
      </c>
      <c r="D2327" t="s">
        <v>426</v>
      </c>
      <c r="F2327" t="s">
        <v>440</v>
      </c>
      <c r="G2327" t="str">
        <f>HYPERLINK("https://ca.linkedin.com/jobs/view/data-analyst-at-frostbite-3370111856?refId=PavB85DCP3%2Bnt32Ymhtc9g%3D%3D&amp;trackingId=4OXoi1vdO80g8tFByMWF%2Bw%3D%3D&amp;position=3&amp;pageNum=0&amp;trk=public_jobs_jserp-result_search-card", "Job Link")</f>
        <v>Job Link</v>
      </c>
      <c r="H2327" t="s">
        <v>479</v>
      </c>
      <c r="I2327" t="s">
        <v>481</v>
      </c>
      <c r="J2327" t="s">
        <v>507</v>
      </c>
      <c r="K2327" t="s">
        <v>559</v>
      </c>
      <c r="L2327" t="s">
        <v>590</v>
      </c>
      <c r="M2327" t="s">
        <v>618</v>
      </c>
      <c r="N2327" t="s">
        <v>601</v>
      </c>
    </row>
    <row r="2328" spans="1:14" x14ac:dyDescent="0.25">
      <c r="A2328" t="s">
        <v>14</v>
      </c>
      <c r="B2328" t="s">
        <v>211</v>
      </c>
      <c r="C2328" t="s">
        <v>366</v>
      </c>
      <c r="D2328" t="s">
        <v>426</v>
      </c>
      <c r="F2328" t="s">
        <v>443</v>
      </c>
      <c r="G2328" t="str">
        <f>HYPERLINK("https://ca.linkedin.com/jobs/view/data-analyst-at-mphasis-3363428246?refId=PavB85DCP3%2Bnt32Ymhtc9g%3D%3D&amp;trackingId=IhVlyrV7quZVFsRPuMhwSg%3D%3D&amp;position=4&amp;pageNum=0&amp;trk=public_jobs_jserp-result_search-card", "Job Link")</f>
        <v>Job Link</v>
      </c>
      <c r="H2328" t="s">
        <v>477</v>
      </c>
      <c r="I2328" t="s">
        <v>481</v>
      </c>
      <c r="J2328" t="s">
        <v>486</v>
      </c>
      <c r="K2328" t="s">
        <v>521</v>
      </c>
      <c r="L2328" t="s">
        <v>609</v>
      </c>
      <c r="M2328" t="s">
        <v>610</v>
      </c>
      <c r="N2328" t="s">
        <v>601</v>
      </c>
    </row>
    <row r="2329" spans="1:14" x14ac:dyDescent="0.25">
      <c r="A2329" t="s">
        <v>81</v>
      </c>
      <c r="B2329" t="s">
        <v>210</v>
      </c>
      <c r="C2329" t="s">
        <v>365</v>
      </c>
      <c r="D2329" t="s">
        <v>426</v>
      </c>
      <c r="F2329" t="s">
        <v>436</v>
      </c>
      <c r="G2329" t="str">
        <f>HYPERLINK("https://ca.linkedin.com/jobs/view/data-analyst-c117-at-mitsubishi-motor-sales-of-canada-inc-3344852931?refId=PavB85DCP3%2Bnt32Ymhtc9g%3D%3D&amp;trackingId=w1qT63%2Fbk2SNadD9rDuhWQ%3D%3D&amp;position=5&amp;pageNum=0&amp;trk=public_jobs_jserp-result_search-card", "Job Link")</f>
        <v>Job Link</v>
      </c>
      <c r="H2329" t="s">
        <v>477</v>
      </c>
      <c r="I2329" t="s">
        <v>481</v>
      </c>
      <c r="J2329" t="s">
        <v>508</v>
      </c>
      <c r="K2329" t="s">
        <v>561</v>
      </c>
      <c r="L2329" t="s">
        <v>584</v>
      </c>
      <c r="M2329" t="s">
        <v>588</v>
      </c>
      <c r="N2329" t="s">
        <v>601</v>
      </c>
    </row>
    <row r="2330" spans="1:14" x14ac:dyDescent="0.25">
      <c r="A2330" t="s">
        <v>14</v>
      </c>
      <c r="B2330" t="s">
        <v>150</v>
      </c>
      <c r="C2330" t="s">
        <v>367</v>
      </c>
      <c r="D2330" t="s">
        <v>426</v>
      </c>
      <c r="F2330" t="s">
        <v>433</v>
      </c>
      <c r="G2330" t="str">
        <f>HYPERLINK("https://ca.linkedin.com/jobs/view/data-analyst-at-synechron-3348329085?refId=PavB85DCP3%2Bnt32Ymhtc9g%3D%3D&amp;trackingId=zCdUMdD%2FvAPkr66jdgGTbQ%3D%3D&amp;position=6&amp;pageNum=0&amp;trk=public_jobs_jserp-result_search-card", "Job Link")</f>
        <v>Job Link</v>
      </c>
      <c r="H2330" t="s">
        <v>478</v>
      </c>
      <c r="I2330" t="s">
        <v>481</v>
      </c>
      <c r="J2330" t="s">
        <v>486</v>
      </c>
      <c r="K2330" t="s">
        <v>562</v>
      </c>
      <c r="L2330" t="s">
        <v>584</v>
      </c>
      <c r="M2330" t="s">
        <v>588</v>
      </c>
      <c r="N2330" t="s">
        <v>601</v>
      </c>
    </row>
    <row r="2331" spans="1:14" x14ac:dyDescent="0.25">
      <c r="A2331" t="s">
        <v>82</v>
      </c>
      <c r="B2331" t="s">
        <v>179</v>
      </c>
      <c r="C2331" t="s">
        <v>368</v>
      </c>
      <c r="D2331" t="s">
        <v>426</v>
      </c>
      <c r="F2331" t="s">
        <v>471</v>
      </c>
      <c r="G2331" t="str">
        <f>HYPERLINK("https://ca.linkedin.com/jobs/view/business-data-analyst-at-capgemini-3327624663?refId=PavB85DCP3%2Bnt32Ymhtc9g%3D%3D&amp;trackingId=4Vvci6kKtJmgUbwkJQ9eEQ%3D%3D&amp;position=7&amp;pageNum=0&amp;trk=public_jobs_jserp-result_search-card", "Job Link")</f>
        <v>Job Link</v>
      </c>
      <c r="H2331" t="s">
        <v>478</v>
      </c>
      <c r="I2331" t="s">
        <v>481</v>
      </c>
      <c r="J2331" t="s">
        <v>486</v>
      </c>
      <c r="K2331" t="s">
        <v>521</v>
      </c>
      <c r="L2331" t="s">
        <v>611</v>
      </c>
      <c r="M2331" t="s">
        <v>601</v>
      </c>
    </row>
    <row r="2332" spans="1:14" x14ac:dyDescent="0.25">
      <c r="A2332" t="s">
        <v>14</v>
      </c>
      <c r="B2332" t="s">
        <v>212</v>
      </c>
      <c r="C2332" t="s">
        <v>370</v>
      </c>
      <c r="D2332" t="s">
        <v>426</v>
      </c>
      <c r="F2332" t="s">
        <v>432</v>
      </c>
      <c r="G2332" t="str">
        <f>HYPERLINK("https://ca.linkedin.com/jobs/view/data-analyst-at-agilus-work-solutions-3358673093?refId=PavB85DCP3%2Bnt32Ymhtc9g%3D%3D&amp;trackingId=kU5DUjeEMdAOc40Ur%2FXptg%3D%3D&amp;position=8&amp;pageNum=0&amp;trk=public_jobs_jserp-result_search-card", "Job Link")</f>
        <v>Job Link</v>
      </c>
      <c r="H2332" t="s">
        <v>477</v>
      </c>
      <c r="I2332" t="s">
        <v>483</v>
      </c>
      <c r="J2332" t="s">
        <v>486</v>
      </c>
      <c r="K2332" t="s">
        <v>518</v>
      </c>
      <c r="L2332" t="s">
        <v>582</v>
      </c>
      <c r="M2332" t="s">
        <v>588</v>
      </c>
      <c r="N2332" t="s">
        <v>601</v>
      </c>
    </row>
    <row r="2333" spans="1:14" x14ac:dyDescent="0.25">
      <c r="A2333" t="s">
        <v>14</v>
      </c>
      <c r="B2333" t="s">
        <v>150</v>
      </c>
      <c r="C2333" t="s">
        <v>369</v>
      </c>
      <c r="D2333" t="s">
        <v>426</v>
      </c>
      <c r="F2333" t="s">
        <v>460</v>
      </c>
      <c r="G2333" t="str">
        <f>HYPERLINK("https://ca.linkedin.com/jobs/view/data-analyst-at-synechron-3364863079?refId=PavB85DCP3%2Bnt32Ymhtc9g%3D%3D&amp;trackingId=zMbzIrjYyRpw2zfLwUEE2g%3D%3D&amp;position=9&amp;pageNum=0&amp;trk=public_jobs_jserp-result_search-card", "Job Link")</f>
        <v>Job Link</v>
      </c>
      <c r="H2333" t="s">
        <v>478</v>
      </c>
      <c r="I2333" t="s">
        <v>481</v>
      </c>
      <c r="J2333" t="s">
        <v>486</v>
      </c>
      <c r="K2333" t="s">
        <v>563</v>
      </c>
      <c r="L2333" t="s">
        <v>584</v>
      </c>
      <c r="M2333" t="s">
        <v>588</v>
      </c>
      <c r="N2333" t="s">
        <v>601</v>
      </c>
    </row>
    <row r="2334" spans="1:14" x14ac:dyDescent="0.25">
      <c r="A2334" t="s">
        <v>14</v>
      </c>
      <c r="B2334" t="s">
        <v>150</v>
      </c>
      <c r="C2334" t="s">
        <v>367</v>
      </c>
      <c r="D2334" t="s">
        <v>426</v>
      </c>
      <c r="F2334" t="s">
        <v>460</v>
      </c>
      <c r="G2334" t="str">
        <f>HYPERLINK("https://ca.linkedin.com/jobs/view/data-analyst-at-synechron-3361756851?refId=PavB85DCP3%2Bnt32Ymhtc9g%3D%3D&amp;trackingId=GadD41St3QUmYMZABlo8QQ%3D%3D&amp;position=10&amp;pageNum=0&amp;trk=public_jobs_jserp-result_search-card", "Job Link")</f>
        <v>Job Link</v>
      </c>
      <c r="H2334" t="s">
        <v>478</v>
      </c>
      <c r="I2334" t="s">
        <v>481</v>
      </c>
      <c r="J2334" t="s">
        <v>486</v>
      </c>
      <c r="K2334" t="s">
        <v>562</v>
      </c>
      <c r="L2334" t="s">
        <v>584</v>
      </c>
      <c r="M2334" t="s">
        <v>588</v>
      </c>
      <c r="N2334" t="s">
        <v>601</v>
      </c>
    </row>
    <row r="2335" spans="1:14" x14ac:dyDescent="0.25">
      <c r="A2335" t="s">
        <v>14</v>
      </c>
      <c r="B2335" t="s">
        <v>213</v>
      </c>
      <c r="C2335" t="s">
        <v>371</v>
      </c>
      <c r="D2335" t="s">
        <v>426</v>
      </c>
      <c r="F2335" t="s">
        <v>472</v>
      </c>
      <c r="G2335" t="str">
        <f>HYPERLINK("https://ca.linkedin.com/jobs/view/data-analyst-at-linkus-group-3345817125?refId=PavB85DCP3%2Bnt32Ymhtc9g%3D%3D&amp;trackingId=YDDLg0DrLgcX3%2B%2B%2Fxc%2BSVg%3D%3D&amp;position=11&amp;pageNum=0&amp;trk=public_jobs_jserp-result_search-card", "Job Link")</f>
        <v>Job Link</v>
      </c>
      <c r="H2335" t="s">
        <v>476</v>
      </c>
      <c r="I2335" t="s">
        <v>481</v>
      </c>
      <c r="J2335" t="s">
        <v>486</v>
      </c>
      <c r="K2335" t="s">
        <v>518</v>
      </c>
      <c r="L2335" t="s">
        <v>588</v>
      </c>
      <c r="M2335" t="s">
        <v>601</v>
      </c>
    </row>
    <row r="2336" spans="1:14" x14ac:dyDescent="0.25">
      <c r="A2336" t="s">
        <v>14</v>
      </c>
      <c r="B2336" t="s">
        <v>214</v>
      </c>
      <c r="C2336" t="s">
        <v>372</v>
      </c>
      <c r="D2336" t="s">
        <v>426</v>
      </c>
      <c r="F2336" t="s">
        <v>432</v>
      </c>
      <c r="G2336" t="str">
        <f>HYPERLINK("https://ca.linkedin.com/jobs/view/data-analyst-at-goeasy-ltd-3358677253?refId=PavB85DCP3%2Bnt32Ymhtc9g%3D%3D&amp;trackingId=op1gxTOjb8AiWYJOJAvBLg%3D%3D&amp;position=12&amp;pageNum=0&amp;trk=public_jobs_jserp-result_search-card", "Job Link")</f>
        <v>Job Link</v>
      </c>
      <c r="H2336" t="s">
        <v>476</v>
      </c>
      <c r="I2336" t="s">
        <v>481</v>
      </c>
      <c r="J2336" t="s">
        <v>486</v>
      </c>
      <c r="K2336" t="s">
        <v>550</v>
      </c>
      <c r="L2336" t="s">
        <v>584</v>
      </c>
      <c r="M2336" t="s">
        <v>588</v>
      </c>
      <c r="N2336" t="s">
        <v>601</v>
      </c>
    </row>
    <row r="2337" spans="1:14" x14ac:dyDescent="0.25">
      <c r="A2337" t="s">
        <v>83</v>
      </c>
      <c r="B2337" t="s">
        <v>215</v>
      </c>
      <c r="C2337" t="s">
        <v>284</v>
      </c>
      <c r="D2337" t="s">
        <v>426</v>
      </c>
      <c r="F2337" t="s">
        <v>462</v>
      </c>
      <c r="G2337">
        <v>0</v>
      </c>
      <c r="L2337" t="s">
        <v>584</v>
      </c>
      <c r="M2337" t="s">
        <v>588</v>
      </c>
      <c r="N2337" t="s">
        <v>601</v>
      </c>
    </row>
    <row r="2338" spans="1:14" x14ac:dyDescent="0.25">
      <c r="A2338" t="s">
        <v>91</v>
      </c>
      <c r="B2338" t="s">
        <v>224</v>
      </c>
      <c r="C2338" t="s">
        <v>384</v>
      </c>
      <c r="D2338" t="s">
        <v>426</v>
      </c>
      <c r="F2338" t="s">
        <v>431</v>
      </c>
      <c r="G2338" t="str">
        <f>HYPERLINK("https://ca.linkedin.com/jobs/view/commercial-data-analyst-at-organigram-inc-3367177254?refId=PavB85DCP3%2Bnt32Ymhtc9g%3D%3D&amp;trackingId=4lmrVorZlPFca9a88cCv2A%3D%3D&amp;position=14&amp;pageNum=0&amp;trk=public_jobs_jserp-result_search-card", "Job Link")</f>
        <v>Job Link</v>
      </c>
      <c r="I2338" t="s">
        <v>481</v>
      </c>
      <c r="L2338" t="s">
        <v>582</v>
      </c>
      <c r="M2338" t="s">
        <v>588</v>
      </c>
      <c r="N2338" t="s">
        <v>601</v>
      </c>
    </row>
    <row r="2339" spans="1:14" x14ac:dyDescent="0.25">
      <c r="A2339" t="s">
        <v>20</v>
      </c>
      <c r="B2339" t="s">
        <v>207</v>
      </c>
      <c r="C2339" t="s">
        <v>374</v>
      </c>
      <c r="D2339" t="s">
        <v>426</v>
      </c>
      <c r="F2339" t="s">
        <v>463</v>
      </c>
      <c r="G2339" t="str">
        <f>HYPERLINK("https://ca.linkedin.com/jobs/view/senior-data-analyst-at-onlia-3320897882?refId=PavB85DCP3%2Bnt32Ymhtc9g%3D%3D&amp;trackingId=1ySpFpCUrp7odv8S7c%2BeuA%3D%3D&amp;position=15&amp;pageNum=0&amp;trk=public_jobs_jserp-result_search-card", "Job Link")</f>
        <v>Job Link</v>
      </c>
      <c r="H2339" t="s">
        <v>477</v>
      </c>
      <c r="I2339" t="s">
        <v>481</v>
      </c>
      <c r="J2339" t="s">
        <v>486</v>
      </c>
      <c r="K2339" t="s">
        <v>523</v>
      </c>
      <c r="L2339" t="s">
        <v>582</v>
      </c>
      <c r="M2339" t="s">
        <v>588</v>
      </c>
      <c r="N2339" t="s">
        <v>601</v>
      </c>
    </row>
    <row r="2340" spans="1:14" x14ac:dyDescent="0.25">
      <c r="A2340" t="s">
        <v>84</v>
      </c>
      <c r="B2340" t="s">
        <v>216</v>
      </c>
      <c r="C2340" t="s">
        <v>375</v>
      </c>
      <c r="D2340" t="s">
        <v>426</v>
      </c>
      <c r="F2340" t="s">
        <v>452</v>
      </c>
      <c r="G2340" t="str">
        <f>HYPERLINK("https://ca.linkedin.com/jobs/view/data-analyst-hybrid-at-xylem-3335088701?refId=PavB85DCP3%2Bnt32Ymhtc9g%3D%3D&amp;trackingId=KIqrJt8jYv5j%2BpdtVpp5ig%3D%3D&amp;position=16&amp;pageNum=0&amp;trk=public_jobs_jserp-result_search-card", "Job Link")</f>
        <v>Job Link</v>
      </c>
      <c r="H2340" t="s">
        <v>476</v>
      </c>
      <c r="I2340" t="s">
        <v>481</v>
      </c>
      <c r="J2340" t="s">
        <v>486</v>
      </c>
      <c r="K2340" t="s">
        <v>564</v>
      </c>
      <c r="L2340" t="s">
        <v>584</v>
      </c>
      <c r="M2340" t="s">
        <v>588</v>
      </c>
      <c r="N2340" t="s">
        <v>601</v>
      </c>
    </row>
    <row r="2341" spans="1:14" x14ac:dyDescent="0.25">
      <c r="A2341" t="s">
        <v>85</v>
      </c>
      <c r="B2341" t="s">
        <v>217</v>
      </c>
      <c r="C2341" t="s">
        <v>376</v>
      </c>
      <c r="D2341" t="s">
        <v>426</v>
      </c>
      <c r="F2341" t="s">
        <v>473</v>
      </c>
      <c r="G2341" t="str">
        <f>HYPERLINK("https://ca.linkedin.com/jobs/view/data-analyst-python-sql-at-geotab-3341823745?refId=PavB85DCP3%2Bnt32Ymhtc9g%3D%3D&amp;trackingId=qV7wFaRANFhFyaX2DEhtaA%3D%3D&amp;position=17&amp;pageNum=0&amp;trk=public_jobs_jserp-result_search-card", "Job Link")</f>
        <v>Job Link</v>
      </c>
      <c r="H2341" t="s">
        <v>479</v>
      </c>
      <c r="I2341" t="s">
        <v>481</v>
      </c>
      <c r="J2341" t="s">
        <v>486</v>
      </c>
      <c r="K2341" t="s">
        <v>521</v>
      </c>
      <c r="L2341" t="s">
        <v>612</v>
      </c>
      <c r="M2341" t="s">
        <v>588</v>
      </c>
      <c r="N2341" t="s">
        <v>601</v>
      </c>
    </row>
    <row r="2342" spans="1:14" x14ac:dyDescent="0.25">
      <c r="A2342" t="s">
        <v>86</v>
      </c>
      <c r="B2342" t="s">
        <v>167</v>
      </c>
      <c r="C2342" t="s">
        <v>377</v>
      </c>
      <c r="D2342" t="s">
        <v>426</v>
      </c>
      <c r="F2342" t="s">
        <v>454</v>
      </c>
      <c r="G2342" t="str">
        <f>HYPERLINK("https://ca.linkedin.com/jobs/view/data-analyst-reporting-at-thescore-3345941286?refId=PavB85DCP3%2Bnt32Ymhtc9g%3D%3D&amp;trackingId=fMG%2BC7X1pfS7pDg3BbYy4g%3D%3D&amp;position=18&amp;pageNum=0&amp;trk=public_jobs_jserp-result_search-card", "Job Link")</f>
        <v>Job Link</v>
      </c>
      <c r="H2342" t="s">
        <v>476</v>
      </c>
      <c r="I2342" t="s">
        <v>481</v>
      </c>
      <c r="J2342" t="s">
        <v>486</v>
      </c>
      <c r="K2342" t="s">
        <v>545</v>
      </c>
      <c r="L2342" t="s">
        <v>582</v>
      </c>
      <c r="M2342" t="s">
        <v>588</v>
      </c>
      <c r="N2342" t="s">
        <v>601</v>
      </c>
    </row>
    <row r="2343" spans="1:14" x14ac:dyDescent="0.25">
      <c r="A2343" t="s">
        <v>87</v>
      </c>
      <c r="B2343" t="s">
        <v>218</v>
      </c>
      <c r="C2343" t="s">
        <v>378</v>
      </c>
      <c r="D2343" t="s">
        <v>426</v>
      </c>
      <c r="F2343" t="s">
        <v>432</v>
      </c>
      <c r="G2343">
        <v>0</v>
      </c>
      <c r="H2343" t="s">
        <v>478</v>
      </c>
      <c r="I2343" t="s">
        <v>483</v>
      </c>
      <c r="J2343" t="s">
        <v>486</v>
      </c>
      <c r="K2343" t="s">
        <v>521</v>
      </c>
      <c r="L2343" t="s">
        <v>582</v>
      </c>
      <c r="M2343" t="s">
        <v>588</v>
      </c>
      <c r="N2343" t="s">
        <v>601</v>
      </c>
    </row>
    <row r="2344" spans="1:14" x14ac:dyDescent="0.25">
      <c r="A2344" t="s">
        <v>90</v>
      </c>
      <c r="B2344" t="s">
        <v>223</v>
      </c>
      <c r="C2344" t="s">
        <v>383</v>
      </c>
      <c r="D2344" t="s">
        <v>426</v>
      </c>
      <c r="F2344" t="s">
        <v>443</v>
      </c>
      <c r="G2344" t="str">
        <f>HYPERLINK("https://ca.linkedin.com/jobs/view/data-administrator-data-analyst-at-hays-3369576413?refId=PavB85DCP3%2Bnt32Ymhtc9g%3D%3D&amp;trackingId=1GcNm1CbUoZKwOarhHXlaA%3D%3D&amp;position=20&amp;pageNum=0&amp;trk=public_jobs_jserp-result_search-card", "Job Link")</f>
        <v>Job Link</v>
      </c>
      <c r="H2344" t="s">
        <v>478</v>
      </c>
      <c r="I2344" t="s">
        <v>481</v>
      </c>
      <c r="J2344" t="s">
        <v>486</v>
      </c>
      <c r="K2344" t="s">
        <v>518</v>
      </c>
      <c r="L2344" t="s">
        <v>583</v>
      </c>
      <c r="M2344" t="s">
        <v>610</v>
      </c>
      <c r="N2344" t="s">
        <v>601</v>
      </c>
    </row>
    <row r="2345" spans="1:14" x14ac:dyDescent="0.25">
      <c r="A2345" t="s">
        <v>88</v>
      </c>
      <c r="B2345" t="s">
        <v>219</v>
      </c>
      <c r="C2345" t="s">
        <v>379</v>
      </c>
      <c r="D2345" t="s">
        <v>426</v>
      </c>
      <c r="F2345" t="s">
        <v>454</v>
      </c>
      <c r="G2345" t="str">
        <f>HYPERLINK("https://ca.linkedin.com/jobs/view/data-analyst-flight-pricing-optimization-at-priceline-3345993633?refId=PavB85DCP3%2Bnt32Ymhtc9g%3D%3D&amp;trackingId=A2x5JgLSqmbRcW8Q%2F6rNJw%3D%3D&amp;position=21&amp;pageNum=0&amp;trk=public_jobs_jserp-result_search-card", "Job Link")</f>
        <v>Job Link</v>
      </c>
      <c r="H2345" t="s">
        <v>476</v>
      </c>
      <c r="I2345" t="s">
        <v>481</v>
      </c>
      <c r="J2345" t="s">
        <v>486</v>
      </c>
      <c r="K2345" t="s">
        <v>565</v>
      </c>
      <c r="L2345" t="s">
        <v>582</v>
      </c>
      <c r="M2345" t="s">
        <v>588</v>
      </c>
      <c r="N2345" t="s">
        <v>601</v>
      </c>
    </row>
    <row r="2346" spans="1:14" x14ac:dyDescent="0.25">
      <c r="A2346" t="s">
        <v>27</v>
      </c>
      <c r="B2346" t="s">
        <v>220</v>
      </c>
      <c r="C2346" t="s">
        <v>380</v>
      </c>
      <c r="D2346" t="s">
        <v>426</v>
      </c>
      <c r="F2346" t="s">
        <v>434</v>
      </c>
      <c r="G2346" t="str">
        <f>HYPERLINK("https://ca.linkedin.com/jobs/view/sr-data-analyst-at-randstad-canada-3354999789?refId=PavB85DCP3%2Bnt32Ymhtc9g%3D%3D&amp;trackingId=HncwRNjCPcbX6RgJ1un54A%3D%3D&amp;position=22&amp;pageNum=0&amp;trk=public_jobs_jserp-result_search-card", "Job Link")</f>
        <v>Job Link</v>
      </c>
      <c r="H2346" t="s">
        <v>478</v>
      </c>
      <c r="I2346" t="s">
        <v>483</v>
      </c>
      <c r="J2346" t="s">
        <v>486</v>
      </c>
      <c r="K2346" t="s">
        <v>518</v>
      </c>
      <c r="L2346" t="s">
        <v>584</v>
      </c>
      <c r="M2346" t="s">
        <v>588</v>
      </c>
      <c r="N2346" t="s">
        <v>601</v>
      </c>
    </row>
    <row r="2347" spans="1:14" x14ac:dyDescent="0.25">
      <c r="A2347" t="s">
        <v>89</v>
      </c>
      <c r="B2347" t="s">
        <v>221</v>
      </c>
      <c r="C2347" t="s">
        <v>381</v>
      </c>
      <c r="D2347" t="s">
        <v>426</v>
      </c>
      <c r="F2347" t="s">
        <v>461</v>
      </c>
      <c r="G2347">
        <v>0</v>
      </c>
      <c r="H2347" t="s">
        <v>476</v>
      </c>
      <c r="I2347" t="s">
        <v>481</v>
      </c>
      <c r="J2347" t="s">
        <v>488</v>
      </c>
      <c r="K2347" t="s">
        <v>566</v>
      </c>
      <c r="L2347" t="s">
        <v>582</v>
      </c>
      <c r="M2347" t="s">
        <v>588</v>
      </c>
      <c r="N2347" t="s">
        <v>601</v>
      </c>
    </row>
    <row r="2348" spans="1:14" x14ac:dyDescent="0.25">
      <c r="A2348" t="s">
        <v>14</v>
      </c>
      <c r="B2348" t="s">
        <v>222</v>
      </c>
      <c r="C2348" t="s">
        <v>382</v>
      </c>
      <c r="D2348" t="s">
        <v>426</v>
      </c>
      <c r="F2348" t="s">
        <v>431</v>
      </c>
      <c r="G2348" t="str">
        <f>HYPERLINK("https://ca.linkedin.com/jobs/view/data-analyst-at-circle-k-3367192655?refId=PavB85DCP3%2Bnt32Ymhtc9g%3D%3D&amp;trackingId=%2F2Ov0r84cRpJNGiY%2F7TMhQ%3D%3D&amp;position=24&amp;pageNum=0&amp;trk=public_jobs_jserp-result_search-card", "Job Link")</f>
        <v>Job Link</v>
      </c>
      <c r="H2348" t="s">
        <v>476</v>
      </c>
      <c r="I2348" t="s">
        <v>481</v>
      </c>
      <c r="J2348" t="s">
        <v>486</v>
      </c>
      <c r="K2348" t="s">
        <v>567</v>
      </c>
      <c r="L2348" t="s">
        <v>582</v>
      </c>
      <c r="M2348" t="s">
        <v>588</v>
      </c>
      <c r="N2348" t="s">
        <v>601</v>
      </c>
    </row>
    <row r="2349" spans="1:14" x14ac:dyDescent="0.25">
      <c r="A2349" t="s">
        <v>14</v>
      </c>
      <c r="B2349" t="s">
        <v>225</v>
      </c>
      <c r="C2349" t="s">
        <v>385</v>
      </c>
      <c r="D2349" t="s">
        <v>426</v>
      </c>
      <c r="F2349" t="s">
        <v>463</v>
      </c>
      <c r="G2349" t="str">
        <f>HYPERLINK("https://ca.linkedin.com/jobs/view/data-analyst-at-vector-institute-3325395506?refId=PavB85DCP3%2Bnt32Ymhtc9g%3D%3D&amp;trackingId=3MnnWqDuMhPkdSodpwOauA%3D%3D&amp;position=25&amp;pageNum=0&amp;trk=public_jobs_jserp-result_search-card", "Job Link")</f>
        <v>Job Link</v>
      </c>
      <c r="H2349" t="s">
        <v>478</v>
      </c>
      <c r="I2349" t="s">
        <v>481</v>
      </c>
      <c r="J2349" t="s">
        <v>486</v>
      </c>
      <c r="K2349" t="s">
        <v>520</v>
      </c>
      <c r="L2349" t="s">
        <v>582</v>
      </c>
      <c r="M2349" t="s">
        <v>588</v>
      </c>
      <c r="N2349" t="s">
        <v>601</v>
      </c>
    </row>
    <row r="2350" spans="1:14" x14ac:dyDescent="0.25">
      <c r="A2350" t="s">
        <v>14</v>
      </c>
      <c r="B2350" t="s">
        <v>207</v>
      </c>
      <c r="C2350" t="s">
        <v>362</v>
      </c>
      <c r="D2350" t="s">
        <v>426</v>
      </c>
      <c r="F2350" t="s">
        <v>463</v>
      </c>
      <c r="G2350" t="str">
        <f>HYPERLINK("https://ca.linkedin.com/jobs/view/data-analyst-at-onlia-3320897897?refId=fcnw3mu8NfRxP7%2Fo4nlnMQ%3D%3D&amp;trackingId=tNgX13dEGrscoviND84NOg%3D%3D&amp;position=1&amp;pageNum=0&amp;trk=public_jobs_jserp-result_search-card", "Job Link")</f>
        <v>Job Link</v>
      </c>
      <c r="H2350" t="s">
        <v>477</v>
      </c>
      <c r="I2350" t="s">
        <v>481</v>
      </c>
      <c r="J2350" t="s">
        <v>486</v>
      </c>
      <c r="K2350" t="s">
        <v>523</v>
      </c>
      <c r="L2350" t="s">
        <v>582</v>
      </c>
      <c r="M2350" t="s">
        <v>588</v>
      </c>
      <c r="N2350" t="s">
        <v>601</v>
      </c>
    </row>
    <row r="2351" spans="1:14" x14ac:dyDescent="0.25">
      <c r="A2351" t="s">
        <v>14</v>
      </c>
      <c r="B2351" t="s">
        <v>208</v>
      </c>
      <c r="C2351" t="s">
        <v>363</v>
      </c>
      <c r="D2351" t="s">
        <v>426</v>
      </c>
      <c r="F2351" t="s">
        <v>445</v>
      </c>
      <c r="G2351" t="str">
        <f>HYPERLINK("https://ca.linkedin.com/jobs/view/data-analyst-at-electronic-arts-ea-3325611825?refId=fcnw3mu8NfRxP7%2Fo4nlnMQ%3D%3D&amp;trackingId=yBpp%2BHlJv4vgfjjiQoBDlQ%3D%3D&amp;position=2&amp;pageNum=0&amp;trk=public_jobs_jserp-result_search-card", "Job Link")</f>
        <v>Job Link</v>
      </c>
      <c r="H2351" t="s">
        <v>479</v>
      </c>
      <c r="I2351" t="s">
        <v>481</v>
      </c>
      <c r="J2351" t="s">
        <v>507</v>
      </c>
      <c r="K2351" t="s">
        <v>559</v>
      </c>
      <c r="L2351" t="s">
        <v>582</v>
      </c>
      <c r="M2351" t="s">
        <v>588</v>
      </c>
      <c r="N2351" t="s">
        <v>601</v>
      </c>
    </row>
    <row r="2352" spans="1:14" x14ac:dyDescent="0.25">
      <c r="A2352" t="s">
        <v>14</v>
      </c>
      <c r="B2352" t="s">
        <v>209</v>
      </c>
      <c r="C2352" t="s">
        <v>364</v>
      </c>
      <c r="D2352" t="s">
        <v>426</v>
      </c>
      <c r="F2352" t="s">
        <v>440</v>
      </c>
      <c r="G2352" t="str">
        <f>HYPERLINK("https://ca.linkedin.com/jobs/view/data-analyst-at-frostbite-3370111856?refId=fcnw3mu8NfRxP7%2Fo4nlnMQ%3D%3D&amp;trackingId=IKNavZ8c83eHONrR101iLw%3D%3D&amp;position=3&amp;pageNum=0&amp;trk=public_jobs_jserp-result_search-card", "Job Link")</f>
        <v>Job Link</v>
      </c>
      <c r="H2352" t="s">
        <v>479</v>
      </c>
      <c r="I2352" t="s">
        <v>481</v>
      </c>
      <c r="J2352" t="s">
        <v>507</v>
      </c>
      <c r="K2352" t="s">
        <v>559</v>
      </c>
      <c r="L2352" t="s">
        <v>590</v>
      </c>
      <c r="M2352" t="s">
        <v>618</v>
      </c>
      <c r="N2352" t="s">
        <v>601</v>
      </c>
    </row>
    <row r="2353" spans="1:14" x14ac:dyDescent="0.25">
      <c r="A2353" t="s">
        <v>14</v>
      </c>
      <c r="B2353" t="s">
        <v>211</v>
      </c>
      <c r="C2353" t="s">
        <v>366</v>
      </c>
      <c r="D2353" t="s">
        <v>426</v>
      </c>
      <c r="F2353" t="s">
        <v>443</v>
      </c>
      <c r="G2353" t="str">
        <f>HYPERLINK("https://ca.linkedin.com/jobs/view/data-analyst-at-mphasis-3363428246?refId=fcnw3mu8NfRxP7%2Fo4nlnMQ%3D%3D&amp;trackingId=fuckZrA4bNQuIGuRuTdeZw%3D%3D&amp;position=4&amp;pageNum=0&amp;trk=public_jobs_jserp-result_search-card", "Job Link")</f>
        <v>Job Link</v>
      </c>
      <c r="H2353" t="s">
        <v>477</v>
      </c>
      <c r="I2353" t="s">
        <v>481</v>
      </c>
      <c r="J2353" t="s">
        <v>486</v>
      </c>
      <c r="K2353" t="s">
        <v>521</v>
      </c>
      <c r="L2353" t="s">
        <v>609</v>
      </c>
      <c r="M2353" t="s">
        <v>610</v>
      </c>
      <c r="N2353" t="s">
        <v>601</v>
      </c>
    </row>
    <row r="2354" spans="1:14" x14ac:dyDescent="0.25">
      <c r="A2354" t="s">
        <v>81</v>
      </c>
      <c r="B2354" t="s">
        <v>210</v>
      </c>
      <c r="C2354" t="s">
        <v>365</v>
      </c>
      <c r="D2354" t="s">
        <v>426</v>
      </c>
      <c r="F2354" t="s">
        <v>436</v>
      </c>
      <c r="G2354" t="str">
        <f>HYPERLINK("https://ca.linkedin.com/jobs/view/data-analyst-c117-at-mitsubishi-motor-sales-of-canada-inc-3344852931?refId=fcnw3mu8NfRxP7%2Fo4nlnMQ%3D%3D&amp;trackingId=Zumek%2Frqz0dw9%2BTHvKh7LQ%3D%3D&amp;position=5&amp;pageNum=0&amp;trk=public_jobs_jserp-result_search-card", "Job Link")</f>
        <v>Job Link</v>
      </c>
      <c r="H2354" t="s">
        <v>477</v>
      </c>
      <c r="I2354" t="s">
        <v>481</v>
      </c>
      <c r="J2354" t="s">
        <v>508</v>
      </c>
      <c r="K2354" t="s">
        <v>561</v>
      </c>
      <c r="L2354" t="s">
        <v>584</v>
      </c>
      <c r="M2354" t="s">
        <v>588</v>
      </c>
      <c r="N2354" t="s">
        <v>601</v>
      </c>
    </row>
    <row r="2355" spans="1:14" x14ac:dyDescent="0.25">
      <c r="A2355" t="s">
        <v>14</v>
      </c>
      <c r="B2355" t="s">
        <v>150</v>
      </c>
      <c r="C2355" t="s">
        <v>367</v>
      </c>
      <c r="D2355" t="s">
        <v>426</v>
      </c>
      <c r="F2355" t="s">
        <v>433</v>
      </c>
      <c r="G2355" t="str">
        <f>HYPERLINK("https://ca.linkedin.com/jobs/view/data-analyst-at-synechron-3348329085?refId=fcnw3mu8NfRxP7%2Fo4nlnMQ%3D%3D&amp;trackingId=0yRJyWIx7fqaulX26HqAgQ%3D%3D&amp;position=6&amp;pageNum=0&amp;trk=public_jobs_jserp-result_search-card", "Job Link")</f>
        <v>Job Link</v>
      </c>
      <c r="H2355" t="s">
        <v>478</v>
      </c>
      <c r="I2355" t="s">
        <v>481</v>
      </c>
      <c r="J2355" t="s">
        <v>486</v>
      </c>
      <c r="K2355" t="s">
        <v>562</v>
      </c>
      <c r="L2355" t="s">
        <v>584</v>
      </c>
      <c r="M2355" t="s">
        <v>588</v>
      </c>
      <c r="N2355" t="s">
        <v>601</v>
      </c>
    </row>
    <row r="2356" spans="1:14" x14ac:dyDescent="0.25">
      <c r="A2356" t="s">
        <v>82</v>
      </c>
      <c r="B2356" t="s">
        <v>179</v>
      </c>
      <c r="C2356" t="s">
        <v>368</v>
      </c>
      <c r="D2356" t="s">
        <v>426</v>
      </c>
      <c r="F2356" t="s">
        <v>471</v>
      </c>
      <c r="G2356" t="str">
        <f>HYPERLINK("https://ca.linkedin.com/jobs/view/business-data-analyst-at-capgemini-3327624663?refId=fcnw3mu8NfRxP7%2Fo4nlnMQ%3D%3D&amp;trackingId=MGWOlZs9N79Mgp6Sdo%2BsBA%3D%3D&amp;position=7&amp;pageNum=0&amp;trk=public_jobs_jserp-result_search-card", "Job Link")</f>
        <v>Job Link</v>
      </c>
      <c r="H2356" t="s">
        <v>478</v>
      </c>
      <c r="I2356" t="s">
        <v>481</v>
      </c>
      <c r="J2356" t="s">
        <v>486</v>
      </c>
      <c r="K2356" t="s">
        <v>521</v>
      </c>
      <c r="L2356" t="s">
        <v>611</v>
      </c>
      <c r="M2356" t="s">
        <v>601</v>
      </c>
    </row>
    <row r="2357" spans="1:14" x14ac:dyDescent="0.25">
      <c r="A2357" t="s">
        <v>14</v>
      </c>
      <c r="B2357" t="s">
        <v>212</v>
      </c>
      <c r="C2357" t="s">
        <v>370</v>
      </c>
      <c r="D2357" t="s">
        <v>426</v>
      </c>
      <c r="F2357" t="s">
        <v>432</v>
      </c>
      <c r="G2357" t="str">
        <f>HYPERLINK("https://ca.linkedin.com/jobs/view/data-analyst-at-agilus-work-solutions-3358673093?refId=fcnw3mu8NfRxP7%2Fo4nlnMQ%3D%3D&amp;trackingId=eBJdCv6fj%2FjcnApwzOv8Pg%3D%3D&amp;position=8&amp;pageNum=0&amp;trk=public_jobs_jserp-result_search-card", "Job Link")</f>
        <v>Job Link</v>
      </c>
      <c r="H2357" t="s">
        <v>477</v>
      </c>
      <c r="I2357" t="s">
        <v>483</v>
      </c>
      <c r="J2357" t="s">
        <v>486</v>
      </c>
      <c r="K2357" t="s">
        <v>518</v>
      </c>
      <c r="L2357" t="s">
        <v>582</v>
      </c>
      <c r="M2357" t="s">
        <v>588</v>
      </c>
      <c r="N2357" t="s">
        <v>601</v>
      </c>
    </row>
    <row r="2358" spans="1:14" x14ac:dyDescent="0.25">
      <c r="A2358" t="s">
        <v>14</v>
      </c>
      <c r="B2358" t="s">
        <v>150</v>
      </c>
      <c r="C2358" t="s">
        <v>369</v>
      </c>
      <c r="D2358" t="s">
        <v>426</v>
      </c>
      <c r="F2358" t="s">
        <v>460</v>
      </c>
      <c r="G2358" t="str">
        <f>HYPERLINK("https://ca.linkedin.com/jobs/view/data-analyst-at-synechron-3364863079?refId=fcnw3mu8NfRxP7%2Fo4nlnMQ%3D%3D&amp;trackingId=nThky2wFWbYE9MoxjDyViw%3D%3D&amp;position=9&amp;pageNum=0&amp;trk=public_jobs_jserp-result_search-card", "Job Link")</f>
        <v>Job Link</v>
      </c>
      <c r="H2358" t="s">
        <v>478</v>
      </c>
      <c r="I2358" t="s">
        <v>481</v>
      </c>
      <c r="J2358" t="s">
        <v>486</v>
      </c>
      <c r="K2358" t="s">
        <v>563</v>
      </c>
      <c r="L2358" t="s">
        <v>584</v>
      </c>
      <c r="M2358" t="s">
        <v>588</v>
      </c>
      <c r="N2358" t="s">
        <v>601</v>
      </c>
    </row>
    <row r="2359" spans="1:14" x14ac:dyDescent="0.25">
      <c r="A2359" t="s">
        <v>14</v>
      </c>
      <c r="B2359" t="s">
        <v>150</v>
      </c>
      <c r="C2359" t="s">
        <v>367</v>
      </c>
      <c r="D2359" t="s">
        <v>426</v>
      </c>
      <c r="F2359" t="s">
        <v>460</v>
      </c>
      <c r="G2359" t="str">
        <f>HYPERLINK("https://ca.linkedin.com/jobs/view/data-analyst-at-synechron-3361756851?refId=fcnw3mu8NfRxP7%2Fo4nlnMQ%3D%3D&amp;trackingId=1MbHAfsaQ10p9bu%2BmPNhvQ%3D%3D&amp;position=10&amp;pageNum=0&amp;trk=public_jobs_jserp-result_search-card", "Job Link")</f>
        <v>Job Link</v>
      </c>
      <c r="H2359" t="s">
        <v>478</v>
      </c>
      <c r="I2359" t="s">
        <v>481</v>
      </c>
      <c r="J2359" t="s">
        <v>486</v>
      </c>
      <c r="K2359" t="s">
        <v>562</v>
      </c>
      <c r="L2359" t="s">
        <v>584</v>
      </c>
      <c r="M2359" t="s">
        <v>588</v>
      </c>
      <c r="N2359" t="s">
        <v>601</v>
      </c>
    </row>
    <row r="2360" spans="1:14" x14ac:dyDescent="0.25">
      <c r="A2360" t="s">
        <v>14</v>
      </c>
      <c r="B2360" t="s">
        <v>213</v>
      </c>
      <c r="C2360" t="s">
        <v>371</v>
      </c>
      <c r="D2360" t="s">
        <v>426</v>
      </c>
      <c r="F2360" t="s">
        <v>472</v>
      </c>
      <c r="G2360" t="str">
        <f>HYPERLINK("https://ca.linkedin.com/jobs/view/data-analyst-at-linkus-group-3345817125?refId=fcnw3mu8NfRxP7%2Fo4nlnMQ%3D%3D&amp;trackingId=VJkezs5tXrd4goxAIjqwqA%3D%3D&amp;position=11&amp;pageNum=0&amp;trk=public_jobs_jserp-result_search-card", "Job Link")</f>
        <v>Job Link</v>
      </c>
      <c r="H2360" t="s">
        <v>476</v>
      </c>
      <c r="I2360" t="s">
        <v>481</v>
      </c>
      <c r="J2360" t="s">
        <v>486</v>
      </c>
      <c r="K2360" t="s">
        <v>518</v>
      </c>
      <c r="L2360" t="s">
        <v>588</v>
      </c>
      <c r="M2360" t="s">
        <v>601</v>
      </c>
    </row>
    <row r="2361" spans="1:14" x14ac:dyDescent="0.25">
      <c r="A2361" t="s">
        <v>14</v>
      </c>
      <c r="B2361" t="s">
        <v>214</v>
      </c>
      <c r="C2361" t="s">
        <v>372</v>
      </c>
      <c r="D2361" t="s">
        <v>426</v>
      </c>
      <c r="F2361" t="s">
        <v>432</v>
      </c>
      <c r="G2361" t="str">
        <f>HYPERLINK("https://ca.linkedin.com/jobs/view/data-analyst-at-goeasy-ltd-3358677253?refId=fcnw3mu8NfRxP7%2Fo4nlnMQ%3D%3D&amp;trackingId=4kju%2B8dQqBiUclIixWS11A%3D%3D&amp;position=12&amp;pageNum=0&amp;trk=public_jobs_jserp-result_search-card", "Job Link")</f>
        <v>Job Link</v>
      </c>
      <c r="H2361" t="s">
        <v>476</v>
      </c>
      <c r="I2361" t="s">
        <v>481</v>
      </c>
      <c r="J2361" t="s">
        <v>486</v>
      </c>
      <c r="K2361" t="s">
        <v>550</v>
      </c>
      <c r="L2361" t="s">
        <v>584</v>
      </c>
      <c r="M2361" t="s">
        <v>588</v>
      </c>
      <c r="N2361" t="s">
        <v>601</v>
      </c>
    </row>
    <row r="2362" spans="1:14" x14ac:dyDescent="0.25">
      <c r="A2362" t="s">
        <v>83</v>
      </c>
      <c r="B2362" t="s">
        <v>215</v>
      </c>
      <c r="C2362" t="s">
        <v>373</v>
      </c>
      <c r="D2362" t="s">
        <v>426</v>
      </c>
      <c r="F2362" t="s">
        <v>462</v>
      </c>
      <c r="G2362">
        <v>0</v>
      </c>
      <c r="H2362" t="s">
        <v>478</v>
      </c>
      <c r="I2362" t="s">
        <v>483</v>
      </c>
      <c r="J2362" t="s">
        <v>509</v>
      </c>
      <c r="K2362" t="s">
        <v>550</v>
      </c>
      <c r="L2362" t="s">
        <v>584</v>
      </c>
      <c r="M2362" t="s">
        <v>588</v>
      </c>
      <c r="N2362" t="s">
        <v>601</v>
      </c>
    </row>
    <row r="2363" spans="1:14" x14ac:dyDescent="0.25">
      <c r="A2363" t="s">
        <v>91</v>
      </c>
      <c r="B2363" t="s">
        <v>224</v>
      </c>
      <c r="C2363" t="s">
        <v>384</v>
      </c>
      <c r="D2363" t="s">
        <v>426</v>
      </c>
      <c r="F2363" t="s">
        <v>431</v>
      </c>
      <c r="G2363" t="str">
        <f>HYPERLINK("https://ca.linkedin.com/jobs/view/commercial-data-analyst-at-organigram-inc-3367177254?refId=fcnw3mu8NfRxP7%2Fo4nlnMQ%3D%3D&amp;trackingId=8ESaucWFqRWNsoFwMqd4eA%3D%3D&amp;position=14&amp;pageNum=0&amp;trk=public_jobs_jserp-result_search-card", "Job Link")</f>
        <v>Job Link</v>
      </c>
      <c r="I2363" t="s">
        <v>481</v>
      </c>
      <c r="L2363" t="s">
        <v>582</v>
      </c>
      <c r="M2363" t="s">
        <v>588</v>
      </c>
      <c r="N2363" t="s">
        <v>601</v>
      </c>
    </row>
    <row r="2364" spans="1:14" x14ac:dyDescent="0.25">
      <c r="A2364" t="s">
        <v>20</v>
      </c>
      <c r="B2364" t="s">
        <v>207</v>
      </c>
      <c r="C2364" t="s">
        <v>374</v>
      </c>
      <c r="D2364" t="s">
        <v>426</v>
      </c>
      <c r="F2364" t="s">
        <v>463</v>
      </c>
      <c r="G2364" t="str">
        <f>HYPERLINK("https://ca.linkedin.com/jobs/view/senior-data-analyst-at-onlia-3320897882?refId=fcnw3mu8NfRxP7%2Fo4nlnMQ%3D%3D&amp;trackingId=qCyZFOg%2B8mzPl1PzemD%2B5Q%3D%3D&amp;position=15&amp;pageNum=0&amp;trk=public_jobs_jserp-result_search-card", "Job Link")</f>
        <v>Job Link</v>
      </c>
      <c r="H2364" t="s">
        <v>477</v>
      </c>
      <c r="I2364" t="s">
        <v>481</v>
      </c>
      <c r="J2364" t="s">
        <v>486</v>
      </c>
      <c r="K2364" t="s">
        <v>523</v>
      </c>
      <c r="L2364" t="s">
        <v>582</v>
      </c>
      <c r="M2364" t="s">
        <v>588</v>
      </c>
      <c r="N2364" t="s">
        <v>601</v>
      </c>
    </row>
    <row r="2365" spans="1:14" x14ac:dyDescent="0.25">
      <c r="A2365" t="s">
        <v>84</v>
      </c>
      <c r="B2365" t="s">
        <v>216</v>
      </c>
      <c r="C2365" t="s">
        <v>375</v>
      </c>
      <c r="D2365" t="s">
        <v>426</v>
      </c>
      <c r="F2365" t="s">
        <v>452</v>
      </c>
      <c r="G2365" t="str">
        <f>HYPERLINK("https://ca.linkedin.com/jobs/view/data-analyst-hybrid-at-xylem-3335088701?refId=fcnw3mu8NfRxP7%2Fo4nlnMQ%3D%3D&amp;trackingId=YnVEtWgOD0ubOv0Att54AA%3D%3D&amp;position=16&amp;pageNum=0&amp;trk=public_jobs_jserp-result_search-card", "Job Link")</f>
        <v>Job Link</v>
      </c>
      <c r="H2365" t="s">
        <v>476</v>
      </c>
      <c r="I2365" t="s">
        <v>481</v>
      </c>
      <c r="J2365" t="s">
        <v>486</v>
      </c>
      <c r="K2365" t="s">
        <v>564</v>
      </c>
      <c r="L2365" t="s">
        <v>584</v>
      </c>
      <c r="M2365" t="s">
        <v>588</v>
      </c>
      <c r="N2365" t="s">
        <v>601</v>
      </c>
    </row>
    <row r="2366" spans="1:14" x14ac:dyDescent="0.25">
      <c r="A2366" t="s">
        <v>85</v>
      </c>
      <c r="B2366" t="s">
        <v>217</v>
      </c>
      <c r="C2366" t="s">
        <v>376</v>
      </c>
      <c r="D2366" t="s">
        <v>426</v>
      </c>
      <c r="F2366" t="s">
        <v>473</v>
      </c>
      <c r="G2366" t="str">
        <f>HYPERLINK("https://ca.linkedin.com/jobs/view/data-analyst-python-sql-at-geotab-3341823745?refId=fcnw3mu8NfRxP7%2Fo4nlnMQ%3D%3D&amp;trackingId=4iyzHa%2BHv1i62mJfSVmUAQ%3D%3D&amp;position=17&amp;pageNum=0&amp;trk=public_jobs_jserp-result_search-card", "Job Link")</f>
        <v>Job Link</v>
      </c>
      <c r="H2366" t="s">
        <v>479</v>
      </c>
      <c r="I2366" t="s">
        <v>481</v>
      </c>
      <c r="J2366" t="s">
        <v>486</v>
      </c>
      <c r="K2366" t="s">
        <v>521</v>
      </c>
      <c r="L2366" t="s">
        <v>612</v>
      </c>
      <c r="M2366" t="s">
        <v>588</v>
      </c>
      <c r="N2366" t="s">
        <v>601</v>
      </c>
    </row>
    <row r="2367" spans="1:14" x14ac:dyDescent="0.25">
      <c r="A2367" t="s">
        <v>86</v>
      </c>
      <c r="B2367" t="s">
        <v>167</v>
      </c>
      <c r="C2367" t="s">
        <v>377</v>
      </c>
      <c r="D2367" t="s">
        <v>426</v>
      </c>
      <c r="F2367" t="s">
        <v>454</v>
      </c>
      <c r="G2367" t="str">
        <f>HYPERLINK("https://ca.linkedin.com/jobs/view/data-analyst-reporting-at-thescore-3345941286?refId=fcnw3mu8NfRxP7%2Fo4nlnMQ%3D%3D&amp;trackingId=VTyVRcD30%2BrmFXxcQTHfqw%3D%3D&amp;position=18&amp;pageNum=0&amp;trk=public_jobs_jserp-result_search-card", "Job Link")</f>
        <v>Job Link</v>
      </c>
      <c r="H2367" t="s">
        <v>476</v>
      </c>
      <c r="I2367" t="s">
        <v>481</v>
      </c>
      <c r="J2367" t="s">
        <v>486</v>
      </c>
      <c r="K2367" t="s">
        <v>545</v>
      </c>
      <c r="L2367" t="s">
        <v>582</v>
      </c>
      <c r="M2367" t="s">
        <v>588</v>
      </c>
      <c r="N2367" t="s">
        <v>601</v>
      </c>
    </row>
    <row r="2368" spans="1:14" x14ac:dyDescent="0.25">
      <c r="A2368" t="s">
        <v>87</v>
      </c>
      <c r="B2368" t="s">
        <v>218</v>
      </c>
      <c r="C2368" t="s">
        <v>378</v>
      </c>
      <c r="D2368" t="s">
        <v>426</v>
      </c>
      <c r="F2368" t="s">
        <v>432</v>
      </c>
      <c r="G2368">
        <v>0</v>
      </c>
      <c r="H2368" t="s">
        <v>478</v>
      </c>
      <c r="I2368" t="s">
        <v>483</v>
      </c>
      <c r="J2368" t="s">
        <v>486</v>
      </c>
      <c r="K2368" t="s">
        <v>521</v>
      </c>
      <c r="L2368" t="s">
        <v>582</v>
      </c>
      <c r="M2368" t="s">
        <v>588</v>
      </c>
      <c r="N2368" t="s">
        <v>601</v>
      </c>
    </row>
    <row r="2369" spans="1:14" x14ac:dyDescent="0.25">
      <c r="A2369" t="s">
        <v>90</v>
      </c>
      <c r="B2369" t="s">
        <v>223</v>
      </c>
      <c r="C2369" t="s">
        <v>383</v>
      </c>
      <c r="D2369" t="s">
        <v>426</v>
      </c>
      <c r="F2369" t="s">
        <v>443</v>
      </c>
      <c r="G2369" t="str">
        <f>HYPERLINK("https://ca.linkedin.com/jobs/view/data-administrator-data-analyst-at-hays-3369576413?refId=fcnw3mu8NfRxP7%2Fo4nlnMQ%3D%3D&amp;trackingId=OAIArK7JnGZk3slU2B9FuA%3D%3D&amp;position=20&amp;pageNum=0&amp;trk=public_jobs_jserp-result_search-card", "Job Link")</f>
        <v>Job Link</v>
      </c>
      <c r="H2369" t="s">
        <v>478</v>
      </c>
      <c r="I2369" t="s">
        <v>481</v>
      </c>
      <c r="J2369" t="s">
        <v>486</v>
      </c>
      <c r="K2369" t="s">
        <v>518</v>
      </c>
      <c r="L2369" t="s">
        <v>583</v>
      </c>
      <c r="M2369" t="s">
        <v>610</v>
      </c>
      <c r="N2369" t="s">
        <v>601</v>
      </c>
    </row>
    <row r="2370" spans="1:14" x14ac:dyDescent="0.25">
      <c r="A2370" t="s">
        <v>88</v>
      </c>
      <c r="B2370" t="s">
        <v>219</v>
      </c>
      <c r="C2370" t="s">
        <v>379</v>
      </c>
      <c r="D2370" t="s">
        <v>426</v>
      </c>
      <c r="F2370" t="s">
        <v>454</v>
      </c>
      <c r="G2370" t="str">
        <f>HYPERLINK("https://ca.linkedin.com/jobs/view/data-analyst-flight-pricing-optimization-at-priceline-3345993633?refId=fcnw3mu8NfRxP7%2Fo4nlnMQ%3D%3D&amp;trackingId=w4%2FbTC0ABZRtaTQ0TH3QdQ%3D%3D&amp;position=21&amp;pageNum=0&amp;trk=public_jobs_jserp-result_search-card", "Job Link")</f>
        <v>Job Link</v>
      </c>
      <c r="H2370" t="s">
        <v>476</v>
      </c>
      <c r="I2370" t="s">
        <v>481</v>
      </c>
      <c r="J2370" t="s">
        <v>486</v>
      </c>
      <c r="K2370" t="s">
        <v>565</v>
      </c>
      <c r="L2370" t="s">
        <v>582</v>
      </c>
      <c r="M2370" t="s">
        <v>588</v>
      </c>
      <c r="N2370" t="s">
        <v>601</v>
      </c>
    </row>
    <row r="2371" spans="1:14" x14ac:dyDescent="0.25">
      <c r="A2371" t="s">
        <v>27</v>
      </c>
      <c r="B2371" t="s">
        <v>220</v>
      </c>
      <c r="C2371" t="s">
        <v>380</v>
      </c>
      <c r="D2371" t="s">
        <v>426</v>
      </c>
      <c r="F2371" t="s">
        <v>434</v>
      </c>
      <c r="G2371" t="str">
        <f>HYPERLINK("https://ca.linkedin.com/jobs/view/sr-data-analyst-at-randstad-canada-3354999789?refId=fcnw3mu8NfRxP7%2Fo4nlnMQ%3D%3D&amp;trackingId=9mdWHLFk7ewmr1tTCBuGOg%3D%3D&amp;position=22&amp;pageNum=0&amp;trk=public_jobs_jserp-result_search-card", "Job Link")</f>
        <v>Job Link</v>
      </c>
      <c r="H2371" t="s">
        <v>478</v>
      </c>
      <c r="I2371" t="s">
        <v>483</v>
      </c>
      <c r="J2371" t="s">
        <v>486</v>
      </c>
      <c r="K2371" t="s">
        <v>518</v>
      </c>
      <c r="L2371" t="s">
        <v>584</v>
      </c>
      <c r="M2371" t="s">
        <v>588</v>
      </c>
      <c r="N2371" t="s">
        <v>601</v>
      </c>
    </row>
    <row r="2372" spans="1:14" x14ac:dyDescent="0.25">
      <c r="A2372" t="s">
        <v>89</v>
      </c>
      <c r="B2372" t="s">
        <v>221</v>
      </c>
      <c r="C2372" t="s">
        <v>381</v>
      </c>
      <c r="D2372" t="s">
        <v>426</v>
      </c>
      <c r="F2372" t="s">
        <v>461</v>
      </c>
      <c r="G2372">
        <v>0</v>
      </c>
      <c r="H2372" t="s">
        <v>476</v>
      </c>
      <c r="I2372" t="s">
        <v>481</v>
      </c>
      <c r="J2372" t="s">
        <v>488</v>
      </c>
      <c r="K2372" t="s">
        <v>566</v>
      </c>
      <c r="L2372" t="s">
        <v>582</v>
      </c>
      <c r="M2372" t="s">
        <v>588</v>
      </c>
      <c r="N2372" t="s">
        <v>601</v>
      </c>
    </row>
    <row r="2373" spans="1:14" x14ac:dyDescent="0.25">
      <c r="A2373" t="s">
        <v>14</v>
      </c>
      <c r="B2373" t="s">
        <v>222</v>
      </c>
      <c r="C2373" t="s">
        <v>382</v>
      </c>
      <c r="D2373" t="s">
        <v>426</v>
      </c>
      <c r="F2373" t="s">
        <v>431</v>
      </c>
      <c r="G2373" t="str">
        <f>HYPERLINK("https://ca.linkedin.com/jobs/view/data-analyst-at-circle-k-3367192655?refId=fcnw3mu8NfRxP7%2Fo4nlnMQ%3D%3D&amp;trackingId=eZ9qyu1u6pvnbbVycs2F8g%3D%3D&amp;position=24&amp;pageNum=0&amp;trk=public_jobs_jserp-result_search-card", "Job Link")</f>
        <v>Job Link</v>
      </c>
      <c r="H2373" t="s">
        <v>476</v>
      </c>
      <c r="I2373" t="s">
        <v>481</v>
      </c>
      <c r="J2373" t="s">
        <v>486</v>
      </c>
      <c r="K2373" t="s">
        <v>567</v>
      </c>
      <c r="L2373" t="s">
        <v>582</v>
      </c>
      <c r="M2373" t="s">
        <v>588</v>
      </c>
      <c r="N2373" t="s">
        <v>601</v>
      </c>
    </row>
    <row r="2374" spans="1:14" x14ac:dyDescent="0.25">
      <c r="A2374" t="s">
        <v>14</v>
      </c>
      <c r="B2374" t="s">
        <v>225</v>
      </c>
      <c r="C2374" t="s">
        <v>385</v>
      </c>
      <c r="D2374" t="s">
        <v>426</v>
      </c>
      <c r="F2374" t="s">
        <v>463</v>
      </c>
      <c r="G2374" t="str">
        <f>HYPERLINK("https://ca.linkedin.com/jobs/view/data-analyst-at-vector-institute-3325395506?refId=fcnw3mu8NfRxP7%2Fo4nlnMQ%3D%3D&amp;trackingId=4pC0x8E9Q5imu2pYqARwZw%3D%3D&amp;position=25&amp;pageNum=0&amp;trk=public_jobs_jserp-result_search-card", "Job Link")</f>
        <v>Job Link</v>
      </c>
      <c r="H2374" t="s">
        <v>478</v>
      </c>
      <c r="I2374" t="s">
        <v>481</v>
      </c>
      <c r="J2374" t="s">
        <v>486</v>
      </c>
      <c r="K2374" t="s">
        <v>520</v>
      </c>
      <c r="L2374" t="s">
        <v>582</v>
      </c>
      <c r="M2374" t="s">
        <v>588</v>
      </c>
      <c r="N2374" t="s">
        <v>601</v>
      </c>
    </row>
    <row r="2375" spans="1:14" x14ac:dyDescent="0.25">
      <c r="A2375" t="s">
        <v>14</v>
      </c>
      <c r="B2375" t="s">
        <v>207</v>
      </c>
      <c r="C2375" t="s">
        <v>362</v>
      </c>
      <c r="D2375" t="s">
        <v>426</v>
      </c>
      <c r="F2375" t="s">
        <v>463</v>
      </c>
      <c r="G2375" t="str">
        <f>HYPERLINK("https://ca.linkedin.com/jobs/view/data-analyst-at-onlia-3320897897?refId=a2bi1uROFxMZpCn4H0GitA%3D%3D&amp;trackingId=Okd2lhkJD%2FYLSSlFsI5w%2BQ%3D%3D&amp;position=1&amp;pageNum=0&amp;trk=public_jobs_jserp-result_search-card", "Job Link")</f>
        <v>Job Link</v>
      </c>
      <c r="H2375" t="s">
        <v>477</v>
      </c>
      <c r="I2375" t="s">
        <v>481</v>
      </c>
      <c r="J2375" t="s">
        <v>486</v>
      </c>
      <c r="K2375" t="s">
        <v>523</v>
      </c>
      <c r="L2375" t="s">
        <v>582</v>
      </c>
      <c r="M2375" t="s">
        <v>588</v>
      </c>
      <c r="N2375" t="s">
        <v>601</v>
      </c>
    </row>
    <row r="2376" spans="1:14" x14ac:dyDescent="0.25">
      <c r="A2376" t="s">
        <v>14</v>
      </c>
      <c r="B2376" t="s">
        <v>208</v>
      </c>
      <c r="C2376" t="s">
        <v>363</v>
      </c>
      <c r="D2376" t="s">
        <v>426</v>
      </c>
      <c r="F2376" t="s">
        <v>445</v>
      </c>
      <c r="G2376" t="str">
        <f>HYPERLINK("https://ca.linkedin.com/jobs/view/data-analyst-at-electronic-arts-ea-3325611825?refId=a2bi1uROFxMZpCn4H0GitA%3D%3D&amp;trackingId=t1Q9ZhU6HvB9Ml%2BqtPpevg%3D%3D&amp;position=2&amp;pageNum=0&amp;trk=public_jobs_jserp-result_search-card", "Job Link")</f>
        <v>Job Link</v>
      </c>
      <c r="H2376" t="s">
        <v>479</v>
      </c>
      <c r="I2376" t="s">
        <v>481</v>
      </c>
      <c r="J2376" t="s">
        <v>507</v>
      </c>
      <c r="K2376" t="s">
        <v>559</v>
      </c>
      <c r="L2376" t="s">
        <v>582</v>
      </c>
      <c r="M2376" t="s">
        <v>588</v>
      </c>
      <c r="N2376" t="s">
        <v>601</v>
      </c>
    </row>
    <row r="2377" spans="1:14" x14ac:dyDescent="0.25">
      <c r="A2377" t="s">
        <v>14</v>
      </c>
      <c r="B2377" t="s">
        <v>209</v>
      </c>
      <c r="C2377" t="s">
        <v>364</v>
      </c>
      <c r="D2377" t="s">
        <v>426</v>
      </c>
      <c r="F2377" t="s">
        <v>440</v>
      </c>
      <c r="G2377" t="str">
        <f>HYPERLINK("https://ca.linkedin.com/jobs/view/data-analyst-at-frostbite-3370111856?refId=a2bi1uROFxMZpCn4H0GitA%3D%3D&amp;trackingId=a19CESECD0Zw29jgJzfncA%3D%3D&amp;position=3&amp;pageNum=0&amp;trk=public_jobs_jserp-result_search-card", "Job Link")</f>
        <v>Job Link</v>
      </c>
      <c r="H2377" t="s">
        <v>479</v>
      </c>
      <c r="I2377" t="s">
        <v>481</v>
      </c>
      <c r="J2377" t="s">
        <v>507</v>
      </c>
      <c r="K2377" t="s">
        <v>559</v>
      </c>
      <c r="L2377" t="s">
        <v>590</v>
      </c>
      <c r="M2377" t="s">
        <v>618</v>
      </c>
      <c r="N2377" t="s">
        <v>601</v>
      </c>
    </row>
    <row r="2378" spans="1:14" x14ac:dyDescent="0.25">
      <c r="A2378" t="s">
        <v>14</v>
      </c>
      <c r="B2378" t="s">
        <v>211</v>
      </c>
      <c r="C2378" t="s">
        <v>366</v>
      </c>
      <c r="D2378" t="s">
        <v>426</v>
      </c>
      <c r="F2378" t="s">
        <v>443</v>
      </c>
      <c r="G2378" t="str">
        <f>HYPERLINK("https://ca.linkedin.com/jobs/view/data-analyst-at-mphasis-3363428246?refId=a2bi1uROFxMZpCn4H0GitA%3D%3D&amp;trackingId=%2BH7B4Kd%2FHo6Dbtfc0wUpDA%3D%3D&amp;position=4&amp;pageNum=0&amp;trk=public_jobs_jserp-result_search-card", "Job Link")</f>
        <v>Job Link</v>
      </c>
      <c r="H2378" t="s">
        <v>477</v>
      </c>
      <c r="I2378" t="s">
        <v>481</v>
      </c>
      <c r="J2378" t="s">
        <v>486</v>
      </c>
      <c r="K2378" t="s">
        <v>521</v>
      </c>
      <c r="L2378" t="s">
        <v>609</v>
      </c>
      <c r="M2378" t="s">
        <v>610</v>
      </c>
      <c r="N2378" t="s">
        <v>601</v>
      </c>
    </row>
    <row r="2379" spans="1:14" x14ac:dyDescent="0.25">
      <c r="A2379" t="s">
        <v>81</v>
      </c>
      <c r="B2379" t="s">
        <v>210</v>
      </c>
      <c r="C2379" t="s">
        <v>365</v>
      </c>
      <c r="D2379" t="s">
        <v>426</v>
      </c>
      <c r="F2379" t="s">
        <v>436</v>
      </c>
      <c r="G2379" t="str">
        <f>HYPERLINK("https://ca.linkedin.com/jobs/view/data-analyst-c117-at-mitsubishi-motor-sales-of-canada-inc-3344852931?refId=a2bi1uROFxMZpCn4H0GitA%3D%3D&amp;trackingId=6oslAOcmUbGlnYRkWa%2BjmQ%3D%3D&amp;position=5&amp;pageNum=0&amp;trk=public_jobs_jserp-result_search-card", "Job Link")</f>
        <v>Job Link</v>
      </c>
      <c r="H2379" t="s">
        <v>477</v>
      </c>
      <c r="I2379" t="s">
        <v>481</v>
      </c>
      <c r="J2379" t="s">
        <v>508</v>
      </c>
      <c r="K2379" t="s">
        <v>561</v>
      </c>
      <c r="L2379" t="s">
        <v>584</v>
      </c>
      <c r="M2379" t="s">
        <v>588</v>
      </c>
      <c r="N2379" t="s">
        <v>601</v>
      </c>
    </row>
    <row r="2380" spans="1:14" x14ac:dyDescent="0.25">
      <c r="A2380" t="s">
        <v>14</v>
      </c>
      <c r="B2380" t="s">
        <v>150</v>
      </c>
      <c r="C2380" t="s">
        <v>367</v>
      </c>
      <c r="D2380" t="s">
        <v>426</v>
      </c>
      <c r="F2380" t="s">
        <v>433</v>
      </c>
      <c r="G2380" t="str">
        <f>HYPERLINK("https://ca.linkedin.com/jobs/view/data-analyst-at-synechron-3348329085?refId=a2bi1uROFxMZpCn4H0GitA%3D%3D&amp;trackingId=vhn7kd8%2FNKWKLQuRCwczKQ%3D%3D&amp;position=6&amp;pageNum=0&amp;trk=public_jobs_jserp-result_search-card", "Job Link")</f>
        <v>Job Link</v>
      </c>
      <c r="H2380" t="s">
        <v>478</v>
      </c>
      <c r="I2380" t="s">
        <v>481</v>
      </c>
      <c r="J2380" t="s">
        <v>486</v>
      </c>
      <c r="K2380" t="s">
        <v>562</v>
      </c>
      <c r="L2380" t="s">
        <v>584</v>
      </c>
      <c r="M2380" t="s">
        <v>588</v>
      </c>
      <c r="N2380" t="s">
        <v>601</v>
      </c>
    </row>
    <row r="2381" spans="1:14" x14ac:dyDescent="0.25">
      <c r="A2381" t="s">
        <v>82</v>
      </c>
      <c r="B2381" t="s">
        <v>179</v>
      </c>
      <c r="C2381" t="s">
        <v>368</v>
      </c>
      <c r="D2381" t="s">
        <v>426</v>
      </c>
      <c r="F2381" t="s">
        <v>471</v>
      </c>
      <c r="G2381" t="str">
        <f>HYPERLINK("https://ca.linkedin.com/jobs/view/business-data-analyst-at-capgemini-3327624663?refId=a2bi1uROFxMZpCn4H0GitA%3D%3D&amp;trackingId=jn9JAGxRQB5v0xKrmqz1cA%3D%3D&amp;position=7&amp;pageNum=0&amp;trk=public_jobs_jserp-result_search-card", "Job Link")</f>
        <v>Job Link</v>
      </c>
      <c r="H2381" t="s">
        <v>478</v>
      </c>
      <c r="I2381" t="s">
        <v>481</v>
      </c>
      <c r="J2381" t="s">
        <v>486</v>
      </c>
      <c r="K2381" t="s">
        <v>521</v>
      </c>
      <c r="L2381" t="s">
        <v>611</v>
      </c>
      <c r="M2381" t="s">
        <v>601</v>
      </c>
    </row>
    <row r="2382" spans="1:14" x14ac:dyDescent="0.25">
      <c r="A2382" t="s">
        <v>14</v>
      </c>
      <c r="B2382" t="s">
        <v>212</v>
      </c>
      <c r="C2382" t="s">
        <v>370</v>
      </c>
      <c r="D2382" t="s">
        <v>426</v>
      </c>
      <c r="F2382" t="s">
        <v>432</v>
      </c>
      <c r="G2382" t="str">
        <f>HYPERLINK("https://ca.linkedin.com/jobs/view/data-analyst-at-agilus-work-solutions-3358673093?refId=a2bi1uROFxMZpCn4H0GitA%3D%3D&amp;trackingId=WceaFSaXLPxoIrBkUyxJKg%3D%3D&amp;position=8&amp;pageNum=0&amp;trk=public_jobs_jserp-result_search-card", "Job Link")</f>
        <v>Job Link</v>
      </c>
      <c r="H2382" t="s">
        <v>477</v>
      </c>
      <c r="I2382" t="s">
        <v>483</v>
      </c>
      <c r="J2382" t="s">
        <v>486</v>
      </c>
      <c r="K2382" t="s">
        <v>518</v>
      </c>
      <c r="L2382" t="s">
        <v>582</v>
      </c>
      <c r="M2382" t="s">
        <v>588</v>
      </c>
      <c r="N2382" t="s">
        <v>601</v>
      </c>
    </row>
    <row r="2383" spans="1:14" x14ac:dyDescent="0.25">
      <c r="A2383" t="s">
        <v>14</v>
      </c>
      <c r="B2383" t="s">
        <v>150</v>
      </c>
      <c r="C2383" t="s">
        <v>369</v>
      </c>
      <c r="D2383" t="s">
        <v>426</v>
      </c>
      <c r="F2383" t="s">
        <v>460</v>
      </c>
      <c r="G2383" t="str">
        <f>HYPERLINK("https://ca.linkedin.com/jobs/view/data-analyst-at-synechron-3364863079?refId=a2bi1uROFxMZpCn4H0GitA%3D%3D&amp;trackingId=CeBwEohpVo5ndfYVSKLWHA%3D%3D&amp;position=9&amp;pageNum=0&amp;trk=public_jobs_jserp-result_search-card", "Job Link")</f>
        <v>Job Link</v>
      </c>
      <c r="H2383" t="s">
        <v>478</v>
      </c>
      <c r="I2383" t="s">
        <v>481</v>
      </c>
      <c r="J2383" t="s">
        <v>486</v>
      </c>
      <c r="K2383" t="s">
        <v>563</v>
      </c>
      <c r="L2383" t="s">
        <v>584</v>
      </c>
      <c r="M2383" t="s">
        <v>588</v>
      </c>
      <c r="N2383" t="s">
        <v>601</v>
      </c>
    </row>
    <row r="2384" spans="1:14" x14ac:dyDescent="0.25">
      <c r="A2384" t="s">
        <v>14</v>
      </c>
      <c r="B2384" t="s">
        <v>150</v>
      </c>
      <c r="C2384" t="s">
        <v>367</v>
      </c>
      <c r="D2384" t="s">
        <v>426</v>
      </c>
      <c r="F2384" t="s">
        <v>460</v>
      </c>
      <c r="G2384" t="str">
        <f>HYPERLINK("https://ca.linkedin.com/jobs/view/data-analyst-at-synechron-3361756851?refId=a2bi1uROFxMZpCn4H0GitA%3D%3D&amp;trackingId=dQieTqlrEwgG4L7SgxqfxA%3D%3D&amp;position=10&amp;pageNum=0&amp;trk=public_jobs_jserp-result_search-card", "Job Link")</f>
        <v>Job Link</v>
      </c>
      <c r="H2384" t="s">
        <v>478</v>
      </c>
      <c r="I2384" t="s">
        <v>481</v>
      </c>
      <c r="J2384" t="s">
        <v>486</v>
      </c>
      <c r="K2384" t="s">
        <v>562</v>
      </c>
      <c r="L2384" t="s">
        <v>584</v>
      </c>
      <c r="M2384" t="s">
        <v>588</v>
      </c>
      <c r="N2384" t="s">
        <v>601</v>
      </c>
    </row>
    <row r="2385" spans="1:14" x14ac:dyDescent="0.25">
      <c r="A2385" t="s">
        <v>14</v>
      </c>
      <c r="B2385" t="s">
        <v>213</v>
      </c>
      <c r="C2385" t="s">
        <v>371</v>
      </c>
      <c r="D2385" t="s">
        <v>426</v>
      </c>
      <c r="F2385" t="s">
        <v>472</v>
      </c>
      <c r="G2385" t="str">
        <f>HYPERLINK("https://ca.linkedin.com/jobs/view/data-analyst-at-linkus-group-3345817125?refId=a2bi1uROFxMZpCn4H0GitA%3D%3D&amp;trackingId=V1WDbVlaNNuVKHU9VRcuCg%3D%3D&amp;position=11&amp;pageNum=0&amp;trk=public_jobs_jserp-result_search-card", "Job Link")</f>
        <v>Job Link</v>
      </c>
      <c r="H2385" t="s">
        <v>476</v>
      </c>
      <c r="I2385" t="s">
        <v>481</v>
      </c>
      <c r="J2385" t="s">
        <v>486</v>
      </c>
      <c r="K2385" t="s">
        <v>518</v>
      </c>
      <c r="L2385" t="s">
        <v>588</v>
      </c>
      <c r="M2385" t="s">
        <v>601</v>
      </c>
    </row>
    <row r="2386" spans="1:14" x14ac:dyDescent="0.25">
      <c r="A2386" t="s">
        <v>14</v>
      </c>
      <c r="B2386" t="s">
        <v>214</v>
      </c>
      <c r="C2386" t="s">
        <v>372</v>
      </c>
      <c r="D2386" t="s">
        <v>426</v>
      </c>
      <c r="F2386" t="s">
        <v>432</v>
      </c>
      <c r="G2386" t="str">
        <f>HYPERLINK("https://ca.linkedin.com/jobs/view/data-analyst-at-goeasy-ltd-3358677253?refId=a2bi1uROFxMZpCn4H0GitA%3D%3D&amp;trackingId=aKaSO9eOQpXmxRrMhmKE1g%3D%3D&amp;position=12&amp;pageNum=0&amp;trk=public_jobs_jserp-result_search-card", "Job Link")</f>
        <v>Job Link</v>
      </c>
      <c r="H2386" t="s">
        <v>476</v>
      </c>
      <c r="I2386" t="s">
        <v>481</v>
      </c>
      <c r="J2386" t="s">
        <v>486</v>
      </c>
      <c r="K2386" t="s">
        <v>550</v>
      </c>
      <c r="L2386" t="s">
        <v>584</v>
      </c>
      <c r="M2386" t="s">
        <v>588</v>
      </c>
      <c r="N2386" t="s">
        <v>601</v>
      </c>
    </row>
    <row r="2387" spans="1:14" x14ac:dyDescent="0.25">
      <c r="A2387" t="s">
        <v>83</v>
      </c>
      <c r="B2387" t="s">
        <v>215</v>
      </c>
      <c r="C2387" t="s">
        <v>373</v>
      </c>
      <c r="D2387" t="s">
        <v>426</v>
      </c>
      <c r="F2387" t="s">
        <v>462</v>
      </c>
      <c r="G2387">
        <v>0</v>
      </c>
      <c r="H2387" t="s">
        <v>478</v>
      </c>
      <c r="I2387" t="s">
        <v>483</v>
      </c>
      <c r="J2387" t="s">
        <v>509</v>
      </c>
      <c r="K2387" t="s">
        <v>550</v>
      </c>
      <c r="L2387" t="s">
        <v>584</v>
      </c>
      <c r="M2387" t="s">
        <v>588</v>
      </c>
      <c r="N2387" t="s">
        <v>601</v>
      </c>
    </row>
    <row r="2388" spans="1:14" x14ac:dyDescent="0.25">
      <c r="A2388" t="s">
        <v>91</v>
      </c>
      <c r="B2388" t="s">
        <v>224</v>
      </c>
      <c r="C2388" t="s">
        <v>384</v>
      </c>
      <c r="D2388" t="s">
        <v>426</v>
      </c>
      <c r="F2388" t="s">
        <v>431</v>
      </c>
      <c r="G2388" t="str">
        <f>HYPERLINK("https://ca.linkedin.com/jobs/view/commercial-data-analyst-at-organigram-inc-3367177254?refId=a2bi1uROFxMZpCn4H0GitA%3D%3D&amp;trackingId=jJdcrC2TYwixAHjawwqjfw%3D%3D&amp;position=14&amp;pageNum=0&amp;trk=public_jobs_jserp-result_search-card", "Job Link")</f>
        <v>Job Link</v>
      </c>
      <c r="I2388" t="s">
        <v>481</v>
      </c>
      <c r="L2388" t="s">
        <v>582</v>
      </c>
      <c r="M2388" t="s">
        <v>588</v>
      </c>
      <c r="N2388" t="s">
        <v>601</v>
      </c>
    </row>
    <row r="2389" spans="1:14" x14ac:dyDescent="0.25">
      <c r="A2389" t="s">
        <v>20</v>
      </c>
      <c r="B2389" t="s">
        <v>207</v>
      </c>
      <c r="C2389" t="s">
        <v>374</v>
      </c>
      <c r="D2389" t="s">
        <v>426</v>
      </c>
      <c r="F2389" t="s">
        <v>463</v>
      </c>
      <c r="G2389" t="str">
        <f>HYPERLINK("https://ca.linkedin.com/jobs/view/senior-data-analyst-at-onlia-3320897882?refId=a2bi1uROFxMZpCn4H0GitA%3D%3D&amp;trackingId=XV797%2FWh2gBEXRPzYskEOQ%3D%3D&amp;position=15&amp;pageNum=0&amp;trk=public_jobs_jserp-result_search-card", "Job Link")</f>
        <v>Job Link</v>
      </c>
      <c r="H2389" t="s">
        <v>477</v>
      </c>
      <c r="I2389" t="s">
        <v>481</v>
      </c>
      <c r="J2389" t="s">
        <v>486</v>
      </c>
      <c r="K2389" t="s">
        <v>523</v>
      </c>
      <c r="L2389" t="s">
        <v>582</v>
      </c>
      <c r="M2389" t="s">
        <v>588</v>
      </c>
      <c r="N2389" t="s">
        <v>601</v>
      </c>
    </row>
    <row r="2390" spans="1:14" x14ac:dyDescent="0.25">
      <c r="A2390" t="s">
        <v>84</v>
      </c>
      <c r="B2390" t="s">
        <v>216</v>
      </c>
      <c r="C2390" t="s">
        <v>375</v>
      </c>
      <c r="D2390" t="s">
        <v>426</v>
      </c>
      <c r="F2390" t="s">
        <v>452</v>
      </c>
      <c r="G2390" t="str">
        <f>HYPERLINK("https://ca.linkedin.com/jobs/view/data-analyst-hybrid-at-xylem-3335088701?refId=a2bi1uROFxMZpCn4H0GitA%3D%3D&amp;trackingId=h5Gq2P1IkZAIH2JWbpvkzw%3D%3D&amp;position=16&amp;pageNum=0&amp;trk=public_jobs_jserp-result_search-card", "Job Link")</f>
        <v>Job Link</v>
      </c>
      <c r="H2390" t="s">
        <v>476</v>
      </c>
      <c r="I2390" t="s">
        <v>481</v>
      </c>
      <c r="J2390" t="s">
        <v>486</v>
      </c>
      <c r="K2390" t="s">
        <v>564</v>
      </c>
      <c r="L2390" t="s">
        <v>584</v>
      </c>
      <c r="M2390" t="s">
        <v>588</v>
      </c>
      <c r="N2390" t="s">
        <v>601</v>
      </c>
    </row>
    <row r="2391" spans="1:14" x14ac:dyDescent="0.25">
      <c r="A2391" t="s">
        <v>85</v>
      </c>
      <c r="B2391" t="s">
        <v>217</v>
      </c>
      <c r="C2391" t="s">
        <v>376</v>
      </c>
      <c r="D2391" t="s">
        <v>426</v>
      </c>
      <c r="F2391" t="s">
        <v>473</v>
      </c>
      <c r="G2391" t="str">
        <f>HYPERLINK("https://ca.linkedin.com/jobs/view/data-analyst-python-sql-at-geotab-3341823745?refId=a2bi1uROFxMZpCn4H0GitA%3D%3D&amp;trackingId=nB0m%2BxQ0V9uxbdFeU4K4zA%3D%3D&amp;position=17&amp;pageNum=0&amp;trk=public_jobs_jserp-result_search-card", "Job Link")</f>
        <v>Job Link</v>
      </c>
      <c r="H2391" t="s">
        <v>479</v>
      </c>
      <c r="I2391" t="s">
        <v>481</v>
      </c>
      <c r="J2391" t="s">
        <v>486</v>
      </c>
      <c r="K2391" t="s">
        <v>521</v>
      </c>
      <c r="L2391" t="s">
        <v>612</v>
      </c>
      <c r="M2391" t="s">
        <v>588</v>
      </c>
      <c r="N2391" t="s">
        <v>601</v>
      </c>
    </row>
    <row r="2392" spans="1:14" x14ac:dyDescent="0.25">
      <c r="A2392" t="s">
        <v>86</v>
      </c>
      <c r="B2392" t="s">
        <v>167</v>
      </c>
      <c r="C2392" t="s">
        <v>377</v>
      </c>
      <c r="D2392" t="s">
        <v>426</v>
      </c>
      <c r="F2392" t="s">
        <v>454</v>
      </c>
      <c r="G2392" t="str">
        <f>HYPERLINK("https://ca.linkedin.com/jobs/view/data-analyst-reporting-at-thescore-3345941286?refId=a2bi1uROFxMZpCn4H0GitA%3D%3D&amp;trackingId=VYAstMt4CM8l1j%2FiWbbXeA%3D%3D&amp;position=18&amp;pageNum=0&amp;trk=public_jobs_jserp-result_search-card", "Job Link")</f>
        <v>Job Link</v>
      </c>
      <c r="H2392" t="s">
        <v>476</v>
      </c>
      <c r="I2392" t="s">
        <v>481</v>
      </c>
      <c r="J2392" t="s">
        <v>486</v>
      </c>
      <c r="K2392" t="s">
        <v>545</v>
      </c>
      <c r="L2392" t="s">
        <v>582</v>
      </c>
      <c r="M2392" t="s">
        <v>588</v>
      </c>
      <c r="N2392" t="s">
        <v>601</v>
      </c>
    </row>
    <row r="2393" spans="1:14" x14ac:dyDescent="0.25">
      <c r="A2393" t="s">
        <v>87</v>
      </c>
      <c r="B2393" t="s">
        <v>218</v>
      </c>
      <c r="C2393" t="s">
        <v>378</v>
      </c>
      <c r="D2393" t="s">
        <v>426</v>
      </c>
      <c r="F2393" t="s">
        <v>432</v>
      </c>
      <c r="G2393">
        <v>0</v>
      </c>
      <c r="H2393" t="s">
        <v>478</v>
      </c>
      <c r="I2393" t="s">
        <v>483</v>
      </c>
      <c r="J2393" t="s">
        <v>486</v>
      </c>
      <c r="K2393" t="s">
        <v>521</v>
      </c>
      <c r="L2393" t="s">
        <v>582</v>
      </c>
      <c r="M2393" t="s">
        <v>588</v>
      </c>
      <c r="N2393" t="s">
        <v>601</v>
      </c>
    </row>
    <row r="2394" spans="1:14" x14ac:dyDescent="0.25">
      <c r="A2394" t="s">
        <v>90</v>
      </c>
      <c r="B2394" t="s">
        <v>223</v>
      </c>
      <c r="C2394" t="s">
        <v>383</v>
      </c>
      <c r="D2394" t="s">
        <v>426</v>
      </c>
      <c r="F2394" t="s">
        <v>443</v>
      </c>
      <c r="G2394" t="str">
        <f>HYPERLINK("https://ca.linkedin.com/jobs/view/data-administrator-data-analyst-at-hays-3369576413?refId=a2bi1uROFxMZpCn4H0GitA%3D%3D&amp;trackingId=5YMGIIlJjxaFSNYqpWROEg%3D%3D&amp;position=20&amp;pageNum=0&amp;trk=public_jobs_jserp-result_search-card", "Job Link")</f>
        <v>Job Link</v>
      </c>
      <c r="H2394" t="s">
        <v>478</v>
      </c>
      <c r="I2394" t="s">
        <v>481</v>
      </c>
      <c r="J2394" t="s">
        <v>486</v>
      </c>
      <c r="K2394" t="s">
        <v>518</v>
      </c>
      <c r="L2394" t="s">
        <v>583</v>
      </c>
      <c r="M2394" t="s">
        <v>610</v>
      </c>
      <c r="N2394" t="s">
        <v>601</v>
      </c>
    </row>
    <row r="2395" spans="1:14" x14ac:dyDescent="0.25">
      <c r="A2395" t="s">
        <v>88</v>
      </c>
      <c r="B2395" t="s">
        <v>219</v>
      </c>
      <c r="C2395" t="s">
        <v>379</v>
      </c>
      <c r="D2395" t="s">
        <v>426</v>
      </c>
      <c r="F2395" t="s">
        <v>454</v>
      </c>
      <c r="G2395" t="str">
        <f>HYPERLINK("https://ca.linkedin.com/jobs/view/data-analyst-flight-pricing-optimization-at-priceline-3345993633?refId=a2bi1uROFxMZpCn4H0GitA%3D%3D&amp;trackingId=g%2BC3anxd8CLyb4CVeKbQpA%3D%3D&amp;position=21&amp;pageNum=0&amp;trk=public_jobs_jserp-result_search-card", "Job Link")</f>
        <v>Job Link</v>
      </c>
      <c r="H2395" t="s">
        <v>476</v>
      </c>
      <c r="I2395" t="s">
        <v>481</v>
      </c>
      <c r="J2395" t="s">
        <v>486</v>
      </c>
      <c r="K2395" t="s">
        <v>565</v>
      </c>
      <c r="L2395" t="s">
        <v>582</v>
      </c>
      <c r="M2395" t="s">
        <v>588</v>
      </c>
      <c r="N2395" t="s">
        <v>601</v>
      </c>
    </row>
    <row r="2396" spans="1:14" x14ac:dyDescent="0.25">
      <c r="A2396" t="s">
        <v>27</v>
      </c>
      <c r="B2396" t="s">
        <v>220</v>
      </c>
      <c r="C2396" t="s">
        <v>380</v>
      </c>
      <c r="D2396" t="s">
        <v>426</v>
      </c>
      <c r="F2396" t="s">
        <v>434</v>
      </c>
      <c r="G2396" t="str">
        <f>HYPERLINK("https://ca.linkedin.com/jobs/view/sr-data-analyst-at-randstad-canada-3354999789?refId=a2bi1uROFxMZpCn4H0GitA%3D%3D&amp;trackingId=Lm%2Fg%2FshQDQG7FLcKs0K1mw%3D%3D&amp;position=22&amp;pageNum=0&amp;trk=public_jobs_jserp-result_search-card", "Job Link")</f>
        <v>Job Link</v>
      </c>
      <c r="H2396" t="s">
        <v>478</v>
      </c>
      <c r="I2396" t="s">
        <v>483</v>
      </c>
      <c r="J2396" t="s">
        <v>486</v>
      </c>
      <c r="K2396" t="s">
        <v>518</v>
      </c>
      <c r="L2396" t="s">
        <v>584</v>
      </c>
      <c r="M2396" t="s">
        <v>588</v>
      </c>
      <c r="N2396" t="s">
        <v>601</v>
      </c>
    </row>
    <row r="2397" spans="1:14" x14ac:dyDescent="0.25">
      <c r="A2397" t="s">
        <v>89</v>
      </c>
      <c r="B2397" t="s">
        <v>221</v>
      </c>
      <c r="C2397" t="s">
        <v>381</v>
      </c>
      <c r="D2397" t="s">
        <v>426</v>
      </c>
      <c r="F2397" t="s">
        <v>461</v>
      </c>
      <c r="G2397">
        <v>0</v>
      </c>
      <c r="H2397" t="s">
        <v>476</v>
      </c>
      <c r="I2397" t="s">
        <v>481</v>
      </c>
      <c r="J2397" t="s">
        <v>488</v>
      </c>
      <c r="K2397" t="s">
        <v>566</v>
      </c>
      <c r="L2397" t="s">
        <v>582</v>
      </c>
      <c r="M2397" t="s">
        <v>588</v>
      </c>
      <c r="N2397" t="s">
        <v>601</v>
      </c>
    </row>
    <row r="2398" spans="1:14" x14ac:dyDescent="0.25">
      <c r="A2398" t="s">
        <v>14</v>
      </c>
      <c r="B2398" t="s">
        <v>222</v>
      </c>
      <c r="C2398" t="s">
        <v>382</v>
      </c>
      <c r="D2398" t="s">
        <v>426</v>
      </c>
      <c r="F2398" t="s">
        <v>431</v>
      </c>
      <c r="G2398" t="str">
        <f>HYPERLINK("https://ca.linkedin.com/jobs/view/data-analyst-at-circle-k-3367192655?refId=a2bi1uROFxMZpCn4H0GitA%3D%3D&amp;trackingId=GF1r3rC0fvNGI0Ogp2DaWw%3D%3D&amp;position=24&amp;pageNum=0&amp;trk=public_jobs_jserp-result_search-card", "Job Link")</f>
        <v>Job Link</v>
      </c>
      <c r="H2398" t="s">
        <v>476</v>
      </c>
      <c r="I2398" t="s">
        <v>481</v>
      </c>
      <c r="J2398" t="s">
        <v>486</v>
      </c>
      <c r="K2398" t="s">
        <v>567</v>
      </c>
      <c r="L2398" t="s">
        <v>582</v>
      </c>
      <c r="M2398" t="s">
        <v>588</v>
      </c>
      <c r="N2398" t="s">
        <v>601</v>
      </c>
    </row>
    <row r="2399" spans="1:14" x14ac:dyDescent="0.25">
      <c r="A2399" t="s">
        <v>14</v>
      </c>
      <c r="B2399" t="s">
        <v>225</v>
      </c>
      <c r="C2399" t="s">
        <v>385</v>
      </c>
      <c r="D2399" t="s">
        <v>426</v>
      </c>
      <c r="F2399" t="s">
        <v>463</v>
      </c>
      <c r="G2399" t="str">
        <f>HYPERLINK("https://ca.linkedin.com/jobs/view/data-analyst-at-vector-institute-3325395506?refId=a2bi1uROFxMZpCn4H0GitA%3D%3D&amp;trackingId=kIfAQK0FhSHk9LsNQwzLcw%3D%3D&amp;position=25&amp;pageNum=0&amp;trk=public_jobs_jserp-result_search-card", "Job Link")</f>
        <v>Job Link</v>
      </c>
      <c r="H2399" t="s">
        <v>478</v>
      </c>
      <c r="I2399" t="s">
        <v>481</v>
      </c>
      <c r="J2399" t="s">
        <v>486</v>
      </c>
      <c r="K2399" t="s">
        <v>520</v>
      </c>
      <c r="L2399" t="s">
        <v>582</v>
      </c>
      <c r="M2399" t="s">
        <v>588</v>
      </c>
      <c r="N2399" t="s">
        <v>601</v>
      </c>
    </row>
    <row r="2400" spans="1:14" x14ac:dyDescent="0.25">
      <c r="A2400" t="s">
        <v>14</v>
      </c>
      <c r="B2400" t="s">
        <v>207</v>
      </c>
      <c r="C2400" t="s">
        <v>362</v>
      </c>
      <c r="D2400" t="s">
        <v>426</v>
      </c>
      <c r="F2400" t="s">
        <v>463</v>
      </c>
      <c r="G2400" t="str">
        <f>HYPERLINK("https://ca.linkedin.com/jobs/view/data-analyst-at-onlia-3320897897?refId=p8zgW5F2sNZiI5woQRiRcg%3D%3D&amp;trackingId=lZqcYr%2FA9jBNJKiekSeRYw%3D%3D&amp;position=1&amp;pageNum=0&amp;trk=public_jobs_jserp-result_search-card", "Job Link")</f>
        <v>Job Link</v>
      </c>
      <c r="H2400" t="s">
        <v>477</v>
      </c>
      <c r="I2400" t="s">
        <v>481</v>
      </c>
      <c r="J2400" t="s">
        <v>486</v>
      </c>
      <c r="K2400" t="s">
        <v>523</v>
      </c>
      <c r="L2400" t="s">
        <v>582</v>
      </c>
      <c r="M2400" t="s">
        <v>588</v>
      </c>
      <c r="N2400" t="s">
        <v>601</v>
      </c>
    </row>
    <row r="2401" spans="1:14" x14ac:dyDescent="0.25">
      <c r="A2401" t="s">
        <v>14</v>
      </c>
      <c r="B2401" t="s">
        <v>208</v>
      </c>
      <c r="C2401" t="s">
        <v>363</v>
      </c>
      <c r="D2401" t="s">
        <v>426</v>
      </c>
      <c r="F2401" t="s">
        <v>445</v>
      </c>
      <c r="G2401" t="str">
        <f>HYPERLINK("https://ca.linkedin.com/jobs/view/data-analyst-at-electronic-arts-ea-3325611825?refId=p8zgW5F2sNZiI5woQRiRcg%3D%3D&amp;trackingId=94cykEjICKgxb%2Fcwm65wOg%3D%3D&amp;position=2&amp;pageNum=0&amp;trk=public_jobs_jserp-result_search-card", "Job Link")</f>
        <v>Job Link</v>
      </c>
      <c r="H2401" t="s">
        <v>479</v>
      </c>
      <c r="I2401" t="s">
        <v>481</v>
      </c>
      <c r="J2401" t="s">
        <v>507</v>
      </c>
      <c r="K2401" t="s">
        <v>559</v>
      </c>
      <c r="L2401" t="s">
        <v>582</v>
      </c>
      <c r="M2401" t="s">
        <v>588</v>
      </c>
      <c r="N2401" t="s">
        <v>601</v>
      </c>
    </row>
    <row r="2402" spans="1:14" x14ac:dyDescent="0.25">
      <c r="A2402" t="s">
        <v>14</v>
      </c>
      <c r="B2402" t="s">
        <v>209</v>
      </c>
      <c r="C2402" t="s">
        <v>364</v>
      </c>
      <c r="D2402" t="s">
        <v>426</v>
      </c>
      <c r="F2402" t="s">
        <v>440</v>
      </c>
      <c r="G2402" t="str">
        <f>HYPERLINK("https://ca.linkedin.com/jobs/view/data-analyst-at-frostbite-3370111856?refId=p8zgW5F2sNZiI5woQRiRcg%3D%3D&amp;trackingId=xes83LG3Q%2Bdw7ukHTMcImA%3D%3D&amp;position=3&amp;pageNum=0&amp;trk=public_jobs_jserp-result_search-card", "Job Link")</f>
        <v>Job Link</v>
      </c>
      <c r="H2402" t="s">
        <v>479</v>
      </c>
      <c r="I2402" t="s">
        <v>481</v>
      </c>
      <c r="J2402" t="s">
        <v>507</v>
      </c>
      <c r="K2402" t="s">
        <v>559</v>
      </c>
      <c r="L2402" t="s">
        <v>590</v>
      </c>
      <c r="M2402" t="s">
        <v>618</v>
      </c>
      <c r="N2402" t="s">
        <v>601</v>
      </c>
    </row>
    <row r="2403" spans="1:14" x14ac:dyDescent="0.25">
      <c r="A2403" t="s">
        <v>81</v>
      </c>
      <c r="B2403" t="s">
        <v>210</v>
      </c>
      <c r="C2403" t="s">
        <v>365</v>
      </c>
      <c r="D2403" t="s">
        <v>426</v>
      </c>
      <c r="F2403" t="s">
        <v>436</v>
      </c>
      <c r="G2403" t="str">
        <f>HYPERLINK("https://ca.linkedin.com/jobs/view/data-analyst-c117-at-mitsubishi-motor-sales-of-canada-inc-3344852931?refId=p8zgW5F2sNZiI5woQRiRcg%3D%3D&amp;trackingId=%2BYR2u6pN%2BstRDwMC7cPz%2Bg%3D%3D&amp;position=4&amp;pageNum=0&amp;trk=public_jobs_jserp-result_search-card", "Job Link")</f>
        <v>Job Link</v>
      </c>
      <c r="H2403" t="s">
        <v>477</v>
      </c>
      <c r="I2403" t="s">
        <v>481</v>
      </c>
      <c r="J2403" t="s">
        <v>508</v>
      </c>
      <c r="K2403" t="s">
        <v>561</v>
      </c>
      <c r="L2403" t="s">
        <v>584</v>
      </c>
      <c r="M2403" t="s">
        <v>588</v>
      </c>
      <c r="N2403" t="s">
        <v>601</v>
      </c>
    </row>
    <row r="2404" spans="1:14" x14ac:dyDescent="0.25">
      <c r="A2404" t="s">
        <v>14</v>
      </c>
      <c r="B2404" t="s">
        <v>211</v>
      </c>
      <c r="C2404" t="s">
        <v>366</v>
      </c>
      <c r="D2404" t="s">
        <v>426</v>
      </c>
      <c r="F2404" t="s">
        <v>443</v>
      </c>
      <c r="G2404" t="str">
        <f>HYPERLINK("https://ca.linkedin.com/jobs/view/data-analyst-at-mphasis-3363428246?refId=p8zgW5F2sNZiI5woQRiRcg%3D%3D&amp;trackingId=KNN4s%2FwXk%2Bb4wVgowibc7Q%3D%3D&amp;position=5&amp;pageNum=0&amp;trk=public_jobs_jserp-result_search-card", "Job Link")</f>
        <v>Job Link</v>
      </c>
      <c r="H2404" t="s">
        <v>477</v>
      </c>
      <c r="I2404" t="s">
        <v>481</v>
      </c>
      <c r="J2404" t="s">
        <v>486</v>
      </c>
      <c r="K2404" t="s">
        <v>521</v>
      </c>
      <c r="L2404" t="s">
        <v>609</v>
      </c>
      <c r="M2404" t="s">
        <v>610</v>
      </c>
      <c r="N2404" t="s">
        <v>601</v>
      </c>
    </row>
    <row r="2405" spans="1:14" x14ac:dyDescent="0.25">
      <c r="A2405" t="s">
        <v>14</v>
      </c>
      <c r="B2405" t="s">
        <v>150</v>
      </c>
      <c r="C2405" t="s">
        <v>367</v>
      </c>
      <c r="D2405" t="s">
        <v>426</v>
      </c>
      <c r="F2405" t="s">
        <v>433</v>
      </c>
      <c r="G2405" t="str">
        <f>HYPERLINK("https://ca.linkedin.com/jobs/view/data-analyst-at-synechron-3348329085?refId=p8zgW5F2sNZiI5woQRiRcg%3D%3D&amp;trackingId=e%2BIj6C%2Frxwei3sagEPvazA%3D%3D&amp;position=6&amp;pageNum=0&amp;trk=public_jobs_jserp-result_search-card", "Job Link")</f>
        <v>Job Link</v>
      </c>
      <c r="H2405" t="s">
        <v>478</v>
      </c>
      <c r="I2405" t="s">
        <v>481</v>
      </c>
      <c r="J2405" t="s">
        <v>486</v>
      </c>
      <c r="K2405" t="s">
        <v>562</v>
      </c>
      <c r="L2405" t="s">
        <v>584</v>
      </c>
      <c r="M2405" t="s">
        <v>588</v>
      </c>
      <c r="N2405" t="s">
        <v>601</v>
      </c>
    </row>
    <row r="2406" spans="1:14" x14ac:dyDescent="0.25">
      <c r="A2406" t="s">
        <v>82</v>
      </c>
      <c r="B2406" t="s">
        <v>179</v>
      </c>
      <c r="C2406" t="s">
        <v>368</v>
      </c>
      <c r="D2406" t="s">
        <v>426</v>
      </c>
      <c r="F2406" t="s">
        <v>471</v>
      </c>
      <c r="G2406" t="str">
        <f>HYPERLINK("https://ca.linkedin.com/jobs/view/business-data-analyst-at-capgemini-3327624663?refId=p8zgW5F2sNZiI5woQRiRcg%3D%3D&amp;trackingId=sVGSa%2BkJHXuqLC%2BuySwSmQ%3D%3D&amp;position=7&amp;pageNum=0&amp;trk=public_jobs_jserp-result_search-card", "Job Link")</f>
        <v>Job Link</v>
      </c>
      <c r="H2406" t="s">
        <v>478</v>
      </c>
      <c r="I2406" t="s">
        <v>481</v>
      </c>
      <c r="J2406" t="s">
        <v>486</v>
      </c>
      <c r="K2406" t="s">
        <v>521</v>
      </c>
      <c r="L2406" t="s">
        <v>611</v>
      </c>
      <c r="M2406" t="s">
        <v>601</v>
      </c>
    </row>
    <row r="2407" spans="1:14" x14ac:dyDescent="0.25">
      <c r="A2407" t="s">
        <v>14</v>
      </c>
      <c r="B2407" t="s">
        <v>150</v>
      </c>
      <c r="C2407" t="s">
        <v>369</v>
      </c>
      <c r="D2407" t="s">
        <v>426</v>
      </c>
      <c r="F2407" t="s">
        <v>460</v>
      </c>
      <c r="G2407" t="str">
        <f>HYPERLINK("https://ca.linkedin.com/jobs/view/data-analyst-at-synechron-3364863079?refId=p8zgW5F2sNZiI5woQRiRcg%3D%3D&amp;trackingId=VJxsrfx7YlmhrFHlQ9CtNg%3D%3D&amp;position=8&amp;pageNum=0&amp;trk=public_jobs_jserp-result_search-card", "Job Link")</f>
        <v>Job Link</v>
      </c>
      <c r="H2407" t="s">
        <v>478</v>
      </c>
      <c r="I2407" t="s">
        <v>481</v>
      </c>
      <c r="J2407" t="s">
        <v>486</v>
      </c>
      <c r="K2407" t="s">
        <v>563</v>
      </c>
      <c r="L2407" t="s">
        <v>584</v>
      </c>
      <c r="M2407" t="s">
        <v>588</v>
      </c>
      <c r="N2407" t="s">
        <v>601</v>
      </c>
    </row>
    <row r="2408" spans="1:14" x14ac:dyDescent="0.25">
      <c r="A2408" t="s">
        <v>14</v>
      </c>
      <c r="B2408" t="s">
        <v>150</v>
      </c>
      <c r="C2408" t="s">
        <v>367</v>
      </c>
      <c r="D2408" t="s">
        <v>426</v>
      </c>
      <c r="F2408" t="s">
        <v>460</v>
      </c>
      <c r="G2408" t="str">
        <f>HYPERLINK("https://ca.linkedin.com/jobs/view/data-analyst-at-synechron-3361756851?refId=p8zgW5F2sNZiI5woQRiRcg%3D%3D&amp;trackingId=TGXTCGE%2BWq3nuwHKjlsS9A%3D%3D&amp;position=9&amp;pageNum=0&amp;trk=public_jobs_jserp-result_search-card", "Job Link")</f>
        <v>Job Link</v>
      </c>
      <c r="H2408" t="s">
        <v>478</v>
      </c>
      <c r="I2408" t="s">
        <v>481</v>
      </c>
      <c r="J2408" t="s">
        <v>486</v>
      </c>
      <c r="K2408" t="s">
        <v>562</v>
      </c>
      <c r="L2408" t="s">
        <v>584</v>
      </c>
      <c r="M2408" t="s">
        <v>588</v>
      </c>
      <c r="N2408" t="s">
        <v>601</v>
      </c>
    </row>
    <row r="2409" spans="1:14" x14ac:dyDescent="0.25">
      <c r="A2409" t="s">
        <v>14</v>
      </c>
      <c r="B2409" t="s">
        <v>212</v>
      </c>
      <c r="C2409" t="s">
        <v>370</v>
      </c>
      <c r="D2409" t="s">
        <v>426</v>
      </c>
      <c r="F2409" t="s">
        <v>432</v>
      </c>
      <c r="G2409" t="str">
        <f>HYPERLINK("https://ca.linkedin.com/jobs/view/data-analyst-at-agilus-work-solutions-3358673093?refId=p8zgW5F2sNZiI5woQRiRcg%3D%3D&amp;trackingId=N4qg%2BlPrifb2aGBG%2FNtQYg%3D%3D&amp;position=10&amp;pageNum=0&amp;trk=public_jobs_jserp-result_search-card", "Job Link")</f>
        <v>Job Link</v>
      </c>
      <c r="H2409" t="s">
        <v>477</v>
      </c>
      <c r="I2409" t="s">
        <v>483</v>
      </c>
      <c r="J2409" t="s">
        <v>486</v>
      </c>
      <c r="K2409" t="s">
        <v>518</v>
      </c>
      <c r="L2409" t="s">
        <v>582</v>
      </c>
      <c r="M2409" t="s">
        <v>588</v>
      </c>
      <c r="N2409" t="s">
        <v>601</v>
      </c>
    </row>
    <row r="2410" spans="1:14" x14ac:dyDescent="0.25">
      <c r="A2410" t="s">
        <v>14</v>
      </c>
      <c r="B2410" t="s">
        <v>213</v>
      </c>
      <c r="C2410" t="s">
        <v>371</v>
      </c>
      <c r="D2410" t="s">
        <v>426</v>
      </c>
      <c r="F2410" t="s">
        <v>472</v>
      </c>
      <c r="G2410" t="str">
        <f>HYPERLINK("https://ca.linkedin.com/jobs/view/data-analyst-at-linkus-group-3345817125?refId=p8zgW5F2sNZiI5woQRiRcg%3D%3D&amp;trackingId=hIx597nLk4wfJiDKjiihaw%3D%3D&amp;position=11&amp;pageNum=0&amp;trk=public_jobs_jserp-result_search-card", "Job Link")</f>
        <v>Job Link</v>
      </c>
      <c r="H2410" t="s">
        <v>476</v>
      </c>
      <c r="I2410" t="s">
        <v>481</v>
      </c>
      <c r="J2410" t="s">
        <v>486</v>
      </c>
      <c r="K2410" t="s">
        <v>518</v>
      </c>
      <c r="L2410" t="s">
        <v>588</v>
      </c>
      <c r="M2410" t="s">
        <v>601</v>
      </c>
    </row>
    <row r="2411" spans="1:14" x14ac:dyDescent="0.25">
      <c r="A2411" t="s">
        <v>14</v>
      </c>
      <c r="B2411" t="s">
        <v>214</v>
      </c>
      <c r="C2411" t="s">
        <v>372</v>
      </c>
      <c r="D2411" t="s">
        <v>426</v>
      </c>
      <c r="F2411" t="s">
        <v>432</v>
      </c>
      <c r="G2411" t="str">
        <f>HYPERLINK("https://ca.linkedin.com/jobs/view/data-analyst-at-goeasy-ltd-3358677253?refId=p8zgW5F2sNZiI5woQRiRcg%3D%3D&amp;trackingId=Xe2npnqADYNWEfnf7XXiwQ%3D%3D&amp;position=12&amp;pageNum=0&amp;trk=public_jobs_jserp-result_search-card", "Job Link")</f>
        <v>Job Link</v>
      </c>
      <c r="H2411" t="s">
        <v>476</v>
      </c>
      <c r="I2411" t="s">
        <v>481</v>
      </c>
      <c r="J2411" t="s">
        <v>486</v>
      </c>
      <c r="K2411" t="s">
        <v>550</v>
      </c>
      <c r="L2411" t="s">
        <v>584</v>
      </c>
      <c r="M2411" t="s">
        <v>588</v>
      </c>
      <c r="N2411" t="s">
        <v>601</v>
      </c>
    </row>
    <row r="2412" spans="1:14" x14ac:dyDescent="0.25">
      <c r="A2412" t="s">
        <v>83</v>
      </c>
      <c r="B2412" t="s">
        <v>215</v>
      </c>
      <c r="C2412" t="s">
        <v>373</v>
      </c>
      <c r="D2412" t="s">
        <v>426</v>
      </c>
      <c r="F2412" t="s">
        <v>462</v>
      </c>
      <c r="G2412">
        <v>0</v>
      </c>
      <c r="H2412" t="s">
        <v>478</v>
      </c>
      <c r="I2412" t="s">
        <v>483</v>
      </c>
      <c r="J2412" t="s">
        <v>509</v>
      </c>
      <c r="K2412" t="s">
        <v>550</v>
      </c>
      <c r="L2412" t="s">
        <v>584</v>
      </c>
      <c r="M2412" t="s">
        <v>588</v>
      </c>
      <c r="N2412" t="s">
        <v>601</v>
      </c>
    </row>
    <row r="2413" spans="1:14" x14ac:dyDescent="0.25">
      <c r="A2413" t="s">
        <v>20</v>
      </c>
      <c r="B2413" t="s">
        <v>207</v>
      </c>
      <c r="C2413" t="s">
        <v>374</v>
      </c>
      <c r="D2413" t="s">
        <v>426</v>
      </c>
      <c r="F2413" t="s">
        <v>463</v>
      </c>
      <c r="G2413" t="str">
        <f>HYPERLINK("https://ca.linkedin.com/jobs/view/senior-data-analyst-at-onlia-3320897882?refId=p8zgW5F2sNZiI5woQRiRcg%3D%3D&amp;trackingId=PX%2FP1rGC9vOnh1RKBHU2nQ%3D%3D&amp;position=14&amp;pageNum=0&amp;trk=public_jobs_jserp-result_search-card", "Job Link")</f>
        <v>Job Link</v>
      </c>
      <c r="H2413" t="s">
        <v>477</v>
      </c>
      <c r="I2413" t="s">
        <v>481</v>
      </c>
      <c r="J2413" t="s">
        <v>486</v>
      </c>
      <c r="K2413" t="s">
        <v>523</v>
      </c>
      <c r="L2413" t="s">
        <v>582</v>
      </c>
      <c r="M2413" t="s">
        <v>588</v>
      </c>
      <c r="N2413" t="s">
        <v>601</v>
      </c>
    </row>
    <row r="2414" spans="1:14" x14ac:dyDescent="0.25">
      <c r="A2414" t="s">
        <v>84</v>
      </c>
      <c r="B2414" t="s">
        <v>216</v>
      </c>
      <c r="C2414" t="s">
        <v>375</v>
      </c>
      <c r="D2414" t="s">
        <v>426</v>
      </c>
      <c r="F2414" t="s">
        <v>452</v>
      </c>
      <c r="G2414" t="str">
        <f>HYPERLINK("https://ca.linkedin.com/jobs/view/data-analyst-hybrid-at-xylem-3335088701?refId=p8zgW5F2sNZiI5woQRiRcg%3D%3D&amp;trackingId=9mJKqPJjufxWcuxYyu71hA%3D%3D&amp;position=15&amp;pageNum=0&amp;trk=public_jobs_jserp-result_search-card", "Job Link")</f>
        <v>Job Link</v>
      </c>
      <c r="H2414" t="s">
        <v>476</v>
      </c>
      <c r="I2414" t="s">
        <v>481</v>
      </c>
      <c r="J2414" t="s">
        <v>486</v>
      </c>
      <c r="K2414" t="s">
        <v>564</v>
      </c>
      <c r="L2414" t="s">
        <v>584</v>
      </c>
      <c r="M2414" t="s">
        <v>588</v>
      </c>
      <c r="N2414" t="s">
        <v>601</v>
      </c>
    </row>
    <row r="2415" spans="1:14" x14ac:dyDescent="0.25">
      <c r="A2415" t="s">
        <v>85</v>
      </c>
      <c r="B2415" t="s">
        <v>217</v>
      </c>
      <c r="C2415" t="s">
        <v>376</v>
      </c>
      <c r="D2415" t="s">
        <v>426</v>
      </c>
      <c r="F2415" t="s">
        <v>473</v>
      </c>
      <c r="G2415" t="str">
        <f>HYPERLINK("https://ca.linkedin.com/jobs/view/data-analyst-python-sql-at-geotab-3341823745?refId=p8zgW5F2sNZiI5woQRiRcg%3D%3D&amp;trackingId=%2FzYUuznasd0zNhlEsrVwsQ%3D%3D&amp;position=16&amp;pageNum=0&amp;trk=public_jobs_jserp-result_search-card", "Job Link")</f>
        <v>Job Link</v>
      </c>
      <c r="H2415" t="s">
        <v>479</v>
      </c>
      <c r="I2415" t="s">
        <v>481</v>
      </c>
      <c r="J2415" t="s">
        <v>486</v>
      </c>
      <c r="K2415" t="s">
        <v>521</v>
      </c>
      <c r="L2415" t="s">
        <v>612</v>
      </c>
      <c r="M2415" t="s">
        <v>588</v>
      </c>
      <c r="N2415" t="s">
        <v>601</v>
      </c>
    </row>
    <row r="2416" spans="1:14" x14ac:dyDescent="0.25">
      <c r="A2416" t="s">
        <v>86</v>
      </c>
      <c r="B2416" t="s">
        <v>167</v>
      </c>
      <c r="C2416" t="s">
        <v>377</v>
      </c>
      <c r="D2416" t="s">
        <v>426</v>
      </c>
      <c r="F2416" t="s">
        <v>454</v>
      </c>
      <c r="G2416" t="str">
        <f>HYPERLINK("https://ca.linkedin.com/jobs/view/data-analyst-reporting-at-thescore-3345941286?refId=p8zgW5F2sNZiI5woQRiRcg%3D%3D&amp;trackingId=t76tr4qunUUeKnpN2t6Org%3D%3D&amp;position=17&amp;pageNum=0&amp;trk=public_jobs_jserp-result_search-card", "Job Link")</f>
        <v>Job Link</v>
      </c>
      <c r="H2416" t="s">
        <v>476</v>
      </c>
      <c r="I2416" t="s">
        <v>481</v>
      </c>
      <c r="J2416" t="s">
        <v>486</v>
      </c>
      <c r="K2416" t="s">
        <v>545</v>
      </c>
      <c r="L2416" t="s">
        <v>582</v>
      </c>
      <c r="M2416" t="s">
        <v>588</v>
      </c>
      <c r="N2416" t="s">
        <v>601</v>
      </c>
    </row>
    <row r="2417" spans="1:14" x14ac:dyDescent="0.25">
      <c r="A2417" t="s">
        <v>87</v>
      </c>
      <c r="B2417" t="s">
        <v>218</v>
      </c>
      <c r="C2417" t="s">
        <v>378</v>
      </c>
      <c r="D2417" t="s">
        <v>426</v>
      </c>
      <c r="F2417" t="s">
        <v>432</v>
      </c>
      <c r="G2417">
        <v>0</v>
      </c>
      <c r="H2417" t="s">
        <v>478</v>
      </c>
      <c r="I2417" t="s">
        <v>483</v>
      </c>
      <c r="J2417" t="s">
        <v>486</v>
      </c>
      <c r="K2417" t="s">
        <v>521</v>
      </c>
      <c r="L2417" t="s">
        <v>582</v>
      </c>
      <c r="M2417" t="s">
        <v>588</v>
      </c>
      <c r="N2417" t="s">
        <v>601</v>
      </c>
    </row>
    <row r="2418" spans="1:14" x14ac:dyDescent="0.25">
      <c r="A2418" t="s">
        <v>88</v>
      </c>
      <c r="B2418" t="s">
        <v>219</v>
      </c>
      <c r="C2418" t="s">
        <v>379</v>
      </c>
      <c r="D2418" t="s">
        <v>426</v>
      </c>
      <c r="F2418" t="s">
        <v>454</v>
      </c>
      <c r="G2418" t="str">
        <f>HYPERLINK("https://ca.linkedin.com/jobs/view/data-analyst-flight-pricing-optimization-at-priceline-3345993633?refId=p8zgW5F2sNZiI5woQRiRcg%3D%3D&amp;trackingId=b%2BLAbkFYQ%2FdKWRB8lK9MYQ%3D%3D&amp;position=19&amp;pageNum=0&amp;trk=public_jobs_jserp-result_search-card", "Job Link")</f>
        <v>Job Link</v>
      </c>
      <c r="H2418" t="s">
        <v>476</v>
      </c>
      <c r="I2418" t="s">
        <v>481</v>
      </c>
      <c r="J2418" t="s">
        <v>486</v>
      </c>
      <c r="K2418" t="s">
        <v>565</v>
      </c>
      <c r="L2418" t="s">
        <v>582</v>
      </c>
      <c r="M2418" t="s">
        <v>588</v>
      </c>
      <c r="N2418" t="s">
        <v>601</v>
      </c>
    </row>
    <row r="2419" spans="1:14" x14ac:dyDescent="0.25">
      <c r="A2419" t="s">
        <v>27</v>
      </c>
      <c r="B2419" t="s">
        <v>220</v>
      </c>
      <c r="C2419" t="s">
        <v>380</v>
      </c>
      <c r="D2419" t="s">
        <v>426</v>
      </c>
      <c r="F2419" t="s">
        <v>434</v>
      </c>
      <c r="G2419" t="str">
        <f>HYPERLINK("https://ca.linkedin.com/jobs/view/sr-data-analyst-at-randstad-canada-3354999789?refId=p8zgW5F2sNZiI5woQRiRcg%3D%3D&amp;trackingId=KbuaO0PwvBNb4bP40meeyw%3D%3D&amp;position=20&amp;pageNum=0&amp;trk=public_jobs_jserp-result_search-card", "Job Link")</f>
        <v>Job Link</v>
      </c>
      <c r="H2419" t="s">
        <v>478</v>
      </c>
      <c r="I2419" t="s">
        <v>483</v>
      </c>
      <c r="J2419" t="s">
        <v>486</v>
      </c>
      <c r="K2419" t="s">
        <v>518</v>
      </c>
      <c r="L2419" t="s">
        <v>584</v>
      </c>
      <c r="M2419" t="s">
        <v>588</v>
      </c>
      <c r="N2419" t="s">
        <v>601</v>
      </c>
    </row>
    <row r="2420" spans="1:14" x14ac:dyDescent="0.25">
      <c r="A2420" t="s">
        <v>89</v>
      </c>
      <c r="B2420" t="s">
        <v>221</v>
      </c>
      <c r="C2420" t="s">
        <v>381</v>
      </c>
      <c r="D2420" t="s">
        <v>426</v>
      </c>
      <c r="F2420" t="s">
        <v>461</v>
      </c>
      <c r="G2420">
        <v>0</v>
      </c>
      <c r="H2420" t="s">
        <v>476</v>
      </c>
      <c r="I2420" t="s">
        <v>481</v>
      </c>
      <c r="J2420" t="s">
        <v>488</v>
      </c>
      <c r="K2420" t="s">
        <v>566</v>
      </c>
      <c r="L2420" t="s">
        <v>582</v>
      </c>
      <c r="M2420" t="s">
        <v>588</v>
      </c>
      <c r="N2420" t="s">
        <v>601</v>
      </c>
    </row>
    <row r="2421" spans="1:14" x14ac:dyDescent="0.25">
      <c r="A2421" t="s">
        <v>14</v>
      </c>
      <c r="B2421" t="s">
        <v>222</v>
      </c>
      <c r="C2421" t="s">
        <v>382</v>
      </c>
      <c r="D2421" t="s">
        <v>426</v>
      </c>
      <c r="F2421" t="s">
        <v>431</v>
      </c>
      <c r="G2421" t="str">
        <f>HYPERLINK("https://ca.linkedin.com/jobs/view/data-analyst-at-circle-k-3367192655?refId=p8zgW5F2sNZiI5woQRiRcg%3D%3D&amp;trackingId=eG%2FVrXs5GhT6fi9XE0ameQ%3D%3D&amp;position=22&amp;pageNum=0&amp;trk=public_jobs_jserp-result_search-card", "Job Link")</f>
        <v>Job Link</v>
      </c>
      <c r="H2421" t="s">
        <v>476</v>
      </c>
      <c r="I2421" t="s">
        <v>481</v>
      </c>
      <c r="J2421" t="s">
        <v>486</v>
      </c>
      <c r="K2421" t="s">
        <v>567</v>
      </c>
      <c r="L2421" t="s">
        <v>582</v>
      </c>
      <c r="M2421" t="s">
        <v>588</v>
      </c>
      <c r="N2421" t="s">
        <v>601</v>
      </c>
    </row>
    <row r="2422" spans="1:14" x14ac:dyDescent="0.25">
      <c r="A2422" t="s">
        <v>90</v>
      </c>
      <c r="B2422" t="s">
        <v>223</v>
      </c>
      <c r="C2422" t="s">
        <v>383</v>
      </c>
      <c r="D2422" t="s">
        <v>426</v>
      </c>
      <c r="F2422" t="s">
        <v>443</v>
      </c>
      <c r="G2422" t="str">
        <f>HYPERLINK("https://ca.linkedin.com/jobs/view/data-administrator-data-analyst-at-hays-3369576413?refId=p8zgW5F2sNZiI5woQRiRcg%3D%3D&amp;trackingId=pKT5E74trkXABSOPbentww%3D%3D&amp;position=23&amp;pageNum=0&amp;trk=public_jobs_jserp-result_search-card", "Job Link")</f>
        <v>Job Link</v>
      </c>
      <c r="H2422" t="s">
        <v>478</v>
      </c>
      <c r="I2422" t="s">
        <v>481</v>
      </c>
      <c r="J2422" t="s">
        <v>486</v>
      </c>
      <c r="K2422" t="s">
        <v>518</v>
      </c>
      <c r="L2422" t="s">
        <v>583</v>
      </c>
      <c r="M2422" t="s">
        <v>610</v>
      </c>
      <c r="N2422" t="s">
        <v>601</v>
      </c>
    </row>
    <row r="2423" spans="1:14" x14ac:dyDescent="0.25">
      <c r="A2423" t="s">
        <v>91</v>
      </c>
      <c r="B2423" t="s">
        <v>224</v>
      </c>
      <c r="C2423" t="s">
        <v>384</v>
      </c>
      <c r="D2423" t="s">
        <v>426</v>
      </c>
      <c r="F2423" t="s">
        <v>431</v>
      </c>
      <c r="G2423" t="str">
        <f>HYPERLINK("https://ca.linkedin.com/jobs/view/commercial-data-analyst-at-organigram-inc-3367177254?refId=p8zgW5F2sNZiI5woQRiRcg%3D%3D&amp;trackingId=8HBvq6s0SO%2FIKbF3n%2BdYcA%3D%3D&amp;position=24&amp;pageNum=0&amp;trk=public_jobs_jserp-result_search-card", "Job Link")</f>
        <v>Job Link</v>
      </c>
      <c r="I2423" t="s">
        <v>481</v>
      </c>
      <c r="L2423" t="s">
        <v>582</v>
      </c>
      <c r="M2423" t="s">
        <v>588</v>
      </c>
      <c r="N2423" t="s">
        <v>601</v>
      </c>
    </row>
    <row r="2424" spans="1:14" x14ac:dyDescent="0.25">
      <c r="A2424" t="s">
        <v>14</v>
      </c>
      <c r="B2424" t="s">
        <v>225</v>
      </c>
      <c r="C2424" t="s">
        <v>385</v>
      </c>
      <c r="D2424" t="s">
        <v>426</v>
      </c>
      <c r="F2424" t="s">
        <v>463</v>
      </c>
      <c r="G2424" t="str">
        <f>HYPERLINK("https://ca.linkedin.com/jobs/view/data-analyst-at-vector-institute-3325395506?refId=p8zgW5F2sNZiI5woQRiRcg%3D%3D&amp;trackingId=gsYdp6uPgjNbFGlqNZ%2FHaw%3D%3D&amp;position=25&amp;pageNum=0&amp;trk=public_jobs_jserp-result_search-card", "Job Link")</f>
        <v>Job Link</v>
      </c>
      <c r="H2424" t="s">
        <v>478</v>
      </c>
      <c r="I2424" t="s">
        <v>481</v>
      </c>
      <c r="J2424" t="s">
        <v>486</v>
      </c>
      <c r="K2424" t="s">
        <v>520</v>
      </c>
      <c r="L2424" t="s">
        <v>582</v>
      </c>
      <c r="M2424" t="s">
        <v>588</v>
      </c>
      <c r="N2424" t="s">
        <v>601</v>
      </c>
    </row>
    <row r="2425" spans="1:14" x14ac:dyDescent="0.25">
      <c r="A2425" t="s">
        <v>14</v>
      </c>
      <c r="B2425" t="s">
        <v>207</v>
      </c>
      <c r="C2425" t="s">
        <v>362</v>
      </c>
      <c r="D2425" t="s">
        <v>426</v>
      </c>
      <c r="F2425" t="s">
        <v>463</v>
      </c>
      <c r="G2425" t="str">
        <f>HYPERLINK("https://ca.linkedin.com/jobs/view/data-analyst-at-onlia-3320897897?refId=KyBuu5tDuCW%2FyrZlWOj32g%3D%3D&amp;trackingId=amYVOV0pBgFWVEtNAmGW0g%3D%3D&amp;position=1&amp;pageNum=0&amp;trk=public_jobs_jserp-result_search-card", "Job Link")</f>
        <v>Job Link</v>
      </c>
      <c r="H2425" t="s">
        <v>477</v>
      </c>
      <c r="I2425" t="s">
        <v>481</v>
      </c>
      <c r="J2425" t="s">
        <v>486</v>
      </c>
      <c r="K2425" t="s">
        <v>523</v>
      </c>
      <c r="L2425" t="s">
        <v>582</v>
      </c>
      <c r="M2425" t="s">
        <v>588</v>
      </c>
      <c r="N2425" t="s">
        <v>601</v>
      </c>
    </row>
    <row r="2426" spans="1:14" x14ac:dyDescent="0.25">
      <c r="A2426" t="s">
        <v>14</v>
      </c>
      <c r="B2426" t="s">
        <v>208</v>
      </c>
      <c r="C2426" t="s">
        <v>363</v>
      </c>
      <c r="D2426" t="s">
        <v>426</v>
      </c>
      <c r="F2426" t="s">
        <v>445</v>
      </c>
      <c r="G2426" t="str">
        <f>HYPERLINK("https://ca.linkedin.com/jobs/view/data-analyst-at-electronic-arts-ea-3325611825?refId=KyBuu5tDuCW%2FyrZlWOj32g%3D%3D&amp;trackingId=4mjCRQBu0PTPguj5D4LXzA%3D%3D&amp;position=2&amp;pageNum=0&amp;trk=public_jobs_jserp-result_search-card", "Job Link")</f>
        <v>Job Link</v>
      </c>
      <c r="H2426" t="s">
        <v>479</v>
      </c>
      <c r="I2426" t="s">
        <v>481</v>
      </c>
      <c r="J2426" t="s">
        <v>507</v>
      </c>
      <c r="K2426" t="s">
        <v>559</v>
      </c>
      <c r="L2426" t="s">
        <v>582</v>
      </c>
      <c r="M2426" t="s">
        <v>588</v>
      </c>
      <c r="N2426" t="s">
        <v>601</v>
      </c>
    </row>
    <row r="2427" spans="1:14" x14ac:dyDescent="0.25">
      <c r="A2427" t="s">
        <v>14</v>
      </c>
      <c r="B2427" t="s">
        <v>209</v>
      </c>
      <c r="C2427" t="s">
        <v>364</v>
      </c>
      <c r="D2427" t="s">
        <v>426</v>
      </c>
      <c r="F2427" t="s">
        <v>440</v>
      </c>
      <c r="G2427" t="str">
        <f>HYPERLINK("https://ca.linkedin.com/jobs/view/data-analyst-at-frostbite-3370111856?refId=KyBuu5tDuCW%2FyrZlWOj32g%3D%3D&amp;trackingId=vx4HyryxOYkGMl%2F2%2BlRozw%3D%3D&amp;position=3&amp;pageNum=0&amp;trk=public_jobs_jserp-result_search-card", "Job Link")</f>
        <v>Job Link</v>
      </c>
      <c r="H2427" t="s">
        <v>479</v>
      </c>
      <c r="I2427" t="s">
        <v>481</v>
      </c>
      <c r="J2427" t="s">
        <v>507</v>
      </c>
      <c r="K2427" t="s">
        <v>559</v>
      </c>
      <c r="L2427" t="s">
        <v>590</v>
      </c>
      <c r="M2427" t="s">
        <v>618</v>
      </c>
      <c r="N2427" t="s">
        <v>601</v>
      </c>
    </row>
    <row r="2428" spans="1:14" x14ac:dyDescent="0.25">
      <c r="A2428" t="s">
        <v>14</v>
      </c>
      <c r="B2428" t="s">
        <v>211</v>
      </c>
      <c r="C2428" t="s">
        <v>366</v>
      </c>
      <c r="D2428" t="s">
        <v>426</v>
      </c>
      <c r="F2428" t="s">
        <v>443</v>
      </c>
      <c r="G2428" t="str">
        <f>HYPERLINK("https://ca.linkedin.com/jobs/view/data-analyst-at-mphasis-3363428246?refId=KyBuu5tDuCW%2FyrZlWOj32g%3D%3D&amp;trackingId=oqmLMW%2Bl6z7n0Ye5rIjLlw%3D%3D&amp;position=4&amp;pageNum=0&amp;trk=public_jobs_jserp-result_search-card", "Job Link")</f>
        <v>Job Link</v>
      </c>
      <c r="H2428" t="s">
        <v>477</v>
      </c>
      <c r="I2428" t="s">
        <v>481</v>
      </c>
      <c r="J2428" t="s">
        <v>486</v>
      </c>
      <c r="K2428" t="s">
        <v>521</v>
      </c>
      <c r="L2428" t="s">
        <v>609</v>
      </c>
      <c r="M2428" t="s">
        <v>610</v>
      </c>
      <c r="N2428" t="s">
        <v>601</v>
      </c>
    </row>
    <row r="2429" spans="1:14" x14ac:dyDescent="0.25">
      <c r="A2429" t="s">
        <v>81</v>
      </c>
      <c r="B2429" t="s">
        <v>210</v>
      </c>
      <c r="C2429" t="s">
        <v>365</v>
      </c>
      <c r="D2429" t="s">
        <v>426</v>
      </c>
      <c r="F2429" t="s">
        <v>436</v>
      </c>
      <c r="G2429" t="str">
        <f>HYPERLINK("https://ca.linkedin.com/jobs/view/data-analyst-c117-at-mitsubishi-motor-sales-of-canada-inc-3344852931?refId=KyBuu5tDuCW%2FyrZlWOj32g%3D%3D&amp;trackingId=osPE72M7xrBXHSlNzttvtA%3D%3D&amp;position=5&amp;pageNum=0&amp;trk=public_jobs_jserp-result_search-card", "Job Link")</f>
        <v>Job Link</v>
      </c>
      <c r="H2429" t="s">
        <v>477</v>
      </c>
      <c r="I2429" t="s">
        <v>481</v>
      </c>
      <c r="J2429" t="s">
        <v>508</v>
      </c>
      <c r="K2429" t="s">
        <v>561</v>
      </c>
      <c r="L2429" t="s">
        <v>584</v>
      </c>
      <c r="M2429" t="s">
        <v>588</v>
      </c>
      <c r="N2429" t="s">
        <v>601</v>
      </c>
    </row>
    <row r="2430" spans="1:14" x14ac:dyDescent="0.25">
      <c r="A2430" t="s">
        <v>14</v>
      </c>
      <c r="B2430" t="s">
        <v>150</v>
      </c>
      <c r="C2430" t="s">
        <v>367</v>
      </c>
      <c r="D2430" t="s">
        <v>426</v>
      </c>
      <c r="F2430" t="s">
        <v>433</v>
      </c>
      <c r="G2430" t="str">
        <f>HYPERLINK("https://ca.linkedin.com/jobs/view/data-analyst-at-synechron-3348329085?refId=KyBuu5tDuCW%2FyrZlWOj32g%3D%3D&amp;trackingId=jJZcPJoqupfwRZJm6XmFCQ%3D%3D&amp;position=6&amp;pageNum=0&amp;trk=public_jobs_jserp-result_search-card", "Job Link")</f>
        <v>Job Link</v>
      </c>
      <c r="H2430" t="s">
        <v>478</v>
      </c>
      <c r="I2430" t="s">
        <v>481</v>
      </c>
      <c r="J2430" t="s">
        <v>486</v>
      </c>
      <c r="K2430" t="s">
        <v>562</v>
      </c>
      <c r="L2430" t="s">
        <v>584</v>
      </c>
      <c r="M2430" t="s">
        <v>588</v>
      </c>
      <c r="N2430" t="s">
        <v>601</v>
      </c>
    </row>
    <row r="2431" spans="1:14" x14ac:dyDescent="0.25">
      <c r="A2431" t="s">
        <v>82</v>
      </c>
      <c r="B2431" t="s">
        <v>179</v>
      </c>
      <c r="C2431" t="s">
        <v>368</v>
      </c>
      <c r="D2431" t="s">
        <v>426</v>
      </c>
      <c r="F2431" t="s">
        <v>471</v>
      </c>
      <c r="G2431" t="str">
        <f>HYPERLINK("https://ca.linkedin.com/jobs/view/business-data-analyst-at-capgemini-3327624663?refId=KyBuu5tDuCW%2FyrZlWOj32g%3D%3D&amp;trackingId=JyMse72%2Bz2QxwYJEjU6x3g%3D%3D&amp;position=7&amp;pageNum=0&amp;trk=public_jobs_jserp-result_search-card", "Job Link")</f>
        <v>Job Link</v>
      </c>
      <c r="H2431" t="s">
        <v>478</v>
      </c>
      <c r="I2431" t="s">
        <v>481</v>
      </c>
      <c r="J2431" t="s">
        <v>486</v>
      </c>
      <c r="K2431" t="s">
        <v>521</v>
      </c>
      <c r="L2431" t="s">
        <v>611</v>
      </c>
      <c r="M2431" t="s">
        <v>601</v>
      </c>
    </row>
    <row r="2432" spans="1:14" x14ac:dyDescent="0.25">
      <c r="A2432" t="s">
        <v>14</v>
      </c>
      <c r="B2432" t="s">
        <v>212</v>
      </c>
      <c r="C2432" t="s">
        <v>370</v>
      </c>
      <c r="D2432" t="s">
        <v>426</v>
      </c>
      <c r="F2432" t="s">
        <v>432</v>
      </c>
      <c r="G2432" t="str">
        <f>HYPERLINK("https://ca.linkedin.com/jobs/view/data-analyst-at-agilus-work-solutions-3358673093?refId=KyBuu5tDuCW%2FyrZlWOj32g%3D%3D&amp;trackingId=dTz9ApO9IhWl0G7DQ%2BoIjg%3D%3D&amp;position=8&amp;pageNum=0&amp;trk=public_jobs_jserp-result_search-card", "Job Link")</f>
        <v>Job Link</v>
      </c>
      <c r="H2432" t="s">
        <v>477</v>
      </c>
      <c r="I2432" t="s">
        <v>483</v>
      </c>
      <c r="J2432" t="s">
        <v>486</v>
      </c>
      <c r="K2432" t="s">
        <v>518</v>
      </c>
      <c r="L2432" t="s">
        <v>582</v>
      </c>
      <c r="M2432" t="s">
        <v>588</v>
      </c>
      <c r="N2432" t="s">
        <v>601</v>
      </c>
    </row>
    <row r="2433" spans="1:14" x14ac:dyDescent="0.25">
      <c r="A2433" t="s">
        <v>14</v>
      </c>
      <c r="B2433" t="s">
        <v>150</v>
      </c>
      <c r="C2433" t="s">
        <v>369</v>
      </c>
      <c r="D2433" t="s">
        <v>426</v>
      </c>
      <c r="F2433" t="s">
        <v>460</v>
      </c>
      <c r="G2433" t="str">
        <f>HYPERLINK("https://ca.linkedin.com/jobs/view/data-analyst-at-synechron-3364863079?refId=KyBuu5tDuCW%2FyrZlWOj32g%3D%3D&amp;trackingId=Vc9LksyVIJy3TWvFjnVVUw%3D%3D&amp;position=9&amp;pageNum=0&amp;trk=public_jobs_jserp-result_search-card", "Job Link")</f>
        <v>Job Link</v>
      </c>
      <c r="H2433" t="s">
        <v>478</v>
      </c>
      <c r="I2433" t="s">
        <v>481</v>
      </c>
      <c r="J2433" t="s">
        <v>486</v>
      </c>
      <c r="K2433" t="s">
        <v>563</v>
      </c>
      <c r="L2433" t="s">
        <v>584</v>
      </c>
      <c r="M2433" t="s">
        <v>588</v>
      </c>
      <c r="N2433" t="s">
        <v>601</v>
      </c>
    </row>
    <row r="2434" spans="1:14" x14ac:dyDescent="0.25">
      <c r="A2434" t="s">
        <v>14</v>
      </c>
      <c r="B2434" t="s">
        <v>150</v>
      </c>
      <c r="C2434" t="s">
        <v>367</v>
      </c>
      <c r="D2434" t="s">
        <v>426</v>
      </c>
      <c r="F2434" t="s">
        <v>460</v>
      </c>
      <c r="G2434" t="str">
        <f>HYPERLINK("https://ca.linkedin.com/jobs/view/data-analyst-at-synechron-3361756851?refId=KyBuu5tDuCW%2FyrZlWOj32g%3D%3D&amp;trackingId=KnpEihjhwX7Ww1xBAaFSPA%3D%3D&amp;position=10&amp;pageNum=0&amp;trk=public_jobs_jserp-result_search-card", "Job Link")</f>
        <v>Job Link</v>
      </c>
      <c r="H2434" t="s">
        <v>478</v>
      </c>
      <c r="I2434" t="s">
        <v>481</v>
      </c>
      <c r="J2434" t="s">
        <v>486</v>
      </c>
      <c r="K2434" t="s">
        <v>562</v>
      </c>
      <c r="L2434" t="s">
        <v>584</v>
      </c>
      <c r="M2434" t="s">
        <v>588</v>
      </c>
      <c r="N2434" t="s">
        <v>601</v>
      </c>
    </row>
    <row r="2435" spans="1:14" x14ac:dyDescent="0.25">
      <c r="A2435" t="s">
        <v>14</v>
      </c>
      <c r="B2435" t="s">
        <v>213</v>
      </c>
      <c r="C2435" t="s">
        <v>371</v>
      </c>
      <c r="D2435" t="s">
        <v>426</v>
      </c>
      <c r="F2435" t="s">
        <v>472</v>
      </c>
      <c r="G2435" t="str">
        <f>HYPERLINK("https://ca.linkedin.com/jobs/view/data-analyst-at-linkus-group-3345817125?refId=KyBuu5tDuCW%2FyrZlWOj32g%3D%3D&amp;trackingId=hWylE7DzPRZg6XOkU%2FyBGg%3D%3D&amp;position=11&amp;pageNum=0&amp;trk=public_jobs_jserp-result_search-card", "Job Link")</f>
        <v>Job Link</v>
      </c>
      <c r="H2435" t="s">
        <v>476</v>
      </c>
      <c r="I2435" t="s">
        <v>481</v>
      </c>
      <c r="J2435" t="s">
        <v>486</v>
      </c>
      <c r="K2435" t="s">
        <v>518</v>
      </c>
      <c r="L2435" t="s">
        <v>588</v>
      </c>
      <c r="M2435" t="s">
        <v>601</v>
      </c>
    </row>
    <row r="2436" spans="1:14" x14ac:dyDescent="0.25">
      <c r="A2436" t="s">
        <v>14</v>
      </c>
      <c r="B2436" t="s">
        <v>214</v>
      </c>
      <c r="C2436" t="s">
        <v>372</v>
      </c>
      <c r="D2436" t="s">
        <v>426</v>
      </c>
      <c r="F2436" t="s">
        <v>432</v>
      </c>
      <c r="G2436" t="str">
        <f>HYPERLINK("https://ca.linkedin.com/jobs/view/data-analyst-at-goeasy-ltd-3358677253?refId=KyBuu5tDuCW%2FyrZlWOj32g%3D%3D&amp;trackingId=yGbi2ryKryOn4wJWWJdvOg%3D%3D&amp;position=12&amp;pageNum=0&amp;trk=public_jobs_jserp-result_search-card", "Job Link")</f>
        <v>Job Link</v>
      </c>
      <c r="H2436" t="s">
        <v>476</v>
      </c>
      <c r="I2436" t="s">
        <v>481</v>
      </c>
      <c r="J2436" t="s">
        <v>486</v>
      </c>
      <c r="K2436" t="s">
        <v>550</v>
      </c>
      <c r="L2436" t="s">
        <v>584</v>
      </c>
      <c r="M2436" t="s">
        <v>588</v>
      </c>
      <c r="N2436" t="s">
        <v>601</v>
      </c>
    </row>
    <row r="2437" spans="1:14" x14ac:dyDescent="0.25">
      <c r="A2437" t="s">
        <v>83</v>
      </c>
      <c r="B2437" t="s">
        <v>215</v>
      </c>
      <c r="C2437" t="s">
        <v>373</v>
      </c>
      <c r="D2437" t="s">
        <v>426</v>
      </c>
      <c r="F2437" t="s">
        <v>462</v>
      </c>
      <c r="G2437">
        <v>0</v>
      </c>
      <c r="H2437" t="s">
        <v>478</v>
      </c>
      <c r="I2437" t="s">
        <v>483</v>
      </c>
      <c r="J2437" t="s">
        <v>509</v>
      </c>
      <c r="K2437" t="s">
        <v>550</v>
      </c>
      <c r="L2437" t="s">
        <v>584</v>
      </c>
      <c r="M2437" t="s">
        <v>588</v>
      </c>
      <c r="N2437" t="s">
        <v>601</v>
      </c>
    </row>
    <row r="2438" spans="1:14" x14ac:dyDescent="0.25">
      <c r="A2438" t="s">
        <v>91</v>
      </c>
      <c r="B2438" t="s">
        <v>224</v>
      </c>
      <c r="C2438" t="s">
        <v>384</v>
      </c>
      <c r="D2438" t="s">
        <v>426</v>
      </c>
      <c r="F2438" t="s">
        <v>431</v>
      </c>
      <c r="G2438" t="str">
        <f>HYPERLINK("https://ca.linkedin.com/jobs/view/commercial-data-analyst-at-organigram-inc-3367177254?refId=KyBuu5tDuCW%2FyrZlWOj32g%3D%3D&amp;trackingId=hH6iogQ87%2BB6nhhZMCzK%2BA%3D%3D&amp;position=14&amp;pageNum=0&amp;trk=public_jobs_jserp-result_search-card", "Job Link")</f>
        <v>Job Link</v>
      </c>
      <c r="I2438" t="s">
        <v>481</v>
      </c>
      <c r="L2438" t="s">
        <v>582</v>
      </c>
      <c r="M2438" t="s">
        <v>588</v>
      </c>
      <c r="N2438" t="s">
        <v>601</v>
      </c>
    </row>
    <row r="2439" spans="1:14" x14ac:dyDescent="0.25">
      <c r="A2439" t="s">
        <v>20</v>
      </c>
      <c r="B2439" t="s">
        <v>207</v>
      </c>
      <c r="C2439" t="s">
        <v>374</v>
      </c>
      <c r="D2439" t="s">
        <v>426</v>
      </c>
      <c r="F2439" t="s">
        <v>463</v>
      </c>
      <c r="G2439" t="str">
        <f>HYPERLINK("https://ca.linkedin.com/jobs/view/senior-data-analyst-at-onlia-3320897882?refId=KyBuu5tDuCW%2FyrZlWOj32g%3D%3D&amp;trackingId=ad%2BKDUIdhqAjIxMHTXQuxg%3D%3D&amp;position=15&amp;pageNum=0&amp;trk=public_jobs_jserp-result_search-card", "Job Link")</f>
        <v>Job Link</v>
      </c>
      <c r="H2439" t="s">
        <v>477</v>
      </c>
      <c r="I2439" t="s">
        <v>481</v>
      </c>
      <c r="J2439" t="s">
        <v>486</v>
      </c>
      <c r="K2439" t="s">
        <v>523</v>
      </c>
      <c r="L2439" t="s">
        <v>582</v>
      </c>
      <c r="M2439" t="s">
        <v>588</v>
      </c>
      <c r="N2439" t="s">
        <v>601</v>
      </c>
    </row>
    <row r="2440" spans="1:14" x14ac:dyDescent="0.25">
      <c r="A2440" t="s">
        <v>84</v>
      </c>
      <c r="B2440" t="s">
        <v>216</v>
      </c>
      <c r="C2440" t="s">
        <v>375</v>
      </c>
      <c r="D2440" t="s">
        <v>426</v>
      </c>
      <c r="F2440" t="s">
        <v>452</v>
      </c>
      <c r="G2440" t="str">
        <f>HYPERLINK("https://ca.linkedin.com/jobs/view/data-analyst-hybrid-at-xylem-3335088701?refId=KyBuu5tDuCW%2FyrZlWOj32g%3D%3D&amp;trackingId=iY%2FagmJsYCW3dDqbLMy7lQ%3D%3D&amp;position=16&amp;pageNum=0&amp;trk=public_jobs_jserp-result_search-card", "Job Link")</f>
        <v>Job Link</v>
      </c>
      <c r="H2440" t="s">
        <v>476</v>
      </c>
      <c r="I2440" t="s">
        <v>481</v>
      </c>
      <c r="J2440" t="s">
        <v>486</v>
      </c>
      <c r="K2440" t="s">
        <v>564</v>
      </c>
      <c r="L2440" t="s">
        <v>584</v>
      </c>
      <c r="M2440" t="s">
        <v>588</v>
      </c>
      <c r="N2440" t="s">
        <v>601</v>
      </c>
    </row>
    <row r="2441" spans="1:14" x14ac:dyDescent="0.25">
      <c r="A2441" t="s">
        <v>85</v>
      </c>
      <c r="B2441" t="s">
        <v>217</v>
      </c>
      <c r="C2441" t="s">
        <v>376</v>
      </c>
      <c r="D2441" t="s">
        <v>426</v>
      </c>
      <c r="F2441" t="s">
        <v>473</v>
      </c>
      <c r="G2441" t="str">
        <f>HYPERLINK("https://ca.linkedin.com/jobs/view/data-analyst-python-sql-at-geotab-3341823745?refId=KyBuu5tDuCW%2FyrZlWOj32g%3D%3D&amp;trackingId=Oy2DXvWzd%2Bl7cMP8P9E6Ww%3D%3D&amp;position=17&amp;pageNum=0&amp;trk=public_jobs_jserp-result_search-card", "Job Link")</f>
        <v>Job Link</v>
      </c>
      <c r="H2441" t="s">
        <v>479</v>
      </c>
      <c r="I2441" t="s">
        <v>481</v>
      </c>
      <c r="J2441" t="s">
        <v>486</v>
      </c>
      <c r="K2441" t="s">
        <v>521</v>
      </c>
      <c r="L2441" t="s">
        <v>612</v>
      </c>
      <c r="M2441" t="s">
        <v>588</v>
      </c>
      <c r="N2441" t="s">
        <v>601</v>
      </c>
    </row>
    <row r="2442" spans="1:14" x14ac:dyDescent="0.25">
      <c r="A2442" t="s">
        <v>86</v>
      </c>
      <c r="B2442" t="s">
        <v>167</v>
      </c>
      <c r="C2442" t="s">
        <v>377</v>
      </c>
      <c r="D2442" t="s">
        <v>426</v>
      </c>
      <c r="F2442" t="s">
        <v>454</v>
      </c>
      <c r="G2442" t="str">
        <f>HYPERLINK("https://ca.linkedin.com/jobs/view/data-analyst-reporting-at-thescore-3345941286?refId=KyBuu5tDuCW%2FyrZlWOj32g%3D%3D&amp;trackingId=f%2BsHj9HVOQzciOvucalA8g%3D%3D&amp;position=18&amp;pageNum=0&amp;trk=public_jobs_jserp-result_search-card", "Job Link")</f>
        <v>Job Link</v>
      </c>
      <c r="H2442" t="s">
        <v>476</v>
      </c>
      <c r="I2442" t="s">
        <v>481</v>
      </c>
      <c r="J2442" t="s">
        <v>486</v>
      </c>
      <c r="K2442" t="s">
        <v>545</v>
      </c>
      <c r="L2442" t="s">
        <v>582</v>
      </c>
      <c r="M2442" t="s">
        <v>588</v>
      </c>
      <c r="N2442" t="s">
        <v>601</v>
      </c>
    </row>
    <row r="2443" spans="1:14" x14ac:dyDescent="0.25">
      <c r="A2443" t="s">
        <v>87</v>
      </c>
      <c r="B2443" t="s">
        <v>218</v>
      </c>
      <c r="C2443" t="s">
        <v>378</v>
      </c>
      <c r="D2443" t="s">
        <v>426</v>
      </c>
      <c r="F2443" t="s">
        <v>432</v>
      </c>
      <c r="G2443">
        <v>0</v>
      </c>
      <c r="H2443" t="s">
        <v>478</v>
      </c>
      <c r="I2443" t="s">
        <v>483</v>
      </c>
      <c r="J2443" t="s">
        <v>486</v>
      </c>
      <c r="K2443" t="s">
        <v>521</v>
      </c>
      <c r="L2443" t="s">
        <v>582</v>
      </c>
      <c r="M2443" t="s">
        <v>588</v>
      </c>
      <c r="N2443" t="s">
        <v>601</v>
      </c>
    </row>
    <row r="2444" spans="1:14" x14ac:dyDescent="0.25">
      <c r="A2444" t="s">
        <v>90</v>
      </c>
      <c r="B2444" t="s">
        <v>223</v>
      </c>
      <c r="C2444" t="s">
        <v>383</v>
      </c>
      <c r="D2444" t="s">
        <v>426</v>
      </c>
      <c r="F2444" t="s">
        <v>443</v>
      </c>
      <c r="G2444" t="str">
        <f>HYPERLINK("https://ca.linkedin.com/jobs/view/data-administrator-data-analyst-at-hays-3369576413?refId=KyBuu5tDuCW%2FyrZlWOj32g%3D%3D&amp;trackingId=9WTZm55cxkg5PBtyUCna8Q%3D%3D&amp;position=20&amp;pageNum=0&amp;trk=public_jobs_jserp-result_search-card", "Job Link")</f>
        <v>Job Link</v>
      </c>
      <c r="H2444" t="s">
        <v>478</v>
      </c>
      <c r="I2444" t="s">
        <v>481</v>
      </c>
      <c r="J2444" t="s">
        <v>486</v>
      </c>
      <c r="K2444" t="s">
        <v>518</v>
      </c>
      <c r="L2444" t="s">
        <v>583</v>
      </c>
      <c r="M2444" t="s">
        <v>610</v>
      </c>
      <c r="N2444" t="s">
        <v>601</v>
      </c>
    </row>
    <row r="2445" spans="1:14" x14ac:dyDescent="0.25">
      <c r="A2445" t="s">
        <v>88</v>
      </c>
      <c r="B2445" t="s">
        <v>219</v>
      </c>
      <c r="C2445" t="s">
        <v>379</v>
      </c>
      <c r="D2445" t="s">
        <v>426</v>
      </c>
      <c r="F2445" t="s">
        <v>454</v>
      </c>
      <c r="G2445" t="str">
        <f>HYPERLINK("https://ca.linkedin.com/jobs/view/data-analyst-flight-pricing-optimization-at-priceline-3345993633?refId=KyBuu5tDuCW%2FyrZlWOj32g%3D%3D&amp;trackingId=qILqFNNcGgNPuwreZ4sXkQ%3D%3D&amp;position=21&amp;pageNum=0&amp;trk=public_jobs_jserp-result_search-card", "Job Link")</f>
        <v>Job Link</v>
      </c>
      <c r="H2445" t="s">
        <v>476</v>
      </c>
      <c r="I2445" t="s">
        <v>481</v>
      </c>
      <c r="J2445" t="s">
        <v>486</v>
      </c>
      <c r="K2445" t="s">
        <v>565</v>
      </c>
      <c r="L2445" t="s">
        <v>582</v>
      </c>
      <c r="M2445" t="s">
        <v>588</v>
      </c>
      <c r="N2445" t="s">
        <v>601</v>
      </c>
    </row>
    <row r="2446" spans="1:14" x14ac:dyDescent="0.25">
      <c r="A2446" t="s">
        <v>27</v>
      </c>
      <c r="B2446" t="s">
        <v>220</v>
      </c>
      <c r="C2446" t="s">
        <v>380</v>
      </c>
      <c r="D2446" t="s">
        <v>426</v>
      </c>
      <c r="F2446" t="s">
        <v>434</v>
      </c>
      <c r="G2446" t="str">
        <f>HYPERLINK("https://ca.linkedin.com/jobs/view/sr-data-analyst-at-randstad-canada-3354999789?refId=KyBuu5tDuCW%2FyrZlWOj32g%3D%3D&amp;trackingId=tCq00FV5rEIB1oFZqBlXwg%3D%3D&amp;position=22&amp;pageNum=0&amp;trk=public_jobs_jserp-result_search-card", "Job Link")</f>
        <v>Job Link</v>
      </c>
      <c r="H2446" t="s">
        <v>478</v>
      </c>
      <c r="I2446" t="s">
        <v>483</v>
      </c>
      <c r="J2446" t="s">
        <v>486</v>
      </c>
      <c r="K2446" t="s">
        <v>518</v>
      </c>
      <c r="L2446" t="s">
        <v>584</v>
      </c>
      <c r="M2446" t="s">
        <v>588</v>
      </c>
      <c r="N2446" t="s">
        <v>601</v>
      </c>
    </row>
    <row r="2447" spans="1:14" x14ac:dyDescent="0.25">
      <c r="A2447" t="s">
        <v>89</v>
      </c>
      <c r="B2447" t="s">
        <v>221</v>
      </c>
      <c r="C2447" t="s">
        <v>381</v>
      </c>
      <c r="D2447" t="s">
        <v>426</v>
      </c>
      <c r="F2447" t="s">
        <v>461</v>
      </c>
      <c r="G2447">
        <v>0</v>
      </c>
      <c r="H2447" t="s">
        <v>476</v>
      </c>
      <c r="I2447" t="s">
        <v>481</v>
      </c>
      <c r="J2447" t="s">
        <v>488</v>
      </c>
      <c r="K2447" t="s">
        <v>566</v>
      </c>
      <c r="L2447" t="s">
        <v>582</v>
      </c>
      <c r="M2447" t="s">
        <v>588</v>
      </c>
      <c r="N2447" t="s">
        <v>601</v>
      </c>
    </row>
    <row r="2448" spans="1:14" x14ac:dyDescent="0.25">
      <c r="A2448" t="s">
        <v>14</v>
      </c>
      <c r="B2448" t="s">
        <v>222</v>
      </c>
      <c r="C2448" t="s">
        <v>382</v>
      </c>
      <c r="D2448" t="s">
        <v>426</v>
      </c>
      <c r="F2448" t="s">
        <v>431</v>
      </c>
      <c r="G2448" t="str">
        <f>HYPERLINK("https://ca.linkedin.com/jobs/view/data-analyst-at-circle-k-3367192655?refId=KyBuu5tDuCW%2FyrZlWOj32g%3D%3D&amp;trackingId=xv10ClVCQ6p8QCkUNAYYgg%3D%3D&amp;position=24&amp;pageNum=0&amp;trk=public_jobs_jserp-result_search-card", "Job Link")</f>
        <v>Job Link</v>
      </c>
      <c r="H2448" t="s">
        <v>476</v>
      </c>
      <c r="I2448" t="s">
        <v>481</v>
      </c>
      <c r="J2448" t="s">
        <v>486</v>
      </c>
      <c r="K2448" t="s">
        <v>567</v>
      </c>
      <c r="L2448" t="s">
        <v>582</v>
      </c>
      <c r="M2448" t="s">
        <v>588</v>
      </c>
      <c r="N2448" t="s">
        <v>601</v>
      </c>
    </row>
    <row r="2449" spans="1:14" x14ac:dyDescent="0.25">
      <c r="A2449" t="s">
        <v>14</v>
      </c>
      <c r="B2449" t="s">
        <v>225</v>
      </c>
      <c r="C2449" t="s">
        <v>385</v>
      </c>
      <c r="D2449" t="s">
        <v>426</v>
      </c>
      <c r="F2449" t="s">
        <v>463</v>
      </c>
      <c r="G2449" t="str">
        <f>HYPERLINK("https://ca.linkedin.com/jobs/view/data-analyst-at-vector-institute-3325395506?refId=KyBuu5tDuCW%2FyrZlWOj32g%3D%3D&amp;trackingId=XSdyCDTMUq9uZ%2BX5XhlyYg%3D%3D&amp;position=25&amp;pageNum=0&amp;trk=public_jobs_jserp-result_search-card", "Job Link")</f>
        <v>Job Link</v>
      </c>
      <c r="H2449" t="s">
        <v>478</v>
      </c>
      <c r="I2449" t="s">
        <v>481</v>
      </c>
      <c r="J2449" t="s">
        <v>486</v>
      </c>
      <c r="K2449" t="s">
        <v>520</v>
      </c>
      <c r="L2449" t="s">
        <v>582</v>
      </c>
      <c r="M2449" t="s">
        <v>588</v>
      </c>
      <c r="N2449" t="s">
        <v>601</v>
      </c>
    </row>
    <row r="2450" spans="1:14" x14ac:dyDescent="0.25">
      <c r="A2450" t="s">
        <v>14</v>
      </c>
      <c r="B2450" t="s">
        <v>207</v>
      </c>
      <c r="C2450" t="s">
        <v>362</v>
      </c>
      <c r="D2450" t="s">
        <v>426</v>
      </c>
      <c r="F2450" t="s">
        <v>463</v>
      </c>
      <c r="G2450" t="str">
        <f>HYPERLINK("https://ca.linkedin.com/jobs/view/data-analyst-at-onlia-3320897897?refId=CnTibF0ndEKl9%2BnUmkLorg%3D%3D&amp;trackingId=9bVumnzrvaO%2BDqSoHKtMQQ%3D%3D&amp;position=1&amp;pageNum=0&amp;trk=public_jobs_jserp-result_search-card", "Job Link")</f>
        <v>Job Link</v>
      </c>
      <c r="H2450" t="s">
        <v>477</v>
      </c>
      <c r="I2450" t="s">
        <v>481</v>
      </c>
      <c r="J2450" t="s">
        <v>486</v>
      </c>
      <c r="K2450" t="s">
        <v>523</v>
      </c>
      <c r="L2450" t="s">
        <v>582</v>
      </c>
      <c r="M2450" t="s">
        <v>588</v>
      </c>
      <c r="N2450" t="s">
        <v>601</v>
      </c>
    </row>
    <row r="2451" spans="1:14" x14ac:dyDescent="0.25">
      <c r="A2451" t="s">
        <v>14</v>
      </c>
      <c r="B2451" t="s">
        <v>208</v>
      </c>
      <c r="C2451" t="s">
        <v>363</v>
      </c>
      <c r="D2451" t="s">
        <v>426</v>
      </c>
      <c r="F2451" t="s">
        <v>445</v>
      </c>
      <c r="G2451" t="str">
        <f>HYPERLINK("https://ca.linkedin.com/jobs/view/data-analyst-at-electronic-arts-ea-3325611825?refId=CnTibF0ndEKl9%2BnUmkLorg%3D%3D&amp;trackingId=YcLQAGsIk1yOKXWEPcBQjA%3D%3D&amp;position=2&amp;pageNum=0&amp;trk=public_jobs_jserp-result_search-card", "Job Link")</f>
        <v>Job Link</v>
      </c>
      <c r="H2451" t="s">
        <v>479</v>
      </c>
      <c r="I2451" t="s">
        <v>481</v>
      </c>
      <c r="J2451" t="s">
        <v>507</v>
      </c>
      <c r="K2451" t="s">
        <v>559</v>
      </c>
      <c r="L2451" t="s">
        <v>582</v>
      </c>
      <c r="M2451" t="s">
        <v>588</v>
      </c>
      <c r="N2451" t="s">
        <v>601</v>
      </c>
    </row>
    <row r="2452" spans="1:14" x14ac:dyDescent="0.25">
      <c r="A2452" t="s">
        <v>14</v>
      </c>
      <c r="B2452" t="s">
        <v>209</v>
      </c>
      <c r="C2452" t="s">
        <v>364</v>
      </c>
      <c r="D2452" t="s">
        <v>426</v>
      </c>
      <c r="F2452" t="s">
        <v>440</v>
      </c>
      <c r="G2452" t="str">
        <f>HYPERLINK("https://ca.linkedin.com/jobs/view/data-analyst-at-frostbite-3370111856?refId=CnTibF0ndEKl9%2BnUmkLorg%3D%3D&amp;trackingId=JkDw0BBEPGK9%2BHECL9%2B7Kg%3D%3D&amp;position=3&amp;pageNum=0&amp;trk=public_jobs_jserp-result_search-card", "Job Link")</f>
        <v>Job Link</v>
      </c>
      <c r="H2452" t="s">
        <v>479</v>
      </c>
      <c r="I2452" t="s">
        <v>481</v>
      </c>
      <c r="J2452" t="s">
        <v>507</v>
      </c>
      <c r="K2452" t="s">
        <v>559</v>
      </c>
      <c r="L2452" t="s">
        <v>590</v>
      </c>
      <c r="M2452" t="s">
        <v>618</v>
      </c>
      <c r="N2452" t="s">
        <v>601</v>
      </c>
    </row>
    <row r="2453" spans="1:14" x14ac:dyDescent="0.25">
      <c r="A2453" t="s">
        <v>14</v>
      </c>
      <c r="B2453" t="s">
        <v>211</v>
      </c>
      <c r="C2453" t="s">
        <v>366</v>
      </c>
      <c r="D2453" t="s">
        <v>426</v>
      </c>
      <c r="F2453" t="s">
        <v>443</v>
      </c>
      <c r="G2453" t="str">
        <f>HYPERLINK("https://ca.linkedin.com/jobs/view/data-analyst-at-mphasis-3363428246?refId=CnTibF0ndEKl9%2BnUmkLorg%3D%3D&amp;trackingId=CXGtxMyP0OnWVx7smmuKug%3D%3D&amp;position=4&amp;pageNum=0&amp;trk=public_jobs_jserp-result_search-card", "Job Link")</f>
        <v>Job Link</v>
      </c>
      <c r="H2453" t="s">
        <v>477</v>
      </c>
      <c r="I2453" t="s">
        <v>481</v>
      </c>
      <c r="J2453" t="s">
        <v>486</v>
      </c>
      <c r="K2453" t="s">
        <v>521</v>
      </c>
      <c r="L2453" t="s">
        <v>609</v>
      </c>
      <c r="M2453" t="s">
        <v>610</v>
      </c>
      <c r="N2453" t="s">
        <v>601</v>
      </c>
    </row>
    <row r="2454" spans="1:14" x14ac:dyDescent="0.25">
      <c r="A2454" t="s">
        <v>81</v>
      </c>
      <c r="B2454" t="s">
        <v>210</v>
      </c>
      <c r="C2454" t="s">
        <v>365</v>
      </c>
      <c r="D2454" t="s">
        <v>426</v>
      </c>
      <c r="F2454" t="s">
        <v>436</v>
      </c>
      <c r="G2454" t="str">
        <f>HYPERLINK("https://ca.linkedin.com/jobs/view/data-analyst-c117-at-mitsubishi-motor-sales-of-canada-inc-3344852931?refId=CnTibF0ndEKl9%2BnUmkLorg%3D%3D&amp;trackingId=HElnOlhNfkUQrn9pdjiolw%3D%3D&amp;position=5&amp;pageNum=0&amp;trk=public_jobs_jserp-result_search-card", "Job Link")</f>
        <v>Job Link</v>
      </c>
      <c r="H2454" t="s">
        <v>477</v>
      </c>
      <c r="I2454" t="s">
        <v>481</v>
      </c>
      <c r="J2454" t="s">
        <v>508</v>
      </c>
      <c r="K2454" t="s">
        <v>561</v>
      </c>
      <c r="L2454" t="s">
        <v>584</v>
      </c>
      <c r="M2454" t="s">
        <v>588</v>
      </c>
      <c r="N2454" t="s">
        <v>601</v>
      </c>
    </row>
    <row r="2455" spans="1:14" x14ac:dyDescent="0.25">
      <c r="A2455" t="s">
        <v>14</v>
      </c>
      <c r="B2455" t="s">
        <v>150</v>
      </c>
      <c r="C2455" t="s">
        <v>367</v>
      </c>
      <c r="D2455" t="s">
        <v>426</v>
      </c>
      <c r="F2455" t="s">
        <v>433</v>
      </c>
      <c r="G2455" t="str">
        <f>HYPERLINK("https://ca.linkedin.com/jobs/view/data-analyst-at-synechron-3348329085?refId=CnTibF0ndEKl9%2BnUmkLorg%3D%3D&amp;trackingId=du97M8YNUnBPu2hDk0c%2Bmg%3D%3D&amp;position=6&amp;pageNum=0&amp;trk=public_jobs_jserp-result_search-card", "Job Link")</f>
        <v>Job Link</v>
      </c>
      <c r="H2455" t="s">
        <v>478</v>
      </c>
      <c r="I2455" t="s">
        <v>481</v>
      </c>
      <c r="J2455" t="s">
        <v>486</v>
      </c>
      <c r="K2455" t="s">
        <v>562</v>
      </c>
      <c r="L2455" t="s">
        <v>584</v>
      </c>
      <c r="M2455" t="s">
        <v>588</v>
      </c>
      <c r="N2455" t="s">
        <v>601</v>
      </c>
    </row>
    <row r="2456" spans="1:14" x14ac:dyDescent="0.25">
      <c r="A2456" t="s">
        <v>82</v>
      </c>
      <c r="B2456" t="s">
        <v>179</v>
      </c>
      <c r="C2456" t="s">
        <v>368</v>
      </c>
      <c r="D2456" t="s">
        <v>426</v>
      </c>
      <c r="F2456" t="s">
        <v>471</v>
      </c>
      <c r="G2456" t="str">
        <f>HYPERLINK("https://ca.linkedin.com/jobs/view/business-data-analyst-at-capgemini-3327624663?refId=CnTibF0ndEKl9%2BnUmkLorg%3D%3D&amp;trackingId=BjqZQ1YjsIoCJpZBlKLp8w%3D%3D&amp;position=7&amp;pageNum=0&amp;trk=public_jobs_jserp-result_search-card", "Job Link")</f>
        <v>Job Link</v>
      </c>
      <c r="H2456" t="s">
        <v>478</v>
      </c>
      <c r="I2456" t="s">
        <v>481</v>
      </c>
      <c r="J2456" t="s">
        <v>486</v>
      </c>
      <c r="K2456" t="s">
        <v>521</v>
      </c>
      <c r="L2456" t="s">
        <v>611</v>
      </c>
      <c r="M2456" t="s">
        <v>601</v>
      </c>
    </row>
    <row r="2457" spans="1:14" x14ac:dyDescent="0.25">
      <c r="A2457" t="s">
        <v>14</v>
      </c>
      <c r="B2457" t="s">
        <v>150</v>
      </c>
      <c r="C2457" t="s">
        <v>369</v>
      </c>
      <c r="D2457" t="s">
        <v>426</v>
      </c>
      <c r="F2457" t="s">
        <v>460</v>
      </c>
      <c r="G2457" t="str">
        <f>HYPERLINK("https://ca.linkedin.com/jobs/view/data-analyst-at-synechron-3364863079?refId=CnTibF0ndEKl9%2BnUmkLorg%3D%3D&amp;trackingId=AiEmT5Rxu5rZmRuDTE1tow%3D%3D&amp;position=8&amp;pageNum=0&amp;trk=public_jobs_jserp-result_search-card", "Job Link")</f>
        <v>Job Link</v>
      </c>
      <c r="H2457" t="s">
        <v>478</v>
      </c>
      <c r="I2457" t="s">
        <v>481</v>
      </c>
      <c r="J2457" t="s">
        <v>486</v>
      </c>
      <c r="K2457" t="s">
        <v>563</v>
      </c>
      <c r="L2457" t="s">
        <v>584</v>
      </c>
      <c r="M2457" t="s">
        <v>588</v>
      </c>
      <c r="N2457" t="s">
        <v>601</v>
      </c>
    </row>
    <row r="2458" spans="1:14" x14ac:dyDescent="0.25">
      <c r="A2458" t="s">
        <v>14</v>
      </c>
      <c r="B2458" t="s">
        <v>150</v>
      </c>
      <c r="C2458" t="s">
        <v>367</v>
      </c>
      <c r="D2458" t="s">
        <v>426</v>
      </c>
      <c r="F2458" t="s">
        <v>460</v>
      </c>
      <c r="G2458" t="str">
        <f>HYPERLINK("https://ca.linkedin.com/jobs/view/data-analyst-at-synechron-3361756851?refId=CnTibF0ndEKl9%2BnUmkLorg%3D%3D&amp;trackingId=zOhl9I6XUy8fFjsyjZzGMQ%3D%3D&amp;position=9&amp;pageNum=0&amp;trk=public_jobs_jserp-result_search-card", "Job Link")</f>
        <v>Job Link</v>
      </c>
      <c r="H2458" t="s">
        <v>478</v>
      </c>
      <c r="I2458" t="s">
        <v>481</v>
      </c>
      <c r="J2458" t="s">
        <v>486</v>
      </c>
      <c r="K2458" t="s">
        <v>562</v>
      </c>
      <c r="L2458" t="s">
        <v>584</v>
      </c>
      <c r="M2458" t="s">
        <v>588</v>
      </c>
      <c r="N2458" t="s">
        <v>601</v>
      </c>
    </row>
    <row r="2459" spans="1:14" x14ac:dyDescent="0.25">
      <c r="A2459" t="s">
        <v>14</v>
      </c>
      <c r="B2459" t="s">
        <v>212</v>
      </c>
      <c r="C2459" t="s">
        <v>370</v>
      </c>
      <c r="D2459" t="s">
        <v>426</v>
      </c>
      <c r="F2459" t="s">
        <v>432</v>
      </c>
      <c r="G2459" t="str">
        <f>HYPERLINK("https://ca.linkedin.com/jobs/view/data-analyst-at-agilus-work-solutions-3358673093?refId=CnTibF0ndEKl9%2BnUmkLorg%3D%3D&amp;trackingId=5d0HwgW0Gu5ukmkrJGu3ug%3D%3D&amp;position=10&amp;pageNum=0&amp;trk=public_jobs_jserp-result_search-card", "Job Link")</f>
        <v>Job Link</v>
      </c>
      <c r="H2459" t="s">
        <v>477</v>
      </c>
      <c r="I2459" t="s">
        <v>483</v>
      </c>
      <c r="J2459" t="s">
        <v>486</v>
      </c>
      <c r="K2459" t="s">
        <v>518</v>
      </c>
      <c r="L2459" t="s">
        <v>582</v>
      </c>
      <c r="M2459" t="s">
        <v>588</v>
      </c>
      <c r="N2459" t="s">
        <v>601</v>
      </c>
    </row>
    <row r="2460" spans="1:14" x14ac:dyDescent="0.25">
      <c r="A2460" t="s">
        <v>14</v>
      </c>
      <c r="B2460" t="s">
        <v>214</v>
      </c>
      <c r="C2460" t="s">
        <v>372</v>
      </c>
      <c r="D2460" t="s">
        <v>426</v>
      </c>
      <c r="F2460" t="s">
        <v>432</v>
      </c>
      <c r="G2460" t="str">
        <f>HYPERLINK("https://ca.linkedin.com/jobs/view/data-analyst-at-goeasy-ltd-3358677253?refId=CnTibF0ndEKl9%2BnUmkLorg%3D%3D&amp;trackingId=DZFJISoyqNra3ImM%2BokWSA%3D%3D&amp;position=11&amp;pageNum=0&amp;trk=public_jobs_jserp-result_search-card", "Job Link")</f>
        <v>Job Link</v>
      </c>
      <c r="H2460" t="s">
        <v>476</v>
      </c>
      <c r="I2460" t="s">
        <v>481</v>
      </c>
      <c r="J2460" t="s">
        <v>486</v>
      </c>
      <c r="K2460" t="s">
        <v>550</v>
      </c>
      <c r="L2460" t="s">
        <v>584</v>
      </c>
      <c r="M2460" t="s">
        <v>588</v>
      </c>
      <c r="N2460" t="s">
        <v>601</v>
      </c>
    </row>
    <row r="2461" spans="1:14" x14ac:dyDescent="0.25">
      <c r="A2461" t="s">
        <v>14</v>
      </c>
      <c r="B2461" t="s">
        <v>213</v>
      </c>
      <c r="C2461" t="s">
        <v>371</v>
      </c>
      <c r="D2461" t="s">
        <v>426</v>
      </c>
      <c r="F2461" t="s">
        <v>472</v>
      </c>
      <c r="G2461" t="str">
        <f>HYPERLINK("https://ca.linkedin.com/jobs/view/data-analyst-at-linkus-group-3345817125?refId=CnTibF0ndEKl9%2BnUmkLorg%3D%3D&amp;trackingId=3ug%2B8XoodmO1xX7u3JKqig%3D%3D&amp;position=12&amp;pageNum=0&amp;trk=public_jobs_jserp-result_search-card", "Job Link")</f>
        <v>Job Link</v>
      </c>
      <c r="H2461" t="s">
        <v>476</v>
      </c>
      <c r="I2461" t="s">
        <v>481</v>
      </c>
      <c r="J2461" t="s">
        <v>486</v>
      </c>
      <c r="K2461" t="s">
        <v>518</v>
      </c>
      <c r="L2461" t="s">
        <v>588</v>
      </c>
      <c r="M2461" t="s">
        <v>601</v>
      </c>
    </row>
    <row r="2462" spans="1:14" x14ac:dyDescent="0.25">
      <c r="A2462" t="s">
        <v>83</v>
      </c>
      <c r="B2462" t="s">
        <v>215</v>
      </c>
      <c r="C2462" t="s">
        <v>373</v>
      </c>
      <c r="D2462" t="s">
        <v>426</v>
      </c>
      <c r="F2462" t="s">
        <v>462</v>
      </c>
      <c r="G2462">
        <v>0</v>
      </c>
      <c r="H2462" t="s">
        <v>478</v>
      </c>
      <c r="I2462" t="s">
        <v>483</v>
      </c>
      <c r="J2462" t="s">
        <v>509</v>
      </c>
      <c r="K2462" t="s">
        <v>550</v>
      </c>
      <c r="L2462" t="s">
        <v>584</v>
      </c>
      <c r="M2462" t="s">
        <v>588</v>
      </c>
      <c r="N2462" t="s">
        <v>601</v>
      </c>
    </row>
    <row r="2463" spans="1:14" x14ac:dyDescent="0.25">
      <c r="A2463" t="s">
        <v>91</v>
      </c>
      <c r="B2463" t="s">
        <v>224</v>
      </c>
      <c r="C2463" t="s">
        <v>384</v>
      </c>
      <c r="D2463" t="s">
        <v>426</v>
      </c>
      <c r="F2463" t="s">
        <v>431</v>
      </c>
      <c r="G2463" t="str">
        <f>HYPERLINK("https://ca.linkedin.com/jobs/view/commercial-data-analyst-at-organigram-inc-3367177254?refId=CnTibF0ndEKl9%2BnUmkLorg%3D%3D&amp;trackingId=uNkh7IV25Tm8GiWLduJlSQ%3D%3D&amp;position=14&amp;pageNum=0&amp;trk=public_jobs_jserp-result_search-card", "Job Link")</f>
        <v>Job Link</v>
      </c>
      <c r="I2463" t="s">
        <v>481</v>
      </c>
      <c r="L2463" t="s">
        <v>582</v>
      </c>
      <c r="M2463" t="s">
        <v>588</v>
      </c>
      <c r="N2463" t="s">
        <v>601</v>
      </c>
    </row>
    <row r="2464" spans="1:14" x14ac:dyDescent="0.25">
      <c r="A2464" t="s">
        <v>20</v>
      </c>
      <c r="B2464" t="s">
        <v>207</v>
      </c>
      <c r="C2464" t="s">
        <v>374</v>
      </c>
      <c r="D2464" t="s">
        <v>426</v>
      </c>
      <c r="F2464" t="s">
        <v>463</v>
      </c>
      <c r="G2464" t="str">
        <f>HYPERLINK("https://ca.linkedin.com/jobs/view/senior-data-analyst-at-onlia-3320897882?refId=CnTibF0ndEKl9%2BnUmkLorg%3D%3D&amp;trackingId=8x69DkSDfMm0HQQ741nzJQ%3D%3D&amp;position=15&amp;pageNum=0&amp;trk=public_jobs_jserp-result_search-card", "Job Link")</f>
        <v>Job Link</v>
      </c>
      <c r="H2464" t="s">
        <v>477</v>
      </c>
      <c r="I2464" t="s">
        <v>481</v>
      </c>
      <c r="J2464" t="s">
        <v>486</v>
      </c>
      <c r="K2464" t="s">
        <v>523</v>
      </c>
      <c r="L2464" t="s">
        <v>582</v>
      </c>
      <c r="M2464" t="s">
        <v>588</v>
      </c>
      <c r="N2464" t="s">
        <v>601</v>
      </c>
    </row>
    <row r="2465" spans="1:14" x14ac:dyDescent="0.25">
      <c r="A2465" t="s">
        <v>84</v>
      </c>
      <c r="B2465" t="s">
        <v>216</v>
      </c>
      <c r="C2465" t="s">
        <v>375</v>
      </c>
      <c r="D2465" t="s">
        <v>426</v>
      </c>
      <c r="F2465" t="s">
        <v>452</v>
      </c>
      <c r="G2465" t="str">
        <f>HYPERLINK("https://ca.linkedin.com/jobs/view/data-analyst-hybrid-at-xylem-3335088701?refId=CnTibF0ndEKl9%2BnUmkLorg%3D%3D&amp;trackingId=%2BBoVK52LrFoQu%2FcPtC1M3w%3D%3D&amp;position=16&amp;pageNum=0&amp;trk=public_jobs_jserp-result_search-card", "Job Link")</f>
        <v>Job Link</v>
      </c>
      <c r="H2465" t="s">
        <v>476</v>
      </c>
      <c r="I2465" t="s">
        <v>481</v>
      </c>
      <c r="J2465" t="s">
        <v>486</v>
      </c>
      <c r="K2465" t="s">
        <v>564</v>
      </c>
      <c r="L2465" t="s">
        <v>584</v>
      </c>
      <c r="M2465" t="s">
        <v>588</v>
      </c>
      <c r="N2465" t="s">
        <v>601</v>
      </c>
    </row>
    <row r="2466" spans="1:14" x14ac:dyDescent="0.25">
      <c r="A2466" t="s">
        <v>85</v>
      </c>
      <c r="B2466" t="s">
        <v>217</v>
      </c>
      <c r="C2466" t="s">
        <v>376</v>
      </c>
      <c r="D2466" t="s">
        <v>426</v>
      </c>
      <c r="F2466" t="s">
        <v>473</v>
      </c>
      <c r="G2466" t="str">
        <f>HYPERLINK("https://ca.linkedin.com/jobs/view/data-analyst-python-sql-at-geotab-3341823745?refId=CnTibF0ndEKl9%2BnUmkLorg%3D%3D&amp;trackingId=Jcgevp4B57kAWTMpkDpE%2Bg%3D%3D&amp;position=17&amp;pageNum=0&amp;trk=public_jobs_jserp-result_search-card", "Job Link")</f>
        <v>Job Link</v>
      </c>
      <c r="H2466" t="s">
        <v>479</v>
      </c>
      <c r="I2466" t="s">
        <v>481</v>
      </c>
      <c r="J2466" t="s">
        <v>486</v>
      </c>
      <c r="K2466" t="s">
        <v>521</v>
      </c>
      <c r="L2466" t="s">
        <v>612</v>
      </c>
      <c r="M2466" t="s">
        <v>588</v>
      </c>
      <c r="N2466" t="s">
        <v>601</v>
      </c>
    </row>
    <row r="2467" spans="1:14" x14ac:dyDescent="0.25">
      <c r="A2467" t="s">
        <v>86</v>
      </c>
      <c r="B2467" t="s">
        <v>167</v>
      </c>
      <c r="C2467" t="s">
        <v>377</v>
      </c>
      <c r="D2467" t="s">
        <v>426</v>
      </c>
      <c r="F2467" t="s">
        <v>454</v>
      </c>
      <c r="G2467" t="str">
        <f>HYPERLINK("https://ca.linkedin.com/jobs/view/data-analyst-reporting-at-thescore-3345941286?refId=CnTibF0ndEKl9%2BnUmkLorg%3D%3D&amp;trackingId=Nwnuld6CSz6w7WYqFaaPcQ%3D%3D&amp;position=18&amp;pageNum=0&amp;trk=public_jobs_jserp-result_search-card", "Job Link")</f>
        <v>Job Link</v>
      </c>
      <c r="H2467" t="s">
        <v>476</v>
      </c>
      <c r="I2467" t="s">
        <v>481</v>
      </c>
      <c r="J2467" t="s">
        <v>486</v>
      </c>
      <c r="K2467" t="s">
        <v>545</v>
      </c>
      <c r="L2467" t="s">
        <v>582</v>
      </c>
      <c r="M2467" t="s">
        <v>588</v>
      </c>
      <c r="N2467" t="s">
        <v>601</v>
      </c>
    </row>
    <row r="2468" spans="1:14" x14ac:dyDescent="0.25">
      <c r="A2468" t="s">
        <v>87</v>
      </c>
      <c r="B2468" t="s">
        <v>218</v>
      </c>
      <c r="C2468" t="s">
        <v>378</v>
      </c>
      <c r="D2468" t="s">
        <v>426</v>
      </c>
      <c r="F2468" t="s">
        <v>432</v>
      </c>
      <c r="G2468">
        <v>0</v>
      </c>
      <c r="H2468" t="s">
        <v>478</v>
      </c>
      <c r="I2468" t="s">
        <v>483</v>
      </c>
      <c r="J2468" t="s">
        <v>486</v>
      </c>
      <c r="K2468" t="s">
        <v>521</v>
      </c>
      <c r="L2468" t="s">
        <v>582</v>
      </c>
      <c r="M2468" t="s">
        <v>588</v>
      </c>
      <c r="N2468" t="s">
        <v>601</v>
      </c>
    </row>
    <row r="2469" spans="1:14" x14ac:dyDescent="0.25">
      <c r="A2469" t="s">
        <v>90</v>
      </c>
      <c r="B2469" t="s">
        <v>223</v>
      </c>
      <c r="C2469" t="s">
        <v>383</v>
      </c>
      <c r="D2469" t="s">
        <v>426</v>
      </c>
      <c r="F2469" t="s">
        <v>443</v>
      </c>
      <c r="G2469" t="str">
        <f>HYPERLINK("https://ca.linkedin.com/jobs/view/data-administrator-data-analyst-at-hays-3369576413?refId=CnTibF0ndEKl9%2BnUmkLorg%3D%3D&amp;trackingId=87VSyDrnC6y2pIgJOKc7MA%3D%3D&amp;position=20&amp;pageNum=0&amp;trk=public_jobs_jserp-result_search-card", "Job Link")</f>
        <v>Job Link</v>
      </c>
      <c r="H2469" t="s">
        <v>478</v>
      </c>
      <c r="I2469" t="s">
        <v>481</v>
      </c>
      <c r="J2469" t="s">
        <v>486</v>
      </c>
      <c r="K2469" t="s">
        <v>518</v>
      </c>
      <c r="L2469" t="s">
        <v>583</v>
      </c>
      <c r="M2469" t="s">
        <v>610</v>
      </c>
      <c r="N2469" t="s">
        <v>601</v>
      </c>
    </row>
    <row r="2470" spans="1:14" x14ac:dyDescent="0.25">
      <c r="A2470" t="s">
        <v>88</v>
      </c>
      <c r="B2470" t="s">
        <v>219</v>
      </c>
      <c r="C2470" t="s">
        <v>379</v>
      </c>
      <c r="D2470" t="s">
        <v>426</v>
      </c>
      <c r="F2470" t="s">
        <v>454</v>
      </c>
      <c r="G2470" t="str">
        <f>HYPERLINK("https://ca.linkedin.com/jobs/view/data-analyst-flight-pricing-optimization-at-priceline-3345993633?refId=CnTibF0ndEKl9%2BnUmkLorg%3D%3D&amp;trackingId=dEbxAyGCcgKThSskHyju1g%3D%3D&amp;position=21&amp;pageNum=0&amp;trk=public_jobs_jserp-result_search-card", "Job Link")</f>
        <v>Job Link</v>
      </c>
      <c r="H2470" t="s">
        <v>476</v>
      </c>
      <c r="I2470" t="s">
        <v>481</v>
      </c>
      <c r="J2470" t="s">
        <v>486</v>
      </c>
      <c r="K2470" t="s">
        <v>565</v>
      </c>
      <c r="L2470" t="s">
        <v>582</v>
      </c>
      <c r="M2470" t="s">
        <v>588</v>
      </c>
      <c r="N2470" t="s">
        <v>601</v>
      </c>
    </row>
    <row r="2471" spans="1:14" x14ac:dyDescent="0.25">
      <c r="A2471" t="s">
        <v>89</v>
      </c>
      <c r="B2471" t="s">
        <v>221</v>
      </c>
      <c r="C2471" t="s">
        <v>381</v>
      </c>
      <c r="D2471" t="s">
        <v>426</v>
      </c>
      <c r="F2471" t="s">
        <v>461</v>
      </c>
      <c r="G2471">
        <v>0</v>
      </c>
      <c r="H2471" t="s">
        <v>476</v>
      </c>
      <c r="I2471" t="s">
        <v>481</v>
      </c>
      <c r="J2471" t="s">
        <v>488</v>
      </c>
      <c r="K2471" t="s">
        <v>566</v>
      </c>
      <c r="L2471" t="s">
        <v>582</v>
      </c>
      <c r="M2471" t="s">
        <v>588</v>
      </c>
      <c r="N2471" t="s">
        <v>601</v>
      </c>
    </row>
    <row r="2472" spans="1:14" x14ac:dyDescent="0.25">
      <c r="A2472" t="s">
        <v>14</v>
      </c>
      <c r="B2472" t="s">
        <v>222</v>
      </c>
      <c r="C2472" t="s">
        <v>382</v>
      </c>
      <c r="D2472" t="s">
        <v>426</v>
      </c>
      <c r="F2472" t="s">
        <v>431</v>
      </c>
      <c r="G2472" t="str">
        <f>HYPERLINK("https://ca.linkedin.com/jobs/view/data-analyst-at-circle-k-3367192655?refId=CnTibF0ndEKl9%2BnUmkLorg%3D%3D&amp;trackingId=YmP4ovddKGP2w52WUlKW5Q%3D%3D&amp;position=23&amp;pageNum=0&amp;trk=public_jobs_jserp-result_search-card", "Job Link")</f>
        <v>Job Link</v>
      </c>
      <c r="H2472" t="s">
        <v>476</v>
      </c>
      <c r="I2472" t="s">
        <v>481</v>
      </c>
      <c r="J2472" t="s">
        <v>486</v>
      </c>
      <c r="K2472" t="s">
        <v>567</v>
      </c>
      <c r="L2472" t="s">
        <v>582</v>
      </c>
      <c r="M2472" t="s">
        <v>588</v>
      </c>
      <c r="N2472" t="s">
        <v>601</v>
      </c>
    </row>
    <row r="2473" spans="1:14" x14ac:dyDescent="0.25">
      <c r="A2473" t="s">
        <v>14</v>
      </c>
      <c r="B2473" t="s">
        <v>225</v>
      </c>
      <c r="C2473" t="s">
        <v>385</v>
      </c>
      <c r="D2473" t="s">
        <v>426</v>
      </c>
      <c r="F2473" t="s">
        <v>463</v>
      </c>
      <c r="G2473" t="str">
        <f>HYPERLINK("https://ca.linkedin.com/jobs/view/data-analyst-at-vector-institute-3325395506?refId=CnTibF0ndEKl9%2BnUmkLorg%3D%3D&amp;trackingId=eXnYSIrpeRc6iPUARMCI%2Bw%3D%3D&amp;position=24&amp;pageNum=0&amp;trk=public_jobs_jserp-result_search-card", "Job Link")</f>
        <v>Job Link</v>
      </c>
      <c r="H2473" t="s">
        <v>478</v>
      </c>
      <c r="I2473" t="s">
        <v>481</v>
      </c>
      <c r="J2473" t="s">
        <v>486</v>
      </c>
      <c r="K2473" t="s">
        <v>520</v>
      </c>
      <c r="L2473" t="s">
        <v>582</v>
      </c>
      <c r="M2473" t="s">
        <v>588</v>
      </c>
      <c r="N2473" t="s">
        <v>601</v>
      </c>
    </row>
    <row r="2474" spans="1:14" x14ac:dyDescent="0.25">
      <c r="A2474" t="s">
        <v>14</v>
      </c>
      <c r="B2474" t="s">
        <v>226</v>
      </c>
      <c r="C2474" t="s">
        <v>386</v>
      </c>
      <c r="D2474" t="s">
        <v>426</v>
      </c>
      <c r="F2474" t="s">
        <v>474</v>
      </c>
      <c r="G2474" t="str">
        <f>HYPERLINK("https://ca.linkedin.com/jobs/view/data-analyst-at-gsl-group-3334387645?refId=CnTibF0ndEKl9%2BnUmkLorg%3D%3D&amp;trackingId=6HOUPoUtkcnJ1S9iJkhvEg%3D%3D&amp;position=25&amp;pageNum=0&amp;trk=public_jobs_jserp-result_search-card", "Job Link")</f>
        <v>Job Link</v>
      </c>
      <c r="H2474" t="s">
        <v>476</v>
      </c>
      <c r="I2474" t="s">
        <v>481</v>
      </c>
      <c r="J2474" t="s">
        <v>486</v>
      </c>
      <c r="K2474" t="s">
        <v>568</v>
      </c>
      <c r="L2474" t="s">
        <v>590</v>
      </c>
      <c r="M2474" t="s">
        <v>618</v>
      </c>
      <c r="N2474" t="s">
        <v>601</v>
      </c>
    </row>
    <row r="2475" spans="1:14" x14ac:dyDescent="0.25">
      <c r="A2475" t="s">
        <v>14</v>
      </c>
      <c r="B2475" t="s">
        <v>207</v>
      </c>
      <c r="C2475" t="s">
        <v>362</v>
      </c>
      <c r="D2475" t="s">
        <v>426</v>
      </c>
      <c r="F2475" t="s">
        <v>463</v>
      </c>
      <c r="G2475" t="str">
        <f>HYPERLINK("https://ca.linkedin.com/jobs/view/data-analyst-at-onlia-3320897897?refId=BDQaAjbjZxUbOxGn%2FHSV5w%3D%3D&amp;trackingId=pWIvoHrIUL1owmklvek2Xw%3D%3D&amp;position=1&amp;pageNum=0&amp;trk=public_jobs_jserp-result_search-card", "Job Link")</f>
        <v>Job Link</v>
      </c>
      <c r="H2475" t="s">
        <v>477</v>
      </c>
      <c r="I2475" t="s">
        <v>481</v>
      </c>
      <c r="J2475" t="s">
        <v>486</v>
      </c>
      <c r="K2475" t="s">
        <v>523</v>
      </c>
      <c r="L2475" t="s">
        <v>582</v>
      </c>
      <c r="M2475" t="s">
        <v>588</v>
      </c>
      <c r="N2475" t="s">
        <v>601</v>
      </c>
    </row>
    <row r="2476" spans="1:14" x14ac:dyDescent="0.25">
      <c r="A2476" t="s">
        <v>14</v>
      </c>
      <c r="B2476" t="s">
        <v>208</v>
      </c>
      <c r="C2476" t="s">
        <v>363</v>
      </c>
      <c r="D2476" t="s">
        <v>426</v>
      </c>
      <c r="F2476" t="s">
        <v>445</v>
      </c>
      <c r="G2476" t="str">
        <f>HYPERLINK("https://ca.linkedin.com/jobs/view/data-analyst-at-electronic-arts-ea-3325611825?refId=BDQaAjbjZxUbOxGn%2FHSV5w%3D%3D&amp;trackingId=V00xJSuC90RyLzCvo6%2BPhg%3D%3D&amp;position=2&amp;pageNum=0&amp;trk=public_jobs_jserp-result_search-card", "Job Link")</f>
        <v>Job Link</v>
      </c>
      <c r="H2476" t="s">
        <v>479</v>
      </c>
      <c r="I2476" t="s">
        <v>481</v>
      </c>
      <c r="J2476" t="s">
        <v>507</v>
      </c>
      <c r="K2476" t="s">
        <v>559</v>
      </c>
      <c r="L2476" t="s">
        <v>582</v>
      </c>
      <c r="M2476" t="s">
        <v>588</v>
      </c>
      <c r="N2476" t="s">
        <v>601</v>
      </c>
    </row>
    <row r="2477" spans="1:14" x14ac:dyDescent="0.25">
      <c r="A2477" t="s">
        <v>14</v>
      </c>
      <c r="B2477" t="s">
        <v>209</v>
      </c>
      <c r="C2477" t="s">
        <v>364</v>
      </c>
      <c r="D2477" t="s">
        <v>426</v>
      </c>
      <c r="F2477" t="s">
        <v>440</v>
      </c>
      <c r="G2477" t="str">
        <f>HYPERLINK("https://ca.linkedin.com/jobs/view/data-analyst-at-frostbite-3370111856?refId=BDQaAjbjZxUbOxGn%2FHSV5w%3D%3D&amp;trackingId=r2JbBCBiOaJCwYHVHzByDQ%3D%3D&amp;position=3&amp;pageNum=0&amp;trk=public_jobs_jserp-result_search-card", "Job Link")</f>
        <v>Job Link</v>
      </c>
      <c r="H2477" t="s">
        <v>479</v>
      </c>
      <c r="I2477" t="s">
        <v>481</v>
      </c>
      <c r="J2477" t="s">
        <v>507</v>
      </c>
      <c r="K2477" t="s">
        <v>559</v>
      </c>
      <c r="L2477" t="s">
        <v>590</v>
      </c>
      <c r="M2477" t="s">
        <v>618</v>
      </c>
      <c r="N2477" t="s">
        <v>601</v>
      </c>
    </row>
    <row r="2478" spans="1:14" x14ac:dyDescent="0.25">
      <c r="A2478" t="s">
        <v>14</v>
      </c>
      <c r="B2478" t="s">
        <v>211</v>
      </c>
      <c r="C2478" t="s">
        <v>366</v>
      </c>
      <c r="D2478" t="s">
        <v>426</v>
      </c>
      <c r="F2478" t="s">
        <v>443</v>
      </c>
      <c r="G2478" t="str">
        <f>HYPERLINK("https://ca.linkedin.com/jobs/view/data-analyst-at-mphasis-3363428246?refId=BDQaAjbjZxUbOxGn%2FHSV5w%3D%3D&amp;trackingId=%2F%2FLSg5hRBqgrqgjAHz3F4A%3D%3D&amp;position=4&amp;pageNum=0&amp;trk=public_jobs_jserp-result_search-card", "Job Link")</f>
        <v>Job Link</v>
      </c>
      <c r="H2478" t="s">
        <v>477</v>
      </c>
      <c r="I2478" t="s">
        <v>481</v>
      </c>
      <c r="J2478" t="s">
        <v>486</v>
      </c>
      <c r="K2478" t="s">
        <v>521</v>
      </c>
      <c r="L2478" t="s">
        <v>609</v>
      </c>
      <c r="M2478" t="s">
        <v>610</v>
      </c>
      <c r="N2478" t="s">
        <v>601</v>
      </c>
    </row>
    <row r="2479" spans="1:14" x14ac:dyDescent="0.25">
      <c r="A2479" t="s">
        <v>81</v>
      </c>
      <c r="B2479" t="s">
        <v>210</v>
      </c>
      <c r="C2479" t="s">
        <v>365</v>
      </c>
      <c r="D2479" t="s">
        <v>426</v>
      </c>
      <c r="F2479" t="s">
        <v>436</v>
      </c>
      <c r="G2479" t="str">
        <f>HYPERLINK("https://ca.linkedin.com/jobs/view/data-analyst-c117-at-mitsubishi-motor-sales-of-canada-inc-3344852931?refId=BDQaAjbjZxUbOxGn%2FHSV5w%3D%3D&amp;trackingId=ai4Z4TB1IkY24SlE9vPBnA%3D%3D&amp;position=5&amp;pageNum=0&amp;trk=public_jobs_jserp-result_search-card", "Job Link")</f>
        <v>Job Link</v>
      </c>
      <c r="H2479" t="s">
        <v>477</v>
      </c>
      <c r="I2479" t="s">
        <v>481</v>
      </c>
      <c r="J2479" t="s">
        <v>508</v>
      </c>
      <c r="K2479" t="s">
        <v>561</v>
      </c>
      <c r="L2479" t="s">
        <v>584</v>
      </c>
      <c r="M2479" t="s">
        <v>588</v>
      </c>
      <c r="N2479" t="s">
        <v>601</v>
      </c>
    </row>
    <row r="2480" spans="1:14" x14ac:dyDescent="0.25">
      <c r="A2480" t="s">
        <v>14</v>
      </c>
      <c r="B2480" t="s">
        <v>150</v>
      </c>
      <c r="C2480" t="s">
        <v>367</v>
      </c>
      <c r="D2480" t="s">
        <v>426</v>
      </c>
      <c r="F2480" t="s">
        <v>433</v>
      </c>
      <c r="G2480" t="str">
        <f>HYPERLINK("https://ca.linkedin.com/jobs/view/data-analyst-at-synechron-3348329085?refId=BDQaAjbjZxUbOxGn%2FHSV5w%3D%3D&amp;trackingId=LlFMtDkiibkD0F4EG4vFQw%3D%3D&amp;position=6&amp;pageNum=0&amp;trk=public_jobs_jserp-result_search-card", "Job Link")</f>
        <v>Job Link</v>
      </c>
      <c r="H2480" t="s">
        <v>478</v>
      </c>
      <c r="I2480" t="s">
        <v>481</v>
      </c>
      <c r="J2480" t="s">
        <v>486</v>
      </c>
      <c r="K2480" t="s">
        <v>562</v>
      </c>
      <c r="L2480" t="s">
        <v>584</v>
      </c>
      <c r="M2480" t="s">
        <v>588</v>
      </c>
      <c r="N2480" t="s">
        <v>601</v>
      </c>
    </row>
    <row r="2481" spans="1:14" x14ac:dyDescent="0.25">
      <c r="A2481" t="s">
        <v>82</v>
      </c>
      <c r="B2481" t="s">
        <v>179</v>
      </c>
      <c r="C2481" t="s">
        <v>368</v>
      </c>
      <c r="D2481" t="s">
        <v>426</v>
      </c>
      <c r="F2481" t="s">
        <v>471</v>
      </c>
      <c r="G2481" t="str">
        <f>HYPERLINK("https://ca.linkedin.com/jobs/view/business-data-analyst-at-capgemini-3327624663?refId=BDQaAjbjZxUbOxGn%2FHSV5w%3D%3D&amp;trackingId=Iv4Q7jguIaZW6snGJ8Tn%2Bg%3D%3D&amp;position=7&amp;pageNum=0&amp;trk=public_jobs_jserp-result_search-card", "Job Link")</f>
        <v>Job Link</v>
      </c>
      <c r="H2481" t="s">
        <v>478</v>
      </c>
      <c r="I2481" t="s">
        <v>481</v>
      </c>
      <c r="J2481" t="s">
        <v>486</v>
      </c>
      <c r="K2481" t="s">
        <v>521</v>
      </c>
      <c r="L2481" t="s">
        <v>611</v>
      </c>
      <c r="M2481" t="s">
        <v>601</v>
      </c>
    </row>
    <row r="2482" spans="1:14" x14ac:dyDescent="0.25">
      <c r="A2482" t="s">
        <v>14</v>
      </c>
      <c r="B2482" t="s">
        <v>212</v>
      </c>
      <c r="C2482" t="s">
        <v>370</v>
      </c>
      <c r="D2482" t="s">
        <v>426</v>
      </c>
      <c r="F2482" t="s">
        <v>432</v>
      </c>
      <c r="G2482" t="str">
        <f>HYPERLINK("https://ca.linkedin.com/jobs/view/data-analyst-at-agilus-work-solutions-3358673093?refId=BDQaAjbjZxUbOxGn%2FHSV5w%3D%3D&amp;trackingId=dJrbr4rUS8D%2BdRNYhP1jbA%3D%3D&amp;position=8&amp;pageNum=0&amp;trk=public_jobs_jserp-result_search-card", "Job Link")</f>
        <v>Job Link</v>
      </c>
      <c r="H2482" t="s">
        <v>477</v>
      </c>
      <c r="I2482" t="s">
        <v>483</v>
      </c>
      <c r="J2482" t="s">
        <v>486</v>
      </c>
      <c r="K2482" t="s">
        <v>518</v>
      </c>
      <c r="L2482" t="s">
        <v>582</v>
      </c>
      <c r="M2482" t="s">
        <v>588</v>
      </c>
      <c r="N2482" t="s">
        <v>601</v>
      </c>
    </row>
    <row r="2483" spans="1:14" x14ac:dyDescent="0.25">
      <c r="A2483" t="s">
        <v>14</v>
      </c>
      <c r="B2483" t="s">
        <v>150</v>
      </c>
      <c r="C2483" t="s">
        <v>369</v>
      </c>
      <c r="D2483" t="s">
        <v>426</v>
      </c>
      <c r="F2483" t="s">
        <v>460</v>
      </c>
      <c r="G2483" t="str">
        <f>HYPERLINK("https://ca.linkedin.com/jobs/view/data-analyst-at-synechron-3364863079?refId=BDQaAjbjZxUbOxGn%2FHSV5w%3D%3D&amp;trackingId=0eyHugX9jLSQlNcA4Dt5cg%3D%3D&amp;position=9&amp;pageNum=0&amp;trk=public_jobs_jserp-result_search-card", "Job Link")</f>
        <v>Job Link</v>
      </c>
      <c r="H2483" t="s">
        <v>478</v>
      </c>
      <c r="I2483" t="s">
        <v>481</v>
      </c>
      <c r="J2483" t="s">
        <v>486</v>
      </c>
      <c r="K2483" t="s">
        <v>563</v>
      </c>
      <c r="L2483" t="s">
        <v>584</v>
      </c>
      <c r="M2483" t="s">
        <v>588</v>
      </c>
      <c r="N2483" t="s">
        <v>601</v>
      </c>
    </row>
    <row r="2484" spans="1:14" x14ac:dyDescent="0.25">
      <c r="A2484" t="s">
        <v>14</v>
      </c>
      <c r="B2484" t="s">
        <v>150</v>
      </c>
      <c r="C2484" t="s">
        <v>367</v>
      </c>
      <c r="D2484" t="s">
        <v>426</v>
      </c>
      <c r="F2484" t="s">
        <v>460</v>
      </c>
      <c r="G2484" t="str">
        <f>HYPERLINK("https://ca.linkedin.com/jobs/view/data-analyst-at-synechron-3361756851?refId=BDQaAjbjZxUbOxGn%2FHSV5w%3D%3D&amp;trackingId=PSU1xNzZVbRrPYOVetEKfQ%3D%3D&amp;position=10&amp;pageNum=0&amp;trk=public_jobs_jserp-result_search-card", "Job Link")</f>
        <v>Job Link</v>
      </c>
      <c r="H2484" t="s">
        <v>478</v>
      </c>
      <c r="I2484" t="s">
        <v>481</v>
      </c>
      <c r="J2484" t="s">
        <v>486</v>
      </c>
      <c r="K2484" t="s">
        <v>562</v>
      </c>
      <c r="L2484" t="s">
        <v>584</v>
      </c>
      <c r="M2484" t="s">
        <v>588</v>
      </c>
      <c r="N2484" t="s">
        <v>601</v>
      </c>
    </row>
    <row r="2485" spans="1:14" x14ac:dyDescent="0.25">
      <c r="A2485" t="s">
        <v>14</v>
      </c>
      <c r="B2485" t="s">
        <v>213</v>
      </c>
      <c r="C2485" t="s">
        <v>371</v>
      </c>
      <c r="D2485" t="s">
        <v>426</v>
      </c>
      <c r="F2485" t="s">
        <v>472</v>
      </c>
      <c r="G2485" t="str">
        <f>HYPERLINK("https://ca.linkedin.com/jobs/view/data-analyst-at-linkus-group-3345817125?refId=BDQaAjbjZxUbOxGn%2FHSV5w%3D%3D&amp;trackingId=nGcVyAkOOO5NiSSlz3nyUQ%3D%3D&amp;position=11&amp;pageNum=0&amp;trk=public_jobs_jserp-result_search-card", "Job Link")</f>
        <v>Job Link</v>
      </c>
      <c r="H2485" t="s">
        <v>476</v>
      </c>
      <c r="I2485" t="s">
        <v>481</v>
      </c>
      <c r="J2485" t="s">
        <v>486</v>
      </c>
      <c r="K2485" t="s">
        <v>518</v>
      </c>
      <c r="L2485" t="s">
        <v>588</v>
      </c>
      <c r="M2485" t="s">
        <v>601</v>
      </c>
    </row>
    <row r="2486" spans="1:14" x14ac:dyDescent="0.25">
      <c r="A2486" t="s">
        <v>14</v>
      </c>
      <c r="B2486" t="s">
        <v>214</v>
      </c>
      <c r="C2486" t="s">
        <v>372</v>
      </c>
      <c r="D2486" t="s">
        <v>426</v>
      </c>
      <c r="F2486" t="s">
        <v>432</v>
      </c>
      <c r="G2486" t="str">
        <f>HYPERLINK("https://ca.linkedin.com/jobs/view/data-analyst-at-goeasy-ltd-3358677253?refId=BDQaAjbjZxUbOxGn%2FHSV5w%3D%3D&amp;trackingId=cFtVPQ7KWMcGfi1%2BpZ3bCg%3D%3D&amp;position=12&amp;pageNum=0&amp;trk=public_jobs_jserp-result_search-card", "Job Link")</f>
        <v>Job Link</v>
      </c>
      <c r="H2486" t="s">
        <v>476</v>
      </c>
      <c r="I2486" t="s">
        <v>481</v>
      </c>
      <c r="J2486" t="s">
        <v>486</v>
      </c>
      <c r="K2486" t="s">
        <v>550</v>
      </c>
      <c r="L2486" t="s">
        <v>584</v>
      </c>
      <c r="M2486" t="s">
        <v>588</v>
      </c>
      <c r="N2486" t="s">
        <v>601</v>
      </c>
    </row>
    <row r="2487" spans="1:14" x14ac:dyDescent="0.25">
      <c r="A2487" t="s">
        <v>83</v>
      </c>
      <c r="B2487" t="s">
        <v>215</v>
      </c>
      <c r="C2487" t="s">
        <v>373</v>
      </c>
      <c r="D2487" t="s">
        <v>426</v>
      </c>
      <c r="F2487" t="s">
        <v>462</v>
      </c>
      <c r="G2487">
        <v>0</v>
      </c>
      <c r="H2487" t="s">
        <v>478</v>
      </c>
      <c r="I2487" t="s">
        <v>483</v>
      </c>
      <c r="J2487" t="s">
        <v>509</v>
      </c>
      <c r="K2487" t="s">
        <v>550</v>
      </c>
      <c r="L2487" t="s">
        <v>584</v>
      </c>
      <c r="M2487" t="s">
        <v>588</v>
      </c>
      <c r="N2487" t="s">
        <v>601</v>
      </c>
    </row>
    <row r="2488" spans="1:14" x14ac:dyDescent="0.25">
      <c r="A2488" t="s">
        <v>91</v>
      </c>
      <c r="B2488" t="s">
        <v>224</v>
      </c>
      <c r="C2488" t="s">
        <v>384</v>
      </c>
      <c r="D2488" t="s">
        <v>426</v>
      </c>
      <c r="F2488" t="s">
        <v>431</v>
      </c>
      <c r="G2488" t="str">
        <f>HYPERLINK("https://ca.linkedin.com/jobs/view/commercial-data-analyst-at-organigram-inc-3367177254?refId=BDQaAjbjZxUbOxGn%2FHSV5w%3D%3D&amp;trackingId=A%2BCVfdFGKSjj1Y9jI60xtA%3D%3D&amp;position=14&amp;pageNum=0&amp;trk=public_jobs_jserp-result_search-card", "Job Link")</f>
        <v>Job Link</v>
      </c>
      <c r="I2488" t="s">
        <v>481</v>
      </c>
      <c r="L2488" t="s">
        <v>582</v>
      </c>
      <c r="M2488" t="s">
        <v>588</v>
      </c>
      <c r="N2488" t="s">
        <v>601</v>
      </c>
    </row>
    <row r="2489" spans="1:14" x14ac:dyDescent="0.25">
      <c r="A2489" t="s">
        <v>20</v>
      </c>
      <c r="B2489" t="s">
        <v>207</v>
      </c>
      <c r="C2489" t="s">
        <v>374</v>
      </c>
      <c r="D2489" t="s">
        <v>426</v>
      </c>
      <c r="F2489" t="s">
        <v>463</v>
      </c>
      <c r="G2489" t="str">
        <f>HYPERLINK("https://ca.linkedin.com/jobs/view/senior-data-analyst-at-onlia-3320897882?refId=BDQaAjbjZxUbOxGn%2FHSV5w%3D%3D&amp;trackingId=hGDfnYPVSCbMy0ty9fsFAw%3D%3D&amp;position=15&amp;pageNum=0&amp;trk=public_jobs_jserp-result_search-card", "Job Link")</f>
        <v>Job Link</v>
      </c>
      <c r="H2489" t="s">
        <v>477</v>
      </c>
      <c r="I2489" t="s">
        <v>481</v>
      </c>
      <c r="J2489" t="s">
        <v>486</v>
      </c>
      <c r="K2489" t="s">
        <v>523</v>
      </c>
      <c r="L2489" t="s">
        <v>582</v>
      </c>
      <c r="M2489" t="s">
        <v>588</v>
      </c>
      <c r="N2489" t="s">
        <v>601</v>
      </c>
    </row>
    <row r="2490" spans="1:14" x14ac:dyDescent="0.25">
      <c r="A2490" t="s">
        <v>84</v>
      </c>
      <c r="B2490" t="s">
        <v>216</v>
      </c>
      <c r="C2490" t="s">
        <v>375</v>
      </c>
      <c r="D2490" t="s">
        <v>426</v>
      </c>
      <c r="F2490" t="s">
        <v>452</v>
      </c>
      <c r="G2490" t="str">
        <f>HYPERLINK("https://ca.linkedin.com/jobs/view/data-analyst-hybrid-at-xylem-3335088701?refId=BDQaAjbjZxUbOxGn%2FHSV5w%3D%3D&amp;trackingId=tRmfaIo8KmsugFw2LtFNzA%3D%3D&amp;position=16&amp;pageNum=0&amp;trk=public_jobs_jserp-result_search-card", "Job Link")</f>
        <v>Job Link</v>
      </c>
      <c r="H2490" t="s">
        <v>476</v>
      </c>
      <c r="I2490" t="s">
        <v>481</v>
      </c>
      <c r="J2490" t="s">
        <v>486</v>
      </c>
      <c r="K2490" t="s">
        <v>564</v>
      </c>
      <c r="L2490" t="s">
        <v>584</v>
      </c>
      <c r="M2490" t="s">
        <v>588</v>
      </c>
      <c r="N2490" t="s">
        <v>601</v>
      </c>
    </row>
    <row r="2491" spans="1:14" x14ac:dyDescent="0.25">
      <c r="A2491" t="s">
        <v>85</v>
      </c>
      <c r="B2491" t="s">
        <v>217</v>
      </c>
      <c r="C2491" t="s">
        <v>376</v>
      </c>
      <c r="D2491" t="s">
        <v>426</v>
      </c>
      <c r="F2491" t="s">
        <v>473</v>
      </c>
      <c r="G2491" t="str">
        <f>HYPERLINK("https://ca.linkedin.com/jobs/view/data-analyst-python-sql-at-geotab-3341823745?refId=BDQaAjbjZxUbOxGn%2FHSV5w%3D%3D&amp;trackingId=nuz3XPrdsTo7Oee70d5O1Q%3D%3D&amp;position=17&amp;pageNum=0&amp;trk=public_jobs_jserp-result_search-card", "Job Link")</f>
        <v>Job Link</v>
      </c>
      <c r="H2491" t="s">
        <v>479</v>
      </c>
      <c r="I2491" t="s">
        <v>481</v>
      </c>
      <c r="J2491" t="s">
        <v>486</v>
      </c>
      <c r="K2491" t="s">
        <v>521</v>
      </c>
      <c r="L2491" t="s">
        <v>612</v>
      </c>
      <c r="M2491" t="s">
        <v>588</v>
      </c>
      <c r="N2491" t="s">
        <v>601</v>
      </c>
    </row>
    <row r="2492" spans="1:14" x14ac:dyDescent="0.25">
      <c r="A2492" t="s">
        <v>86</v>
      </c>
      <c r="B2492" t="s">
        <v>167</v>
      </c>
      <c r="C2492" t="s">
        <v>377</v>
      </c>
      <c r="D2492" t="s">
        <v>426</v>
      </c>
      <c r="F2492" t="s">
        <v>454</v>
      </c>
      <c r="G2492" t="str">
        <f>HYPERLINK("https://ca.linkedin.com/jobs/view/data-analyst-reporting-at-thescore-3345941286?refId=BDQaAjbjZxUbOxGn%2FHSV5w%3D%3D&amp;trackingId=%2Bp3WrXaA7PWxsXP%2BWRWwrA%3D%3D&amp;position=18&amp;pageNum=0&amp;trk=public_jobs_jserp-result_search-card", "Job Link")</f>
        <v>Job Link</v>
      </c>
      <c r="H2492" t="s">
        <v>476</v>
      </c>
      <c r="I2492" t="s">
        <v>481</v>
      </c>
      <c r="J2492" t="s">
        <v>486</v>
      </c>
      <c r="K2492" t="s">
        <v>545</v>
      </c>
      <c r="L2492" t="s">
        <v>582</v>
      </c>
      <c r="M2492" t="s">
        <v>588</v>
      </c>
      <c r="N2492" t="s">
        <v>601</v>
      </c>
    </row>
    <row r="2493" spans="1:14" x14ac:dyDescent="0.25">
      <c r="A2493" t="s">
        <v>87</v>
      </c>
      <c r="B2493" t="s">
        <v>218</v>
      </c>
      <c r="C2493" t="s">
        <v>378</v>
      </c>
      <c r="D2493" t="s">
        <v>426</v>
      </c>
      <c r="F2493" t="s">
        <v>432</v>
      </c>
      <c r="G2493">
        <v>0</v>
      </c>
      <c r="H2493" t="s">
        <v>478</v>
      </c>
      <c r="I2493" t="s">
        <v>483</v>
      </c>
      <c r="J2493" t="s">
        <v>486</v>
      </c>
      <c r="K2493" t="s">
        <v>521</v>
      </c>
      <c r="L2493" t="s">
        <v>582</v>
      </c>
      <c r="M2493" t="s">
        <v>588</v>
      </c>
      <c r="N2493" t="s">
        <v>601</v>
      </c>
    </row>
    <row r="2494" spans="1:14" x14ac:dyDescent="0.25">
      <c r="A2494" t="s">
        <v>90</v>
      </c>
      <c r="B2494" t="s">
        <v>223</v>
      </c>
      <c r="C2494" t="s">
        <v>383</v>
      </c>
      <c r="D2494" t="s">
        <v>426</v>
      </c>
      <c r="F2494" t="s">
        <v>443</v>
      </c>
      <c r="G2494" t="str">
        <f>HYPERLINK("https://ca.linkedin.com/jobs/view/data-administrator-data-analyst-at-hays-3369576413?refId=BDQaAjbjZxUbOxGn%2FHSV5w%3D%3D&amp;trackingId=S3LlLMTDIQ2%2B1hnv5g5iyQ%3D%3D&amp;position=20&amp;pageNum=0&amp;trk=public_jobs_jserp-result_search-card", "Job Link")</f>
        <v>Job Link</v>
      </c>
      <c r="H2494" t="s">
        <v>478</v>
      </c>
      <c r="I2494" t="s">
        <v>481</v>
      </c>
      <c r="J2494" t="s">
        <v>486</v>
      </c>
      <c r="K2494" t="s">
        <v>518</v>
      </c>
      <c r="L2494" t="s">
        <v>583</v>
      </c>
      <c r="M2494" t="s">
        <v>610</v>
      </c>
      <c r="N2494" t="s">
        <v>601</v>
      </c>
    </row>
    <row r="2495" spans="1:14" x14ac:dyDescent="0.25">
      <c r="A2495" t="s">
        <v>88</v>
      </c>
      <c r="B2495" t="s">
        <v>219</v>
      </c>
      <c r="C2495" t="s">
        <v>379</v>
      </c>
      <c r="D2495" t="s">
        <v>426</v>
      </c>
      <c r="F2495" t="s">
        <v>454</v>
      </c>
      <c r="G2495" t="str">
        <f>HYPERLINK("https://ca.linkedin.com/jobs/view/data-analyst-flight-pricing-optimization-at-priceline-3345993633?refId=BDQaAjbjZxUbOxGn%2FHSV5w%3D%3D&amp;trackingId=zONRO9Yd9Uc6%2FjwTJkpgcg%3D%3D&amp;position=21&amp;pageNum=0&amp;trk=public_jobs_jserp-result_search-card", "Job Link")</f>
        <v>Job Link</v>
      </c>
      <c r="H2495" t="s">
        <v>476</v>
      </c>
      <c r="I2495" t="s">
        <v>481</v>
      </c>
      <c r="J2495" t="s">
        <v>486</v>
      </c>
      <c r="K2495" t="s">
        <v>565</v>
      </c>
      <c r="L2495" t="s">
        <v>582</v>
      </c>
      <c r="M2495" t="s">
        <v>588</v>
      </c>
      <c r="N2495" t="s">
        <v>601</v>
      </c>
    </row>
    <row r="2496" spans="1:14" x14ac:dyDescent="0.25">
      <c r="A2496" t="s">
        <v>27</v>
      </c>
      <c r="B2496" t="s">
        <v>220</v>
      </c>
      <c r="C2496" t="s">
        <v>380</v>
      </c>
      <c r="D2496" t="s">
        <v>426</v>
      </c>
      <c r="F2496" t="s">
        <v>434</v>
      </c>
      <c r="G2496" t="str">
        <f>HYPERLINK("https://ca.linkedin.com/jobs/view/sr-data-analyst-at-randstad-canada-3354999789?refId=BDQaAjbjZxUbOxGn%2FHSV5w%3D%3D&amp;trackingId=kMl5BNo2Dn2LxunONGLkwg%3D%3D&amp;position=22&amp;pageNum=0&amp;trk=public_jobs_jserp-result_search-card", "Job Link")</f>
        <v>Job Link</v>
      </c>
      <c r="H2496" t="s">
        <v>478</v>
      </c>
      <c r="I2496" t="s">
        <v>483</v>
      </c>
      <c r="J2496" t="s">
        <v>486</v>
      </c>
      <c r="K2496" t="s">
        <v>518</v>
      </c>
      <c r="L2496" t="s">
        <v>584</v>
      </c>
      <c r="M2496" t="s">
        <v>588</v>
      </c>
      <c r="N2496" t="s">
        <v>601</v>
      </c>
    </row>
    <row r="2497" spans="1:14" x14ac:dyDescent="0.25">
      <c r="A2497" t="s">
        <v>89</v>
      </c>
      <c r="B2497" t="s">
        <v>221</v>
      </c>
      <c r="C2497" t="s">
        <v>381</v>
      </c>
      <c r="D2497" t="s">
        <v>426</v>
      </c>
      <c r="F2497" t="s">
        <v>461</v>
      </c>
      <c r="G2497">
        <v>0</v>
      </c>
      <c r="H2497" t="s">
        <v>476</v>
      </c>
      <c r="I2497" t="s">
        <v>481</v>
      </c>
      <c r="J2497" t="s">
        <v>488</v>
      </c>
      <c r="K2497" t="s">
        <v>566</v>
      </c>
      <c r="L2497" t="s">
        <v>582</v>
      </c>
      <c r="M2497" t="s">
        <v>588</v>
      </c>
      <c r="N2497" t="s">
        <v>601</v>
      </c>
    </row>
    <row r="2498" spans="1:14" x14ac:dyDescent="0.25">
      <c r="A2498" t="s">
        <v>14</v>
      </c>
      <c r="B2498" t="s">
        <v>222</v>
      </c>
      <c r="C2498" t="s">
        <v>382</v>
      </c>
      <c r="D2498" t="s">
        <v>426</v>
      </c>
      <c r="F2498" t="s">
        <v>431</v>
      </c>
      <c r="G2498" t="str">
        <f>HYPERLINK("https://ca.linkedin.com/jobs/view/data-analyst-at-circle-k-3367192655?refId=BDQaAjbjZxUbOxGn%2FHSV5w%3D%3D&amp;trackingId=bgxXw0TYxT0%2BFSa3ki1osA%3D%3D&amp;position=24&amp;pageNum=0&amp;trk=public_jobs_jserp-result_search-card", "Job Link")</f>
        <v>Job Link</v>
      </c>
      <c r="H2498" t="s">
        <v>476</v>
      </c>
      <c r="I2498" t="s">
        <v>481</v>
      </c>
      <c r="J2498" t="s">
        <v>486</v>
      </c>
      <c r="K2498" t="s">
        <v>567</v>
      </c>
      <c r="L2498" t="s">
        <v>582</v>
      </c>
      <c r="M2498" t="s">
        <v>588</v>
      </c>
      <c r="N2498" t="s">
        <v>601</v>
      </c>
    </row>
    <row r="2499" spans="1:14" x14ac:dyDescent="0.25">
      <c r="A2499" t="s">
        <v>14</v>
      </c>
      <c r="B2499" t="s">
        <v>225</v>
      </c>
      <c r="C2499" t="s">
        <v>385</v>
      </c>
      <c r="D2499" t="s">
        <v>426</v>
      </c>
      <c r="F2499" t="s">
        <v>463</v>
      </c>
      <c r="G2499" t="str">
        <f>HYPERLINK("https://ca.linkedin.com/jobs/view/data-analyst-at-vector-institute-3325395506?refId=BDQaAjbjZxUbOxGn%2FHSV5w%3D%3D&amp;trackingId=WPGP2CzhWMwA59aOKZrQWw%3D%3D&amp;position=25&amp;pageNum=0&amp;trk=public_jobs_jserp-result_search-card", "Job Link")</f>
        <v>Job Link</v>
      </c>
      <c r="H2499" t="s">
        <v>478</v>
      </c>
      <c r="I2499" t="s">
        <v>481</v>
      </c>
      <c r="J2499" t="s">
        <v>486</v>
      </c>
      <c r="K2499" t="s">
        <v>520</v>
      </c>
      <c r="L2499" t="s">
        <v>582</v>
      </c>
      <c r="M2499" t="s">
        <v>588</v>
      </c>
      <c r="N2499" t="s">
        <v>601</v>
      </c>
    </row>
    <row r="2500" spans="1:14" x14ac:dyDescent="0.25">
      <c r="A2500" t="s">
        <v>14</v>
      </c>
      <c r="B2500" t="s">
        <v>207</v>
      </c>
      <c r="C2500" t="s">
        <v>362</v>
      </c>
      <c r="D2500" t="s">
        <v>426</v>
      </c>
      <c r="F2500" t="s">
        <v>463</v>
      </c>
      <c r="G2500" t="str">
        <f>HYPERLINK("https://ca.linkedin.com/jobs/view/data-analyst-at-onlia-3320897897?refId=4Iyjt1GqhhFIfBFy71VDCg%3D%3D&amp;trackingId=PiMeZE81hZuPw1JidGgLrw%3D%3D&amp;position=1&amp;pageNum=0&amp;trk=public_jobs_jserp-result_search-card", "Job Link")</f>
        <v>Job Link</v>
      </c>
      <c r="H2500" t="s">
        <v>477</v>
      </c>
      <c r="I2500" t="s">
        <v>481</v>
      </c>
      <c r="J2500" t="s">
        <v>486</v>
      </c>
      <c r="K2500" t="s">
        <v>523</v>
      </c>
      <c r="L2500" t="s">
        <v>582</v>
      </c>
      <c r="M2500" t="s">
        <v>588</v>
      </c>
      <c r="N2500" t="s">
        <v>601</v>
      </c>
    </row>
    <row r="2501" spans="1:14" x14ac:dyDescent="0.25">
      <c r="A2501" t="s">
        <v>14</v>
      </c>
      <c r="B2501" t="s">
        <v>208</v>
      </c>
      <c r="C2501" t="s">
        <v>363</v>
      </c>
      <c r="D2501" t="s">
        <v>426</v>
      </c>
      <c r="F2501" t="s">
        <v>445</v>
      </c>
      <c r="G2501" t="str">
        <f>HYPERLINK("https://ca.linkedin.com/jobs/view/data-analyst-at-electronic-arts-ea-3325611825?refId=4Iyjt1GqhhFIfBFy71VDCg%3D%3D&amp;trackingId=jFqctRDFwPK%2Bfb8a0ga5oQ%3D%3D&amp;position=2&amp;pageNum=0&amp;trk=public_jobs_jserp-result_search-card", "Job Link")</f>
        <v>Job Link</v>
      </c>
      <c r="H2501" t="s">
        <v>479</v>
      </c>
      <c r="I2501" t="s">
        <v>481</v>
      </c>
      <c r="J2501" t="s">
        <v>507</v>
      </c>
      <c r="K2501" t="s">
        <v>559</v>
      </c>
      <c r="L2501" t="s">
        <v>582</v>
      </c>
      <c r="M2501" t="s">
        <v>588</v>
      </c>
      <c r="N2501" t="s">
        <v>601</v>
      </c>
    </row>
    <row r="2502" spans="1:14" x14ac:dyDescent="0.25">
      <c r="A2502" t="s">
        <v>14</v>
      </c>
      <c r="B2502" t="s">
        <v>209</v>
      </c>
      <c r="C2502" t="s">
        <v>364</v>
      </c>
      <c r="D2502" t="s">
        <v>426</v>
      </c>
      <c r="F2502" t="s">
        <v>440</v>
      </c>
      <c r="G2502" t="str">
        <f>HYPERLINK("https://ca.linkedin.com/jobs/view/data-analyst-at-frostbite-3370111856?refId=4Iyjt1GqhhFIfBFy71VDCg%3D%3D&amp;trackingId=3z5l2SAIEqLJUKFadDg0Sw%3D%3D&amp;position=3&amp;pageNum=0&amp;trk=public_jobs_jserp-result_search-card", "Job Link")</f>
        <v>Job Link</v>
      </c>
      <c r="H2502" t="s">
        <v>479</v>
      </c>
      <c r="I2502" t="s">
        <v>481</v>
      </c>
      <c r="J2502" t="s">
        <v>507</v>
      </c>
      <c r="K2502" t="s">
        <v>559</v>
      </c>
      <c r="L2502" t="s">
        <v>590</v>
      </c>
      <c r="M2502" t="s">
        <v>618</v>
      </c>
      <c r="N2502" t="s">
        <v>601</v>
      </c>
    </row>
    <row r="2503" spans="1:14" x14ac:dyDescent="0.25">
      <c r="A2503" t="s">
        <v>14</v>
      </c>
      <c r="B2503" t="s">
        <v>211</v>
      </c>
      <c r="C2503" t="s">
        <v>366</v>
      </c>
      <c r="D2503" t="s">
        <v>426</v>
      </c>
      <c r="F2503" t="s">
        <v>443</v>
      </c>
      <c r="G2503" t="str">
        <f>HYPERLINK("https://ca.linkedin.com/jobs/view/data-analyst-at-mphasis-3363428246?refId=4Iyjt1GqhhFIfBFy71VDCg%3D%3D&amp;trackingId=4M2eHoY%2BZtElX%2FMLvkzAvA%3D%3D&amp;position=4&amp;pageNum=0&amp;trk=public_jobs_jserp-result_search-card", "Job Link")</f>
        <v>Job Link</v>
      </c>
      <c r="H2503" t="s">
        <v>477</v>
      </c>
      <c r="I2503" t="s">
        <v>481</v>
      </c>
      <c r="J2503" t="s">
        <v>486</v>
      </c>
      <c r="K2503" t="s">
        <v>521</v>
      </c>
      <c r="L2503" t="s">
        <v>609</v>
      </c>
      <c r="M2503" t="s">
        <v>610</v>
      </c>
      <c r="N2503" t="s">
        <v>601</v>
      </c>
    </row>
    <row r="2504" spans="1:14" x14ac:dyDescent="0.25">
      <c r="A2504" t="s">
        <v>81</v>
      </c>
      <c r="B2504" t="s">
        <v>210</v>
      </c>
      <c r="C2504" t="s">
        <v>365</v>
      </c>
      <c r="D2504" t="s">
        <v>426</v>
      </c>
      <c r="F2504" t="s">
        <v>436</v>
      </c>
      <c r="G2504" t="str">
        <f>HYPERLINK("https://ca.linkedin.com/jobs/view/data-analyst-c117-at-mitsubishi-motor-sales-of-canada-inc-3344852931?refId=4Iyjt1GqhhFIfBFy71VDCg%3D%3D&amp;trackingId=du1dqVRFAHcg%2FgNswf0Buw%3D%3D&amp;position=5&amp;pageNum=0&amp;trk=public_jobs_jserp-result_search-card", "Job Link")</f>
        <v>Job Link</v>
      </c>
      <c r="H2504" t="s">
        <v>477</v>
      </c>
      <c r="I2504" t="s">
        <v>481</v>
      </c>
      <c r="J2504" t="s">
        <v>508</v>
      </c>
      <c r="K2504" t="s">
        <v>561</v>
      </c>
      <c r="L2504" t="s">
        <v>584</v>
      </c>
      <c r="M2504" t="s">
        <v>588</v>
      </c>
      <c r="N2504" t="s">
        <v>601</v>
      </c>
    </row>
    <row r="2505" spans="1:14" x14ac:dyDescent="0.25">
      <c r="A2505" t="s">
        <v>14</v>
      </c>
      <c r="B2505" t="s">
        <v>150</v>
      </c>
      <c r="C2505" t="s">
        <v>367</v>
      </c>
      <c r="D2505" t="s">
        <v>426</v>
      </c>
      <c r="F2505" t="s">
        <v>433</v>
      </c>
      <c r="G2505" t="str">
        <f>HYPERLINK("https://ca.linkedin.com/jobs/view/data-analyst-at-synechron-3348329085?refId=4Iyjt1GqhhFIfBFy71VDCg%3D%3D&amp;trackingId=ry62aRdVS8Vcu5y4ANfCMA%3D%3D&amp;position=6&amp;pageNum=0&amp;trk=public_jobs_jserp-result_search-card", "Job Link")</f>
        <v>Job Link</v>
      </c>
      <c r="H2505" t="s">
        <v>478</v>
      </c>
      <c r="I2505" t="s">
        <v>481</v>
      </c>
      <c r="J2505" t="s">
        <v>486</v>
      </c>
      <c r="K2505" t="s">
        <v>562</v>
      </c>
      <c r="L2505" t="s">
        <v>584</v>
      </c>
      <c r="M2505" t="s">
        <v>588</v>
      </c>
      <c r="N2505" t="s">
        <v>601</v>
      </c>
    </row>
    <row r="2506" spans="1:14" x14ac:dyDescent="0.25">
      <c r="A2506" t="s">
        <v>82</v>
      </c>
      <c r="B2506" t="s">
        <v>179</v>
      </c>
      <c r="C2506" t="s">
        <v>368</v>
      </c>
      <c r="D2506" t="s">
        <v>426</v>
      </c>
      <c r="F2506" t="s">
        <v>471</v>
      </c>
      <c r="G2506" t="str">
        <f>HYPERLINK("https://ca.linkedin.com/jobs/view/business-data-analyst-at-capgemini-3327624663?refId=4Iyjt1GqhhFIfBFy71VDCg%3D%3D&amp;trackingId=rvJ2aH4jjg6FjguUT0%2FAwQ%3D%3D&amp;position=7&amp;pageNum=0&amp;trk=public_jobs_jserp-result_search-card", "Job Link")</f>
        <v>Job Link</v>
      </c>
      <c r="H2506" t="s">
        <v>478</v>
      </c>
      <c r="I2506" t="s">
        <v>481</v>
      </c>
      <c r="J2506" t="s">
        <v>486</v>
      </c>
      <c r="K2506" t="s">
        <v>521</v>
      </c>
      <c r="L2506" t="s">
        <v>611</v>
      </c>
      <c r="M2506" t="s">
        <v>601</v>
      </c>
    </row>
    <row r="2507" spans="1:14" x14ac:dyDescent="0.25">
      <c r="A2507" t="s">
        <v>14</v>
      </c>
      <c r="B2507" t="s">
        <v>150</v>
      </c>
      <c r="C2507" t="s">
        <v>369</v>
      </c>
      <c r="D2507" t="s">
        <v>426</v>
      </c>
      <c r="F2507" t="s">
        <v>460</v>
      </c>
      <c r="G2507" t="str">
        <f>HYPERLINK("https://ca.linkedin.com/jobs/view/data-analyst-at-synechron-3364863079?refId=4Iyjt1GqhhFIfBFy71VDCg%3D%3D&amp;trackingId=EK7GTtdfG1FfssfQ3Eu9DQ%3D%3D&amp;position=8&amp;pageNum=0&amp;trk=public_jobs_jserp-result_search-card", "Job Link")</f>
        <v>Job Link</v>
      </c>
      <c r="H2507" t="s">
        <v>478</v>
      </c>
      <c r="I2507" t="s">
        <v>481</v>
      </c>
      <c r="J2507" t="s">
        <v>486</v>
      </c>
      <c r="K2507" t="s">
        <v>563</v>
      </c>
      <c r="L2507" t="s">
        <v>584</v>
      </c>
      <c r="M2507" t="s">
        <v>588</v>
      </c>
      <c r="N2507" t="s">
        <v>601</v>
      </c>
    </row>
    <row r="2508" spans="1:14" x14ac:dyDescent="0.25">
      <c r="A2508" t="s">
        <v>14</v>
      </c>
      <c r="B2508" t="s">
        <v>150</v>
      </c>
      <c r="C2508" t="s">
        <v>367</v>
      </c>
      <c r="D2508" t="s">
        <v>426</v>
      </c>
      <c r="F2508" t="s">
        <v>460</v>
      </c>
      <c r="G2508" t="str">
        <f>HYPERLINK("https://ca.linkedin.com/jobs/view/data-analyst-at-synechron-3361756851?refId=4Iyjt1GqhhFIfBFy71VDCg%3D%3D&amp;trackingId=IG%2BD0h8%2F51wEcGQBjaVlpA%3D%3D&amp;position=9&amp;pageNum=0&amp;trk=public_jobs_jserp-result_search-card", "Job Link")</f>
        <v>Job Link</v>
      </c>
      <c r="H2508" t="s">
        <v>478</v>
      </c>
      <c r="I2508" t="s">
        <v>481</v>
      </c>
      <c r="J2508" t="s">
        <v>486</v>
      </c>
      <c r="K2508" t="s">
        <v>562</v>
      </c>
      <c r="L2508" t="s">
        <v>584</v>
      </c>
      <c r="M2508" t="s">
        <v>588</v>
      </c>
      <c r="N2508" t="s">
        <v>601</v>
      </c>
    </row>
    <row r="2509" spans="1:14" x14ac:dyDescent="0.25">
      <c r="A2509" t="s">
        <v>14</v>
      </c>
      <c r="B2509" t="s">
        <v>212</v>
      </c>
      <c r="C2509" t="s">
        <v>370</v>
      </c>
      <c r="D2509" t="s">
        <v>426</v>
      </c>
      <c r="F2509" t="s">
        <v>432</v>
      </c>
      <c r="G2509" t="str">
        <f>HYPERLINK("https://ca.linkedin.com/jobs/view/data-analyst-at-agilus-work-solutions-3358673093?refId=4Iyjt1GqhhFIfBFy71VDCg%3D%3D&amp;trackingId=6WsWOJ2UFm4ExZYbjgnOFg%3D%3D&amp;position=10&amp;pageNum=0&amp;trk=public_jobs_jserp-result_search-card", "Job Link")</f>
        <v>Job Link</v>
      </c>
      <c r="H2509" t="s">
        <v>477</v>
      </c>
      <c r="I2509" t="s">
        <v>483</v>
      </c>
      <c r="J2509" t="s">
        <v>486</v>
      </c>
      <c r="K2509" t="s">
        <v>518</v>
      </c>
      <c r="L2509" t="s">
        <v>582</v>
      </c>
      <c r="M2509" t="s">
        <v>588</v>
      </c>
      <c r="N2509" t="s">
        <v>601</v>
      </c>
    </row>
    <row r="2510" spans="1:14" x14ac:dyDescent="0.25">
      <c r="A2510" t="s">
        <v>14</v>
      </c>
      <c r="B2510" t="s">
        <v>214</v>
      </c>
      <c r="C2510" t="s">
        <v>372</v>
      </c>
      <c r="D2510" t="s">
        <v>426</v>
      </c>
      <c r="F2510" t="s">
        <v>432</v>
      </c>
      <c r="G2510" t="str">
        <f>HYPERLINK("https://ca.linkedin.com/jobs/view/data-analyst-at-goeasy-ltd-3358677253?refId=4Iyjt1GqhhFIfBFy71VDCg%3D%3D&amp;trackingId=4TVTJ7uJ6%2FGUII1a7vMEyg%3D%3D&amp;position=11&amp;pageNum=0&amp;trk=public_jobs_jserp-result_search-card", "Job Link")</f>
        <v>Job Link</v>
      </c>
      <c r="H2510" t="s">
        <v>476</v>
      </c>
      <c r="I2510" t="s">
        <v>481</v>
      </c>
      <c r="J2510" t="s">
        <v>486</v>
      </c>
      <c r="K2510" t="s">
        <v>550</v>
      </c>
      <c r="L2510" t="s">
        <v>584</v>
      </c>
      <c r="M2510" t="s">
        <v>588</v>
      </c>
      <c r="N2510" t="s">
        <v>601</v>
      </c>
    </row>
    <row r="2511" spans="1:14" x14ac:dyDescent="0.25">
      <c r="A2511" t="s">
        <v>14</v>
      </c>
      <c r="B2511" t="s">
        <v>213</v>
      </c>
      <c r="C2511" t="s">
        <v>371</v>
      </c>
      <c r="D2511" t="s">
        <v>426</v>
      </c>
      <c r="F2511" t="s">
        <v>472</v>
      </c>
      <c r="G2511" t="str">
        <f>HYPERLINK("https://ca.linkedin.com/jobs/view/data-analyst-at-linkus-group-3345817125?refId=4Iyjt1GqhhFIfBFy71VDCg%3D%3D&amp;trackingId=UXZGtjYJ3i8F1X2BftYaCg%3D%3D&amp;position=12&amp;pageNum=0&amp;trk=public_jobs_jserp-result_search-card", "Job Link")</f>
        <v>Job Link</v>
      </c>
      <c r="H2511" t="s">
        <v>476</v>
      </c>
      <c r="I2511" t="s">
        <v>481</v>
      </c>
      <c r="J2511" t="s">
        <v>486</v>
      </c>
      <c r="K2511" t="s">
        <v>518</v>
      </c>
      <c r="L2511" t="s">
        <v>588</v>
      </c>
      <c r="M2511" t="s">
        <v>601</v>
      </c>
    </row>
    <row r="2512" spans="1:14" x14ac:dyDescent="0.25">
      <c r="A2512" t="s">
        <v>83</v>
      </c>
      <c r="B2512" t="s">
        <v>215</v>
      </c>
      <c r="C2512" t="s">
        <v>373</v>
      </c>
      <c r="D2512" t="s">
        <v>426</v>
      </c>
      <c r="F2512" t="s">
        <v>462</v>
      </c>
      <c r="G2512">
        <v>0</v>
      </c>
      <c r="H2512" t="s">
        <v>478</v>
      </c>
      <c r="I2512" t="s">
        <v>483</v>
      </c>
      <c r="J2512" t="s">
        <v>509</v>
      </c>
      <c r="K2512" t="s">
        <v>550</v>
      </c>
      <c r="L2512" t="s">
        <v>584</v>
      </c>
      <c r="M2512" t="s">
        <v>588</v>
      </c>
      <c r="N2512" t="s">
        <v>601</v>
      </c>
    </row>
    <row r="2513" spans="1:14" x14ac:dyDescent="0.25">
      <c r="A2513" t="s">
        <v>91</v>
      </c>
      <c r="B2513" t="s">
        <v>224</v>
      </c>
      <c r="C2513" t="s">
        <v>384</v>
      </c>
      <c r="D2513" t="s">
        <v>426</v>
      </c>
      <c r="F2513" t="s">
        <v>431</v>
      </c>
      <c r="G2513" t="str">
        <f>HYPERLINK("https://ca.linkedin.com/jobs/view/commercial-data-analyst-at-organigram-inc-3367177254?refId=4Iyjt1GqhhFIfBFy71VDCg%3D%3D&amp;trackingId=sle87fXuf1u2OEzesZL%2BwQ%3D%3D&amp;position=14&amp;pageNum=0&amp;trk=public_jobs_jserp-result_search-card", "Job Link")</f>
        <v>Job Link</v>
      </c>
      <c r="I2513" t="s">
        <v>481</v>
      </c>
      <c r="L2513" t="s">
        <v>582</v>
      </c>
      <c r="M2513" t="s">
        <v>588</v>
      </c>
      <c r="N2513" t="s">
        <v>601</v>
      </c>
    </row>
    <row r="2514" spans="1:14" x14ac:dyDescent="0.25">
      <c r="A2514" t="s">
        <v>20</v>
      </c>
      <c r="B2514" t="s">
        <v>207</v>
      </c>
      <c r="C2514" t="s">
        <v>374</v>
      </c>
      <c r="D2514" t="s">
        <v>426</v>
      </c>
      <c r="F2514" t="s">
        <v>463</v>
      </c>
      <c r="G2514" t="str">
        <f>HYPERLINK("https://ca.linkedin.com/jobs/view/senior-data-analyst-at-onlia-3320897882?refId=4Iyjt1GqhhFIfBFy71VDCg%3D%3D&amp;trackingId=6per9jWNoMYmAkuye%2F6HrQ%3D%3D&amp;position=15&amp;pageNum=0&amp;trk=public_jobs_jserp-result_search-card", "Job Link")</f>
        <v>Job Link</v>
      </c>
      <c r="H2514" t="s">
        <v>477</v>
      </c>
      <c r="I2514" t="s">
        <v>481</v>
      </c>
      <c r="J2514" t="s">
        <v>486</v>
      </c>
      <c r="K2514" t="s">
        <v>523</v>
      </c>
      <c r="L2514" t="s">
        <v>582</v>
      </c>
      <c r="M2514" t="s">
        <v>588</v>
      </c>
      <c r="N2514" t="s">
        <v>601</v>
      </c>
    </row>
    <row r="2515" spans="1:14" x14ac:dyDescent="0.25">
      <c r="A2515" t="s">
        <v>84</v>
      </c>
      <c r="B2515" t="s">
        <v>216</v>
      </c>
      <c r="C2515" t="s">
        <v>375</v>
      </c>
      <c r="D2515" t="s">
        <v>426</v>
      </c>
      <c r="F2515" t="s">
        <v>452</v>
      </c>
      <c r="G2515" t="str">
        <f>HYPERLINK("https://ca.linkedin.com/jobs/view/data-analyst-hybrid-at-xylem-3335088701?refId=4Iyjt1GqhhFIfBFy71VDCg%3D%3D&amp;trackingId=rZeGvV3BNIGLOLH7C4NJ5w%3D%3D&amp;position=16&amp;pageNum=0&amp;trk=public_jobs_jserp-result_search-card", "Job Link")</f>
        <v>Job Link</v>
      </c>
      <c r="H2515" t="s">
        <v>476</v>
      </c>
      <c r="I2515" t="s">
        <v>481</v>
      </c>
      <c r="J2515" t="s">
        <v>486</v>
      </c>
      <c r="K2515" t="s">
        <v>564</v>
      </c>
      <c r="L2515" t="s">
        <v>584</v>
      </c>
      <c r="M2515" t="s">
        <v>588</v>
      </c>
      <c r="N2515" t="s">
        <v>601</v>
      </c>
    </row>
    <row r="2516" spans="1:14" x14ac:dyDescent="0.25">
      <c r="A2516" t="s">
        <v>85</v>
      </c>
      <c r="B2516" t="s">
        <v>217</v>
      </c>
      <c r="C2516" t="s">
        <v>376</v>
      </c>
      <c r="D2516" t="s">
        <v>426</v>
      </c>
      <c r="F2516" t="s">
        <v>473</v>
      </c>
      <c r="G2516" t="str">
        <f>HYPERLINK("https://ca.linkedin.com/jobs/view/data-analyst-python-sql-at-geotab-3341823745?refId=4Iyjt1GqhhFIfBFy71VDCg%3D%3D&amp;trackingId=9L2e%2BWa5yUAxon%2FKdQjuHQ%3D%3D&amp;position=17&amp;pageNum=0&amp;trk=public_jobs_jserp-result_search-card", "Job Link")</f>
        <v>Job Link</v>
      </c>
      <c r="H2516" t="s">
        <v>479</v>
      </c>
      <c r="I2516" t="s">
        <v>481</v>
      </c>
      <c r="J2516" t="s">
        <v>486</v>
      </c>
      <c r="K2516" t="s">
        <v>521</v>
      </c>
      <c r="L2516" t="s">
        <v>612</v>
      </c>
      <c r="M2516" t="s">
        <v>588</v>
      </c>
      <c r="N2516" t="s">
        <v>601</v>
      </c>
    </row>
    <row r="2517" spans="1:14" x14ac:dyDescent="0.25">
      <c r="A2517" t="s">
        <v>86</v>
      </c>
      <c r="B2517" t="s">
        <v>167</v>
      </c>
      <c r="C2517" t="s">
        <v>377</v>
      </c>
      <c r="D2517" t="s">
        <v>426</v>
      </c>
      <c r="F2517" t="s">
        <v>454</v>
      </c>
      <c r="G2517" t="str">
        <f>HYPERLINK("https://ca.linkedin.com/jobs/view/data-analyst-reporting-at-thescore-3345941286?refId=4Iyjt1GqhhFIfBFy71VDCg%3D%3D&amp;trackingId=%2B3wKoGURmzuQCgNdtwdE0g%3D%3D&amp;position=18&amp;pageNum=0&amp;trk=public_jobs_jserp-result_search-card", "Job Link")</f>
        <v>Job Link</v>
      </c>
      <c r="H2517" t="s">
        <v>476</v>
      </c>
      <c r="I2517" t="s">
        <v>481</v>
      </c>
      <c r="J2517" t="s">
        <v>486</v>
      </c>
      <c r="K2517" t="s">
        <v>545</v>
      </c>
      <c r="L2517" t="s">
        <v>582</v>
      </c>
      <c r="M2517" t="s">
        <v>588</v>
      </c>
      <c r="N2517" t="s">
        <v>601</v>
      </c>
    </row>
    <row r="2518" spans="1:14" x14ac:dyDescent="0.25">
      <c r="A2518" t="s">
        <v>87</v>
      </c>
      <c r="B2518" t="s">
        <v>218</v>
      </c>
      <c r="C2518" t="s">
        <v>378</v>
      </c>
      <c r="D2518" t="s">
        <v>426</v>
      </c>
      <c r="F2518" t="s">
        <v>432</v>
      </c>
      <c r="G2518">
        <v>0</v>
      </c>
      <c r="H2518" t="s">
        <v>478</v>
      </c>
      <c r="I2518" t="s">
        <v>483</v>
      </c>
      <c r="J2518" t="s">
        <v>486</v>
      </c>
      <c r="K2518" t="s">
        <v>521</v>
      </c>
      <c r="L2518" t="s">
        <v>582</v>
      </c>
      <c r="M2518" t="s">
        <v>588</v>
      </c>
      <c r="N2518" t="s">
        <v>601</v>
      </c>
    </row>
    <row r="2519" spans="1:14" x14ac:dyDescent="0.25">
      <c r="A2519" t="s">
        <v>90</v>
      </c>
      <c r="B2519" t="s">
        <v>223</v>
      </c>
      <c r="C2519" t="s">
        <v>383</v>
      </c>
      <c r="D2519" t="s">
        <v>426</v>
      </c>
      <c r="F2519" t="s">
        <v>443</v>
      </c>
      <c r="G2519" t="str">
        <f>HYPERLINK("https://ca.linkedin.com/jobs/view/data-administrator-data-analyst-at-hays-3369576413?refId=4Iyjt1GqhhFIfBFy71VDCg%3D%3D&amp;trackingId=5vT%2BNBOzIPzkBAz%2BHmz1rA%3D%3D&amp;position=20&amp;pageNum=0&amp;trk=public_jobs_jserp-result_search-card", "Job Link")</f>
        <v>Job Link</v>
      </c>
      <c r="H2519" t="s">
        <v>478</v>
      </c>
      <c r="I2519" t="s">
        <v>481</v>
      </c>
      <c r="J2519" t="s">
        <v>486</v>
      </c>
      <c r="K2519" t="s">
        <v>518</v>
      </c>
      <c r="L2519" t="s">
        <v>583</v>
      </c>
      <c r="M2519" t="s">
        <v>610</v>
      </c>
      <c r="N2519" t="s">
        <v>601</v>
      </c>
    </row>
    <row r="2520" spans="1:14" x14ac:dyDescent="0.25">
      <c r="A2520" t="s">
        <v>88</v>
      </c>
      <c r="B2520" t="s">
        <v>219</v>
      </c>
      <c r="C2520" t="s">
        <v>379</v>
      </c>
      <c r="D2520" t="s">
        <v>426</v>
      </c>
      <c r="F2520" t="s">
        <v>454</v>
      </c>
      <c r="G2520" t="str">
        <f>HYPERLINK("https://ca.linkedin.com/jobs/view/data-analyst-flight-pricing-optimization-at-priceline-3345993633?refId=4Iyjt1GqhhFIfBFy71VDCg%3D%3D&amp;trackingId=k%2BjVFAnDvoCkE%2FnFrMIw3w%3D%3D&amp;position=21&amp;pageNum=0&amp;trk=public_jobs_jserp-result_search-card", "Job Link")</f>
        <v>Job Link</v>
      </c>
      <c r="H2520" t="s">
        <v>476</v>
      </c>
      <c r="I2520" t="s">
        <v>481</v>
      </c>
      <c r="J2520" t="s">
        <v>486</v>
      </c>
      <c r="K2520" t="s">
        <v>565</v>
      </c>
      <c r="L2520" t="s">
        <v>582</v>
      </c>
      <c r="M2520" t="s">
        <v>588</v>
      </c>
      <c r="N2520" t="s">
        <v>601</v>
      </c>
    </row>
    <row r="2521" spans="1:14" x14ac:dyDescent="0.25">
      <c r="A2521" t="s">
        <v>89</v>
      </c>
      <c r="B2521" t="s">
        <v>221</v>
      </c>
      <c r="C2521" t="s">
        <v>381</v>
      </c>
      <c r="D2521" t="s">
        <v>426</v>
      </c>
      <c r="F2521" t="s">
        <v>461</v>
      </c>
      <c r="G2521">
        <v>0</v>
      </c>
      <c r="H2521" t="s">
        <v>476</v>
      </c>
      <c r="I2521" t="s">
        <v>481</v>
      </c>
      <c r="J2521" t="s">
        <v>488</v>
      </c>
      <c r="K2521" t="s">
        <v>566</v>
      </c>
      <c r="L2521" t="s">
        <v>582</v>
      </c>
      <c r="M2521" t="s">
        <v>588</v>
      </c>
      <c r="N2521" t="s">
        <v>601</v>
      </c>
    </row>
    <row r="2522" spans="1:14" x14ac:dyDescent="0.25">
      <c r="A2522" t="s">
        <v>14</v>
      </c>
      <c r="B2522" t="s">
        <v>222</v>
      </c>
      <c r="C2522" t="s">
        <v>382</v>
      </c>
      <c r="D2522" t="s">
        <v>426</v>
      </c>
      <c r="F2522" t="s">
        <v>431</v>
      </c>
      <c r="G2522" t="str">
        <f>HYPERLINK("https://ca.linkedin.com/jobs/view/data-analyst-at-circle-k-3367192655?refId=4Iyjt1GqhhFIfBFy71VDCg%3D%3D&amp;trackingId=akBDXbqXH5jMh90UGIlp2A%3D%3D&amp;position=23&amp;pageNum=0&amp;trk=public_jobs_jserp-result_search-card", "Job Link")</f>
        <v>Job Link</v>
      </c>
      <c r="H2522" t="s">
        <v>476</v>
      </c>
      <c r="I2522" t="s">
        <v>481</v>
      </c>
      <c r="J2522" t="s">
        <v>486</v>
      </c>
      <c r="K2522" t="s">
        <v>567</v>
      </c>
      <c r="L2522" t="s">
        <v>582</v>
      </c>
      <c r="M2522" t="s">
        <v>588</v>
      </c>
      <c r="N2522" t="s">
        <v>601</v>
      </c>
    </row>
    <row r="2523" spans="1:14" x14ac:dyDescent="0.25">
      <c r="A2523" t="s">
        <v>14</v>
      </c>
      <c r="B2523" t="s">
        <v>225</v>
      </c>
      <c r="C2523" t="s">
        <v>385</v>
      </c>
      <c r="D2523" t="s">
        <v>426</v>
      </c>
      <c r="F2523" t="s">
        <v>463</v>
      </c>
      <c r="G2523" t="str">
        <f>HYPERLINK("https://ca.linkedin.com/jobs/view/data-analyst-at-vector-institute-3325395506?refId=4Iyjt1GqhhFIfBFy71VDCg%3D%3D&amp;trackingId=Dzg%2BcS36G%2FfM%2FFg1vpkEJA%3D%3D&amp;position=24&amp;pageNum=0&amp;trk=public_jobs_jserp-result_search-card", "Job Link")</f>
        <v>Job Link</v>
      </c>
      <c r="H2523" t="s">
        <v>478</v>
      </c>
      <c r="I2523" t="s">
        <v>481</v>
      </c>
      <c r="J2523" t="s">
        <v>486</v>
      </c>
      <c r="K2523" t="s">
        <v>520</v>
      </c>
      <c r="L2523" t="s">
        <v>582</v>
      </c>
      <c r="M2523" t="s">
        <v>588</v>
      </c>
      <c r="N2523" t="s">
        <v>601</v>
      </c>
    </row>
    <row r="2524" spans="1:14" x14ac:dyDescent="0.25">
      <c r="A2524" t="s">
        <v>14</v>
      </c>
      <c r="B2524" t="s">
        <v>226</v>
      </c>
      <c r="C2524" t="s">
        <v>386</v>
      </c>
      <c r="D2524" t="s">
        <v>426</v>
      </c>
      <c r="F2524" t="s">
        <v>474</v>
      </c>
      <c r="G2524" t="str">
        <f>HYPERLINK("https://ca.linkedin.com/jobs/view/data-analyst-at-gsl-group-3334387645?refId=4Iyjt1GqhhFIfBFy71VDCg%3D%3D&amp;trackingId=p4%2BEVA%2B1Y%2Fr2kCDJEQza7A%3D%3D&amp;position=25&amp;pageNum=0&amp;trk=public_jobs_jserp-result_search-card", "Job Link")</f>
        <v>Job Link</v>
      </c>
      <c r="H2524" t="s">
        <v>476</v>
      </c>
      <c r="I2524" t="s">
        <v>481</v>
      </c>
      <c r="J2524" t="s">
        <v>486</v>
      </c>
      <c r="K2524" t="s">
        <v>568</v>
      </c>
      <c r="L2524" t="s">
        <v>590</v>
      </c>
      <c r="M2524" t="s">
        <v>618</v>
      </c>
      <c r="N2524" t="s">
        <v>601</v>
      </c>
    </row>
    <row r="2525" spans="1:14" x14ac:dyDescent="0.25">
      <c r="A2525" t="s">
        <v>14</v>
      </c>
      <c r="B2525" t="s">
        <v>207</v>
      </c>
      <c r="C2525" t="s">
        <v>362</v>
      </c>
      <c r="D2525" t="s">
        <v>426</v>
      </c>
      <c r="F2525" t="s">
        <v>463</v>
      </c>
      <c r="G2525" t="str">
        <f>HYPERLINK("https://ca.linkedin.com/jobs/view/data-analyst-at-onlia-3320897897?refId=5U7YE1jLSt1a66c0tUzy1Q%3D%3D&amp;trackingId=gnSM68ejTF%2BthAXeVpmHgw%3D%3D&amp;position=1&amp;pageNum=0&amp;trk=public_jobs_jserp-result_search-card", "Job Link")</f>
        <v>Job Link</v>
      </c>
      <c r="H2525" t="s">
        <v>477</v>
      </c>
      <c r="I2525" t="s">
        <v>481</v>
      </c>
      <c r="J2525" t="s">
        <v>486</v>
      </c>
      <c r="K2525" t="s">
        <v>523</v>
      </c>
      <c r="L2525" t="s">
        <v>582</v>
      </c>
      <c r="M2525" t="s">
        <v>588</v>
      </c>
      <c r="N2525" t="s">
        <v>601</v>
      </c>
    </row>
    <row r="2526" spans="1:14" x14ac:dyDescent="0.25">
      <c r="A2526" t="s">
        <v>14</v>
      </c>
      <c r="B2526" t="s">
        <v>208</v>
      </c>
      <c r="C2526" t="s">
        <v>363</v>
      </c>
      <c r="D2526" t="s">
        <v>426</v>
      </c>
      <c r="F2526" t="s">
        <v>445</v>
      </c>
      <c r="G2526" t="str">
        <f>HYPERLINK("https://ca.linkedin.com/jobs/view/data-analyst-at-electronic-arts-ea-3325611825?refId=5U7YE1jLSt1a66c0tUzy1Q%3D%3D&amp;trackingId=mll2tRM7s4vxMmKmWfiAvg%3D%3D&amp;position=2&amp;pageNum=0&amp;trk=public_jobs_jserp-result_search-card", "Job Link")</f>
        <v>Job Link</v>
      </c>
      <c r="H2526" t="s">
        <v>479</v>
      </c>
      <c r="I2526" t="s">
        <v>481</v>
      </c>
      <c r="J2526" t="s">
        <v>507</v>
      </c>
      <c r="K2526" t="s">
        <v>559</v>
      </c>
      <c r="L2526" t="s">
        <v>582</v>
      </c>
      <c r="M2526" t="s">
        <v>588</v>
      </c>
      <c r="N2526" t="s">
        <v>601</v>
      </c>
    </row>
    <row r="2527" spans="1:14" x14ac:dyDescent="0.25">
      <c r="A2527" t="s">
        <v>14</v>
      </c>
      <c r="B2527" t="s">
        <v>209</v>
      </c>
      <c r="C2527" t="s">
        <v>364</v>
      </c>
      <c r="D2527" t="s">
        <v>426</v>
      </c>
      <c r="F2527" t="s">
        <v>440</v>
      </c>
      <c r="G2527" t="str">
        <f>HYPERLINK("https://ca.linkedin.com/jobs/view/data-analyst-at-frostbite-3370111856?refId=5U7YE1jLSt1a66c0tUzy1Q%3D%3D&amp;trackingId=HitmX6fjr%2BBwCyz1NPQKKQ%3D%3D&amp;position=3&amp;pageNum=0&amp;trk=public_jobs_jserp-result_search-card", "Job Link")</f>
        <v>Job Link</v>
      </c>
      <c r="H2527" t="s">
        <v>479</v>
      </c>
      <c r="I2527" t="s">
        <v>481</v>
      </c>
      <c r="J2527" t="s">
        <v>507</v>
      </c>
      <c r="K2527" t="s">
        <v>559</v>
      </c>
      <c r="L2527" t="s">
        <v>590</v>
      </c>
      <c r="M2527" t="s">
        <v>618</v>
      </c>
      <c r="N2527" t="s">
        <v>601</v>
      </c>
    </row>
    <row r="2528" spans="1:14" x14ac:dyDescent="0.25">
      <c r="A2528" t="s">
        <v>81</v>
      </c>
      <c r="B2528" t="s">
        <v>210</v>
      </c>
      <c r="C2528" t="s">
        <v>365</v>
      </c>
      <c r="D2528" t="s">
        <v>426</v>
      </c>
      <c r="F2528" t="s">
        <v>436</v>
      </c>
      <c r="G2528" t="str">
        <f>HYPERLINK("https://ca.linkedin.com/jobs/view/data-analyst-c117-at-mitsubishi-motor-sales-of-canada-inc-3344852931?refId=5U7YE1jLSt1a66c0tUzy1Q%3D%3D&amp;trackingId=89MV1DAAbUCN%2B2DwQdJD4Q%3D%3D&amp;position=4&amp;pageNum=0&amp;trk=public_jobs_jserp-result_search-card", "Job Link")</f>
        <v>Job Link</v>
      </c>
      <c r="H2528" t="s">
        <v>477</v>
      </c>
      <c r="I2528" t="s">
        <v>481</v>
      </c>
      <c r="J2528" t="s">
        <v>508</v>
      </c>
      <c r="K2528" t="s">
        <v>561</v>
      </c>
      <c r="L2528" t="s">
        <v>584</v>
      </c>
      <c r="M2528" t="s">
        <v>588</v>
      </c>
      <c r="N2528" t="s">
        <v>601</v>
      </c>
    </row>
    <row r="2529" spans="1:14" x14ac:dyDescent="0.25">
      <c r="A2529" t="s">
        <v>14</v>
      </c>
      <c r="B2529" t="s">
        <v>211</v>
      </c>
      <c r="C2529" t="s">
        <v>366</v>
      </c>
      <c r="D2529" t="s">
        <v>426</v>
      </c>
      <c r="F2529" t="s">
        <v>443</v>
      </c>
      <c r="G2529" t="str">
        <f>HYPERLINK("https://ca.linkedin.com/jobs/view/data-analyst-at-mphasis-3363428246?refId=5U7YE1jLSt1a66c0tUzy1Q%3D%3D&amp;trackingId=sSBzgmskrkYKJ5c41zDfXA%3D%3D&amp;position=5&amp;pageNum=0&amp;trk=public_jobs_jserp-result_search-card", "Job Link")</f>
        <v>Job Link</v>
      </c>
      <c r="H2529" t="s">
        <v>477</v>
      </c>
      <c r="I2529" t="s">
        <v>481</v>
      </c>
      <c r="J2529" t="s">
        <v>486</v>
      </c>
      <c r="K2529" t="s">
        <v>521</v>
      </c>
      <c r="L2529" t="s">
        <v>609</v>
      </c>
      <c r="M2529" t="s">
        <v>610</v>
      </c>
      <c r="N2529" t="s">
        <v>601</v>
      </c>
    </row>
    <row r="2530" spans="1:14" x14ac:dyDescent="0.25">
      <c r="A2530" t="s">
        <v>14</v>
      </c>
      <c r="B2530" t="s">
        <v>150</v>
      </c>
      <c r="C2530" t="s">
        <v>367</v>
      </c>
      <c r="D2530" t="s">
        <v>426</v>
      </c>
      <c r="F2530" t="s">
        <v>433</v>
      </c>
      <c r="G2530" t="str">
        <f>HYPERLINK("https://ca.linkedin.com/jobs/view/data-analyst-at-synechron-3348329085?refId=5U7YE1jLSt1a66c0tUzy1Q%3D%3D&amp;trackingId=3wYXzx5rPZFEi9VTn2W%2BGw%3D%3D&amp;position=6&amp;pageNum=0&amp;trk=public_jobs_jserp-result_search-card", "Job Link")</f>
        <v>Job Link</v>
      </c>
      <c r="H2530" t="s">
        <v>478</v>
      </c>
      <c r="I2530" t="s">
        <v>481</v>
      </c>
      <c r="J2530" t="s">
        <v>486</v>
      </c>
      <c r="K2530" t="s">
        <v>562</v>
      </c>
      <c r="L2530" t="s">
        <v>584</v>
      </c>
      <c r="M2530" t="s">
        <v>588</v>
      </c>
      <c r="N2530" t="s">
        <v>601</v>
      </c>
    </row>
    <row r="2531" spans="1:14" x14ac:dyDescent="0.25">
      <c r="A2531" t="s">
        <v>82</v>
      </c>
      <c r="B2531" t="s">
        <v>179</v>
      </c>
      <c r="C2531" t="s">
        <v>368</v>
      </c>
      <c r="D2531" t="s">
        <v>426</v>
      </c>
      <c r="F2531" t="s">
        <v>471</v>
      </c>
      <c r="G2531" t="str">
        <f>HYPERLINK("https://ca.linkedin.com/jobs/view/business-data-analyst-at-capgemini-3327624663?refId=5U7YE1jLSt1a66c0tUzy1Q%3D%3D&amp;trackingId=0Ig3phUf9aDzlpHv8ALtOQ%3D%3D&amp;position=7&amp;pageNum=0&amp;trk=public_jobs_jserp-result_search-card", "Job Link")</f>
        <v>Job Link</v>
      </c>
      <c r="H2531" t="s">
        <v>478</v>
      </c>
      <c r="I2531" t="s">
        <v>481</v>
      </c>
      <c r="J2531" t="s">
        <v>486</v>
      </c>
      <c r="K2531" t="s">
        <v>521</v>
      </c>
      <c r="L2531" t="s">
        <v>611</v>
      </c>
      <c r="M2531" t="s">
        <v>601</v>
      </c>
    </row>
    <row r="2532" spans="1:14" x14ac:dyDescent="0.25">
      <c r="A2532" t="s">
        <v>14</v>
      </c>
      <c r="B2532" t="s">
        <v>150</v>
      </c>
      <c r="C2532" t="s">
        <v>369</v>
      </c>
      <c r="D2532" t="s">
        <v>426</v>
      </c>
      <c r="F2532" t="s">
        <v>460</v>
      </c>
      <c r="G2532" t="str">
        <f>HYPERLINK("https://ca.linkedin.com/jobs/view/data-analyst-at-synechron-3364863079?refId=5U7YE1jLSt1a66c0tUzy1Q%3D%3D&amp;trackingId=1R9Nw%2FNF0WaZkECAmFARfQ%3D%3D&amp;position=8&amp;pageNum=0&amp;trk=public_jobs_jserp-result_search-card", "Job Link")</f>
        <v>Job Link</v>
      </c>
      <c r="H2532" t="s">
        <v>478</v>
      </c>
      <c r="I2532" t="s">
        <v>481</v>
      </c>
      <c r="J2532" t="s">
        <v>486</v>
      </c>
      <c r="K2532" t="s">
        <v>563</v>
      </c>
      <c r="L2532" t="s">
        <v>584</v>
      </c>
      <c r="M2532" t="s">
        <v>588</v>
      </c>
      <c r="N2532" t="s">
        <v>601</v>
      </c>
    </row>
    <row r="2533" spans="1:14" x14ac:dyDescent="0.25">
      <c r="A2533" t="s">
        <v>14</v>
      </c>
      <c r="B2533" t="s">
        <v>150</v>
      </c>
      <c r="C2533" t="s">
        <v>367</v>
      </c>
      <c r="D2533" t="s">
        <v>426</v>
      </c>
      <c r="F2533" t="s">
        <v>460</v>
      </c>
      <c r="G2533" t="str">
        <f>HYPERLINK("https://ca.linkedin.com/jobs/view/data-analyst-at-synechron-3361756851?refId=5U7YE1jLSt1a66c0tUzy1Q%3D%3D&amp;trackingId=n2BMTgJrWHUT89xpsNIvSw%3D%3D&amp;position=9&amp;pageNum=0&amp;trk=public_jobs_jserp-result_search-card", "Job Link")</f>
        <v>Job Link</v>
      </c>
      <c r="H2533" t="s">
        <v>478</v>
      </c>
      <c r="I2533" t="s">
        <v>481</v>
      </c>
      <c r="J2533" t="s">
        <v>486</v>
      </c>
      <c r="K2533" t="s">
        <v>562</v>
      </c>
      <c r="L2533" t="s">
        <v>584</v>
      </c>
      <c r="M2533" t="s">
        <v>588</v>
      </c>
      <c r="N2533" t="s">
        <v>601</v>
      </c>
    </row>
    <row r="2534" spans="1:14" x14ac:dyDescent="0.25">
      <c r="A2534" t="s">
        <v>14</v>
      </c>
      <c r="B2534" t="s">
        <v>212</v>
      </c>
      <c r="C2534" t="s">
        <v>370</v>
      </c>
      <c r="D2534" t="s">
        <v>426</v>
      </c>
      <c r="F2534" t="s">
        <v>432</v>
      </c>
      <c r="G2534" t="str">
        <f>HYPERLINK("https://ca.linkedin.com/jobs/view/data-analyst-at-agilus-work-solutions-3358673093?refId=5U7YE1jLSt1a66c0tUzy1Q%3D%3D&amp;trackingId=suawkTU7iVOtsoRAKXNZsw%3D%3D&amp;position=10&amp;pageNum=0&amp;trk=public_jobs_jserp-result_search-card", "Job Link")</f>
        <v>Job Link</v>
      </c>
      <c r="H2534" t="s">
        <v>477</v>
      </c>
      <c r="I2534" t="s">
        <v>483</v>
      </c>
      <c r="J2534" t="s">
        <v>486</v>
      </c>
      <c r="K2534" t="s">
        <v>518</v>
      </c>
      <c r="L2534" t="s">
        <v>582</v>
      </c>
      <c r="M2534" t="s">
        <v>588</v>
      </c>
      <c r="N2534" t="s">
        <v>601</v>
      </c>
    </row>
    <row r="2535" spans="1:14" x14ac:dyDescent="0.25">
      <c r="A2535" t="s">
        <v>14</v>
      </c>
      <c r="B2535" t="s">
        <v>213</v>
      </c>
      <c r="C2535" t="s">
        <v>371</v>
      </c>
      <c r="D2535" t="s">
        <v>426</v>
      </c>
      <c r="F2535" t="s">
        <v>472</v>
      </c>
      <c r="G2535" t="str">
        <f>HYPERLINK("https://ca.linkedin.com/jobs/view/data-analyst-at-linkus-group-3345817125?refId=5U7YE1jLSt1a66c0tUzy1Q%3D%3D&amp;trackingId=Az34gPg8OcozxoCYUaT%2F%2Bg%3D%3D&amp;position=11&amp;pageNum=0&amp;trk=public_jobs_jserp-result_search-card", "Job Link")</f>
        <v>Job Link</v>
      </c>
      <c r="H2535" t="s">
        <v>476</v>
      </c>
      <c r="I2535" t="s">
        <v>481</v>
      </c>
      <c r="J2535" t="s">
        <v>486</v>
      </c>
      <c r="K2535" t="s">
        <v>518</v>
      </c>
      <c r="L2535" t="s">
        <v>588</v>
      </c>
      <c r="M2535" t="s">
        <v>601</v>
      </c>
    </row>
    <row r="2536" spans="1:14" x14ac:dyDescent="0.25">
      <c r="A2536" t="s">
        <v>14</v>
      </c>
      <c r="B2536" t="s">
        <v>214</v>
      </c>
      <c r="C2536" t="s">
        <v>372</v>
      </c>
      <c r="D2536" t="s">
        <v>426</v>
      </c>
      <c r="F2536" t="s">
        <v>432</v>
      </c>
      <c r="G2536" t="str">
        <f>HYPERLINK("https://ca.linkedin.com/jobs/view/data-analyst-at-goeasy-ltd-3358677253?refId=5U7YE1jLSt1a66c0tUzy1Q%3D%3D&amp;trackingId=xvahkYKRzted1POTaNTodw%3D%3D&amp;position=12&amp;pageNum=0&amp;trk=public_jobs_jserp-result_search-card", "Job Link")</f>
        <v>Job Link</v>
      </c>
      <c r="H2536" t="s">
        <v>476</v>
      </c>
      <c r="I2536" t="s">
        <v>481</v>
      </c>
      <c r="J2536" t="s">
        <v>486</v>
      </c>
      <c r="K2536" t="s">
        <v>550</v>
      </c>
      <c r="L2536" t="s">
        <v>584</v>
      </c>
      <c r="M2536" t="s">
        <v>588</v>
      </c>
      <c r="N2536" t="s">
        <v>601</v>
      </c>
    </row>
    <row r="2537" spans="1:14" x14ac:dyDescent="0.25">
      <c r="A2537" t="s">
        <v>83</v>
      </c>
      <c r="B2537" t="s">
        <v>215</v>
      </c>
      <c r="C2537" t="s">
        <v>373</v>
      </c>
      <c r="D2537" t="s">
        <v>426</v>
      </c>
      <c r="F2537" t="s">
        <v>462</v>
      </c>
      <c r="G2537">
        <v>0</v>
      </c>
      <c r="H2537" t="s">
        <v>478</v>
      </c>
      <c r="I2537" t="s">
        <v>483</v>
      </c>
      <c r="J2537" t="s">
        <v>509</v>
      </c>
      <c r="K2537" t="s">
        <v>550</v>
      </c>
      <c r="L2537" t="s">
        <v>584</v>
      </c>
      <c r="M2537" t="s">
        <v>588</v>
      </c>
      <c r="N2537" t="s">
        <v>601</v>
      </c>
    </row>
    <row r="2538" spans="1:14" x14ac:dyDescent="0.25">
      <c r="A2538" t="s">
        <v>20</v>
      </c>
      <c r="B2538" t="s">
        <v>207</v>
      </c>
      <c r="C2538" t="s">
        <v>374</v>
      </c>
      <c r="D2538" t="s">
        <v>426</v>
      </c>
      <c r="F2538" t="s">
        <v>463</v>
      </c>
      <c r="G2538" t="str">
        <f>HYPERLINK("https://ca.linkedin.com/jobs/view/senior-data-analyst-at-onlia-3320897882?refId=5U7YE1jLSt1a66c0tUzy1Q%3D%3D&amp;trackingId=4DxYuBOqVeo6ZBBv6ldriA%3D%3D&amp;position=14&amp;pageNum=0&amp;trk=public_jobs_jserp-result_search-card", "Job Link")</f>
        <v>Job Link</v>
      </c>
      <c r="H2538" t="s">
        <v>477</v>
      </c>
      <c r="I2538" t="s">
        <v>481</v>
      </c>
      <c r="J2538" t="s">
        <v>486</v>
      </c>
      <c r="K2538" t="s">
        <v>523</v>
      </c>
      <c r="L2538" t="s">
        <v>582</v>
      </c>
      <c r="M2538" t="s">
        <v>588</v>
      </c>
      <c r="N2538" t="s">
        <v>601</v>
      </c>
    </row>
    <row r="2539" spans="1:14" x14ac:dyDescent="0.25">
      <c r="A2539" t="s">
        <v>84</v>
      </c>
      <c r="B2539" t="s">
        <v>216</v>
      </c>
      <c r="C2539" t="s">
        <v>375</v>
      </c>
      <c r="D2539" t="s">
        <v>426</v>
      </c>
      <c r="F2539" t="s">
        <v>452</v>
      </c>
      <c r="G2539" t="str">
        <f>HYPERLINK("https://ca.linkedin.com/jobs/view/data-analyst-hybrid-at-xylem-3335088701?refId=5U7YE1jLSt1a66c0tUzy1Q%3D%3D&amp;trackingId=QWJF3h7IFWfV4BYokH1v%2BA%3D%3D&amp;position=15&amp;pageNum=0&amp;trk=public_jobs_jserp-result_search-card", "Job Link")</f>
        <v>Job Link</v>
      </c>
      <c r="H2539" t="s">
        <v>476</v>
      </c>
      <c r="I2539" t="s">
        <v>481</v>
      </c>
      <c r="J2539" t="s">
        <v>486</v>
      </c>
      <c r="K2539" t="s">
        <v>564</v>
      </c>
      <c r="L2539" t="s">
        <v>584</v>
      </c>
      <c r="M2539" t="s">
        <v>588</v>
      </c>
      <c r="N2539" t="s">
        <v>601</v>
      </c>
    </row>
    <row r="2540" spans="1:14" x14ac:dyDescent="0.25">
      <c r="A2540" t="s">
        <v>85</v>
      </c>
      <c r="B2540" t="s">
        <v>217</v>
      </c>
      <c r="C2540" t="s">
        <v>376</v>
      </c>
      <c r="D2540" t="s">
        <v>426</v>
      </c>
      <c r="F2540" t="s">
        <v>473</v>
      </c>
      <c r="G2540" t="str">
        <f>HYPERLINK("https://ca.linkedin.com/jobs/view/data-analyst-python-sql-at-geotab-3341823745?refId=5U7YE1jLSt1a66c0tUzy1Q%3D%3D&amp;trackingId=ABioJ50JNBvOrJVDV7p0mQ%3D%3D&amp;position=16&amp;pageNum=0&amp;trk=public_jobs_jserp-result_search-card", "Job Link")</f>
        <v>Job Link</v>
      </c>
      <c r="H2540" t="s">
        <v>479</v>
      </c>
      <c r="I2540" t="s">
        <v>481</v>
      </c>
      <c r="J2540" t="s">
        <v>486</v>
      </c>
      <c r="K2540" t="s">
        <v>521</v>
      </c>
      <c r="L2540" t="s">
        <v>612</v>
      </c>
      <c r="M2540" t="s">
        <v>588</v>
      </c>
      <c r="N2540" t="s">
        <v>601</v>
      </c>
    </row>
    <row r="2541" spans="1:14" x14ac:dyDescent="0.25">
      <c r="A2541" t="s">
        <v>86</v>
      </c>
      <c r="B2541" t="s">
        <v>167</v>
      </c>
      <c r="C2541" t="s">
        <v>377</v>
      </c>
      <c r="D2541" t="s">
        <v>426</v>
      </c>
      <c r="F2541" t="s">
        <v>454</v>
      </c>
      <c r="G2541" t="str">
        <f>HYPERLINK("https://ca.linkedin.com/jobs/view/data-analyst-reporting-at-thescore-3345941286?refId=5U7YE1jLSt1a66c0tUzy1Q%3D%3D&amp;trackingId=ge9CxBYZMNXGz4qI1KhJpA%3D%3D&amp;position=17&amp;pageNum=0&amp;trk=public_jobs_jserp-result_search-card", "Job Link")</f>
        <v>Job Link</v>
      </c>
      <c r="H2541" t="s">
        <v>476</v>
      </c>
      <c r="I2541" t="s">
        <v>481</v>
      </c>
      <c r="J2541" t="s">
        <v>486</v>
      </c>
      <c r="K2541" t="s">
        <v>545</v>
      </c>
      <c r="L2541" t="s">
        <v>582</v>
      </c>
      <c r="M2541" t="s">
        <v>588</v>
      </c>
      <c r="N2541" t="s">
        <v>601</v>
      </c>
    </row>
    <row r="2542" spans="1:14" x14ac:dyDescent="0.25">
      <c r="A2542" t="s">
        <v>87</v>
      </c>
      <c r="B2542" t="s">
        <v>218</v>
      </c>
      <c r="C2542" t="s">
        <v>378</v>
      </c>
      <c r="D2542" t="s">
        <v>426</v>
      </c>
      <c r="F2542" t="s">
        <v>432</v>
      </c>
      <c r="G2542">
        <v>0</v>
      </c>
      <c r="H2542" t="s">
        <v>478</v>
      </c>
      <c r="I2542" t="s">
        <v>483</v>
      </c>
      <c r="J2542" t="s">
        <v>486</v>
      </c>
      <c r="K2542" t="s">
        <v>521</v>
      </c>
      <c r="L2542" t="s">
        <v>582</v>
      </c>
      <c r="M2542" t="s">
        <v>588</v>
      </c>
      <c r="N2542" t="s">
        <v>601</v>
      </c>
    </row>
    <row r="2543" spans="1:14" x14ac:dyDescent="0.25">
      <c r="A2543" t="s">
        <v>88</v>
      </c>
      <c r="B2543" t="s">
        <v>219</v>
      </c>
      <c r="C2543" t="s">
        <v>379</v>
      </c>
      <c r="D2543" t="s">
        <v>426</v>
      </c>
      <c r="F2543" t="s">
        <v>454</v>
      </c>
      <c r="G2543" t="str">
        <f>HYPERLINK("https://ca.linkedin.com/jobs/view/data-analyst-flight-pricing-optimization-at-priceline-3345993633?refId=5U7YE1jLSt1a66c0tUzy1Q%3D%3D&amp;trackingId=%2FOCwo6lSxEVYZQWae%2Ftf0A%3D%3D&amp;position=19&amp;pageNum=0&amp;trk=public_jobs_jserp-result_search-card", "Job Link")</f>
        <v>Job Link</v>
      </c>
      <c r="H2543" t="s">
        <v>476</v>
      </c>
      <c r="I2543" t="s">
        <v>481</v>
      </c>
      <c r="J2543" t="s">
        <v>486</v>
      </c>
      <c r="K2543" t="s">
        <v>565</v>
      </c>
      <c r="L2543" t="s">
        <v>582</v>
      </c>
      <c r="M2543" t="s">
        <v>588</v>
      </c>
      <c r="N2543" t="s">
        <v>601</v>
      </c>
    </row>
    <row r="2544" spans="1:14" x14ac:dyDescent="0.25">
      <c r="A2544" t="s">
        <v>27</v>
      </c>
      <c r="B2544" t="s">
        <v>220</v>
      </c>
      <c r="C2544" t="s">
        <v>380</v>
      </c>
      <c r="D2544" t="s">
        <v>426</v>
      </c>
      <c r="F2544" t="s">
        <v>434</v>
      </c>
      <c r="G2544" t="str">
        <f>HYPERLINK("https://ca.linkedin.com/jobs/view/sr-data-analyst-at-randstad-canada-3354999789?refId=5U7YE1jLSt1a66c0tUzy1Q%3D%3D&amp;trackingId=HtPFHsAZXC106ADFURGvVw%3D%3D&amp;position=20&amp;pageNum=0&amp;trk=public_jobs_jserp-result_search-card", "Job Link")</f>
        <v>Job Link</v>
      </c>
      <c r="H2544" t="s">
        <v>478</v>
      </c>
      <c r="I2544" t="s">
        <v>483</v>
      </c>
      <c r="J2544" t="s">
        <v>486</v>
      </c>
      <c r="K2544" t="s">
        <v>518</v>
      </c>
      <c r="L2544" t="s">
        <v>584</v>
      </c>
      <c r="M2544" t="s">
        <v>588</v>
      </c>
      <c r="N2544" t="s">
        <v>601</v>
      </c>
    </row>
    <row r="2545" spans="1:14" x14ac:dyDescent="0.25">
      <c r="A2545" t="s">
        <v>89</v>
      </c>
      <c r="B2545" t="s">
        <v>221</v>
      </c>
      <c r="C2545" t="s">
        <v>381</v>
      </c>
      <c r="D2545" t="s">
        <v>426</v>
      </c>
      <c r="F2545" t="s">
        <v>461</v>
      </c>
      <c r="G2545">
        <v>0</v>
      </c>
      <c r="H2545" t="s">
        <v>476</v>
      </c>
      <c r="I2545" t="s">
        <v>481</v>
      </c>
      <c r="J2545" t="s">
        <v>488</v>
      </c>
      <c r="K2545" t="s">
        <v>566</v>
      </c>
      <c r="L2545" t="s">
        <v>582</v>
      </c>
      <c r="M2545" t="s">
        <v>588</v>
      </c>
      <c r="N2545" t="s">
        <v>601</v>
      </c>
    </row>
    <row r="2546" spans="1:14" x14ac:dyDescent="0.25">
      <c r="A2546" t="s">
        <v>14</v>
      </c>
      <c r="B2546" t="s">
        <v>222</v>
      </c>
      <c r="C2546" t="s">
        <v>382</v>
      </c>
      <c r="D2546" t="s">
        <v>426</v>
      </c>
      <c r="F2546" t="s">
        <v>431</v>
      </c>
      <c r="G2546" t="str">
        <f>HYPERLINK("https://ca.linkedin.com/jobs/view/data-analyst-at-circle-k-3367192655?refId=5U7YE1jLSt1a66c0tUzy1Q%3D%3D&amp;trackingId=Sbvcmiz%2BYryCgtO2gXDAtg%3D%3D&amp;position=22&amp;pageNum=0&amp;trk=public_jobs_jserp-result_search-card", "Job Link")</f>
        <v>Job Link</v>
      </c>
      <c r="H2546" t="s">
        <v>476</v>
      </c>
      <c r="I2546" t="s">
        <v>481</v>
      </c>
      <c r="J2546" t="s">
        <v>486</v>
      </c>
      <c r="K2546" t="s">
        <v>567</v>
      </c>
      <c r="L2546" t="s">
        <v>582</v>
      </c>
      <c r="M2546" t="s">
        <v>588</v>
      </c>
      <c r="N2546" t="s">
        <v>601</v>
      </c>
    </row>
    <row r="2547" spans="1:14" x14ac:dyDescent="0.25">
      <c r="A2547" t="s">
        <v>90</v>
      </c>
      <c r="B2547" t="s">
        <v>223</v>
      </c>
      <c r="C2547" t="s">
        <v>383</v>
      </c>
      <c r="D2547" t="s">
        <v>426</v>
      </c>
      <c r="F2547" t="s">
        <v>443</v>
      </c>
      <c r="G2547" t="str">
        <f>HYPERLINK("https://ca.linkedin.com/jobs/view/data-administrator-data-analyst-at-hays-3369576413?refId=5U7YE1jLSt1a66c0tUzy1Q%3D%3D&amp;trackingId=5Cm37q7viTGPWKVFnXbxHA%3D%3D&amp;position=23&amp;pageNum=0&amp;trk=public_jobs_jserp-result_search-card", "Job Link")</f>
        <v>Job Link</v>
      </c>
      <c r="H2547" t="s">
        <v>478</v>
      </c>
      <c r="I2547" t="s">
        <v>481</v>
      </c>
      <c r="J2547" t="s">
        <v>486</v>
      </c>
      <c r="K2547" t="s">
        <v>518</v>
      </c>
      <c r="L2547" t="s">
        <v>583</v>
      </c>
      <c r="M2547" t="s">
        <v>610</v>
      </c>
      <c r="N2547" t="s">
        <v>601</v>
      </c>
    </row>
    <row r="2548" spans="1:14" x14ac:dyDescent="0.25">
      <c r="A2548" t="s">
        <v>91</v>
      </c>
      <c r="B2548" t="s">
        <v>224</v>
      </c>
      <c r="C2548" t="s">
        <v>384</v>
      </c>
      <c r="D2548" t="s">
        <v>426</v>
      </c>
      <c r="F2548" t="s">
        <v>431</v>
      </c>
      <c r="G2548" t="str">
        <f>HYPERLINK("https://ca.linkedin.com/jobs/view/commercial-data-analyst-at-organigram-inc-3367177254?refId=5U7YE1jLSt1a66c0tUzy1Q%3D%3D&amp;trackingId=AQ9nXMFYhPsVdIwXXtqSzQ%3D%3D&amp;position=24&amp;pageNum=0&amp;trk=public_jobs_jserp-result_search-card", "Job Link")</f>
        <v>Job Link</v>
      </c>
      <c r="I2548" t="s">
        <v>481</v>
      </c>
      <c r="L2548" t="s">
        <v>582</v>
      </c>
      <c r="M2548" t="s">
        <v>588</v>
      </c>
      <c r="N2548" t="s">
        <v>601</v>
      </c>
    </row>
    <row r="2549" spans="1:14" x14ac:dyDescent="0.25">
      <c r="A2549" t="s">
        <v>14</v>
      </c>
      <c r="B2549" t="s">
        <v>225</v>
      </c>
      <c r="C2549" t="s">
        <v>385</v>
      </c>
      <c r="D2549" t="s">
        <v>426</v>
      </c>
      <c r="F2549" t="s">
        <v>463</v>
      </c>
      <c r="G2549" t="str">
        <f>HYPERLINK("https://ca.linkedin.com/jobs/view/data-analyst-at-vector-institute-3325395506?refId=5U7YE1jLSt1a66c0tUzy1Q%3D%3D&amp;trackingId=tl4kFeHDeCoXeDTIHFb06Q%3D%3D&amp;position=25&amp;pageNum=0&amp;trk=public_jobs_jserp-result_search-card", "Job Link")</f>
        <v>Job Link</v>
      </c>
      <c r="H2549" t="s">
        <v>478</v>
      </c>
      <c r="I2549" t="s">
        <v>481</v>
      </c>
      <c r="J2549" t="s">
        <v>486</v>
      </c>
      <c r="K2549" t="s">
        <v>520</v>
      </c>
      <c r="L2549" t="s">
        <v>582</v>
      </c>
      <c r="M2549" t="s">
        <v>588</v>
      </c>
      <c r="N2549" t="s">
        <v>601</v>
      </c>
    </row>
    <row r="2550" spans="1:14" x14ac:dyDescent="0.25">
      <c r="A2550" t="s">
        <v>14</v>
      </c>
      <c r="B2550" t="s">
        <v>207</v>
      </c>
      <c r="C2550" t="s">
        <v>362</v>
      </c>
      <c r="D2550" t="s">
        <v>426</v>
      </c>
      <c r="F2550" t="s">
        <v>463</v>
      </c>
      <c r="G2550" t="str">
        <f>HYPERLINK("https://ca.linkedin.com/jobs/view/data-analyst-at-onlia-3320897897?refId=rkXMYv%2BfDS8jvKk5ZCJg7w%3D%3D&amp;trackingId=whhQV5RiceJhFikG0d6hBA%3D%3D&amp;position=1&amp;pageNum=0&amp;trk=public_jobs_jserp-result_search-card", "Job Link")</f>
        <v>Job Link</v>
      </c>
      <c r="H2550" t="s">
        <v>477</v>
      </c>
      <c r="I2550" t="s">
        <v>481</v>
      </c>
      <c r="J2550" t="s">
        <v>486</v>
      </c>
      <c r="K2550" t="s">
        <v>523</v>
      </c>
      <c r="L2550" t="s">
        <v>582</v>
      </c>
      <c r="M2550" t="s">
        <v>588</v>
      </c>
      <c r="N2550" t="s">
        <v>601</v>
      </c>
    </row>
    <row r="2551" spans="1:14" x14ac:dyDescent="0.25">
      <c r="A2551" t="s">
        <v>14</v>
      </c>
      <c r="B2551" t="s">
        <v>208</v>
      </c>
      <c r="C2551" t="s">
        <v>363</v>
      </c>
      <c r="D2551" t="s">
        <v>426</v>
      </c>
      <c r="F2551" t="s">
        <v>445</v>
      </c>
      <c r="G2551" t="str">
        <f>HYPERLINK("https://ca.linkedin.com/jobs/view/data-analyst-at-electronic-arts-ea-3325611825?refId=rkXMYv%2BfDS8jvKk5ZCJg7w%3D%3D&amp;trackingId=fnL1CqDCbFKaZKiB2GqEUg%3D%3D&amp;position=2&amp;pageNum=0&amp;trk=public_jobs_jserp-result_search-card", "Job Link")</f>
        <v>Job Link</v>
      </c>
      <c r="H2551" t="s">
        <v>479</v>
      </c>
      <c r="I2551" t="s">
        <v>481</v>
      </c>
      <c r="J2551" t="s">
        <v>507</v>
      </c>
      <c r="K2551" t="s">
        <v>559</v>
      </c>
      <c r="L2551" t="s">
        <v>582</v>
      </c>
      <c r="M2551" t="s">
        <v>588</v>
      </c>
      <c r="N2551" t="s">
        <v>601</v>
      </c>
    </row>
    <row r="2552" spans="1:14" x14ac:dyDescent="0.25">
      <c r="A2552" t="s">
        <v>14</v>
      </c>
      <c r="B2552" t="s">
        <v>209</v>
      </c>
      <c r="C2552" t="s">
        <v>364</v>
      </c>
      <c r="D2552" t="s">
        <v>426</v>
      </c>
      <c r="F2552" t="s">
        <v>440</v>
      </c>
      <c r="G2552" t="str">
        <f>HYPERLINK("https://ca.linkedin.com/jobs/view/data-analyst-at-frostbite-3370111856?refId=rkXMYv%2BfDS8jvKk5ZCJg7w%3D%3D&amp;trackingId=5JwUItLRPDlY8YKDr2kq8w%3D%3D&amp;position=3&amp;pageNum=0&amp;trk=public_jobs_jserp-result_search-card", "Job Link")</f>
        <v>Job Link</v>
      </c>
      <c r="H2552" t="s">
        <v>479</v>
      </c>
      <c r="I2552" t="s">
        <v>481</v>
      </c>
      <c r="J2552" t="s">
        <v>507</v>
      </c>
      <c r="K2552" t="s">
        <v>559</v>
      </c>
      <c r="L2552" t="s">
        <v>590</v>
      </c>
      <c r="M2552" t="s">
        <v>618</v>
      </c>
      <c r="N2552" t="s">
        <v>601</v>
      </c>
    </row>
    <row r="2553" spans="1:14" x14ac:dyDescent="0.25">
      <c r="A2553" t="s">
        <v>14</v>
      </c>
      <c r="B2553" t="s">
        <v>211</v>
      </c>
      <c r="C2553" t="s">
        <v>366</v>
      </c>
      <c r="D2553" t="s">
        <v>426</v>
      </c>
      <c r="F2553" t="s">
        <v>443</v>
      </c>
      <c r="G2553" t="str">
        <f>HYPERLINK("https://ca.linkedin.com/jobs/view/data-analyst-at-mphasis-3363428246?refId=rkXMYv%2BfDS8jvKk5ZCJg7w%3D%3D&amp;trackingId=ySgLU9G2Fy2zi%2BDK1ZQuhA%3D%3D&amp;position=4&amp;pageNum=0&amp;trk=public_jobs_jserp-result_search-card", "Job Link")</f>
        <v>Job Link</v>
      </c>
      <c r="H2553" t="s">
        <v>477</v>
      </c>
      <c r="I2553" t="s">
        <v>481</v>
      </c>
      <c r="J2553" t="s">
        <v>486</v>
      </c>
      <c r="K2553" t="s">
        <v>521</v>
      </c>
      <c r="L2553" t="s">
        <v>609</v>
      </c>
      <c r="M2553" t="s">
        <v>610</v>
      </c>
      <c r="N2553" t="s">
        <v>601</v>
      </c>
    </row>
    <row r="2554" spans="1:14" x14ac:dyDescent="0.25">
      <c r="A2554" t="s">
        <v>81</v>
      </c>
      <c r="B2554" t="s">
        <v>210</v>
      </c>
      <c r="C2554" t="s">
        <v>365</v>
      </c>
      <c r="D2554" t="s">
        <v>426</v>
      </c>
      <c r="F2554" t="s">
        <v>436</v>
      </c>
      <c r="G2554" t="str">
        <f>HYPERLINK("https://ca.linkedin.com/jobs/view/data-analyst-c117-at-mitsubishi-motor-sales-of-canada-inc-3344852931?refId=rkXMYv%2BfDS8jvKk5ZCJg7w%3D%3D&amp;trackingId=BVn00Aoh5CIMV4VEO1%2B4dA%3D%3D&amp;position=5&amp;pageNum=0&amp;trk=public_jobs_jserp-result_search-card", "Job Link")</f>
        <v>Job Link</v>
      </c>
      <c r="H2554" t="s">
        <v>477</v>
      </c>
      <c r="I2554" t="s">
        <v>481</v>
      </c>
      <c r="J2554" t="s">
        <v>508</v>
      </c>
      <c r="K2554" t="s">
        <v>561</v>
      </c>
      <c r="L2554" t="s">
        <v>584</v>
      </c>
      <c r="M2554" t="s">
        <v>588</v>
      </c>
      <c r="N2554" t="s">
        <v>601</v>
      </c>
    </row>
    <row r="2555" spans="1:14" x14ac:dyDescent="0.25">
      <c r="A2555" t="s">
        <v>14</v>
      </c>
      <c r="B2555" t="s">
        <v>150</v>
      </c>
      <c r="C2555" t="s">
        <v>367</v>
      </c>
      <c r="D2555" t="s">
        <v>426</v>
      </c>
      <c r="F2555" t="s">
        <v>433</v>
      </c>
      <c r="G2555" t="str">
        <f>HYPERLINK("https://ca.linkedin.com/jobs/view/data-analyst-at-synechron-3348329085?refId=rkXMYv%2BfDS8jvKk5ZCJg7w%3D%3D&amp;trackingId=TNWKjBexa5Vm5jD2hEQV7g%3D%3D&amp;position=6&amp;pageNum=0&amp;trk=public_jobs_jserp-result_search-card", "Job Link")</f>
        <v>Job Link</v>
      </c>
      <c r="H2555" t="s">
        <v>478</v>
      </c>
      <c r="I2555" t="s">
        <v>481</v>
      </c>
      <c r="J2555" t="s">
        <v>486</v>
      </c>
      <c r="K2555" t="s">
        <v>562</v>
      </c>
      <c r="L2555" t="s">
        <v>584</v>
      </c>
      <c r="M2555" t="s">
        <v>588</v>
      </c>
      <c r="N2555" t="s">
        <v>601</v>
      </c>
    </row>
    <row r="2556" spans="1:14" x14ac:dyDescent="0.25">
      <c r="A2556" t="s">
        <v>82</v>
      </c>
      <c r="B2556" t="s">
        <v>179</v>
      </c>
      <c r="C2556" t="s">
        <v>368</v>
      </c>
      <c r="D2556" t="s">
        <v>426</v>
      </c>
      <c r="F2556" t="s">
        <v>471</v>
      </c>
      <c r="G2556" t="str">
        <f>HYPERLINK("https://ca.linkedin.com/jobs/view/business-data-analyst-at-capgemini-3327624663?refId=rkXMYv%2BfDS8jvKk5ZCJg7w%3D%3D&amp;trackingId=BQHcWvfgUPcUOvOcnpEtSQ%3D%3D&amp;position=7&amp;pageNum=0&amp;trk=public_jobs_jserp-result_search-card", "Job Link")</f>
        <v>Job Link</v>
      </c>
      <c r="H2556" t="s">
        <v>478</v>
      </c>
      <c r="I2556" t="s">
        <v>481</v>
      </c>
      <c r="J2556" t="s">
        <v>486</v>
      </c>
      <c r="K2556" t="s">
        <v>521</v>
      </c>
      <c r="L2556" t="s">
        <v>611</v>
      </c>
      <c r="M2556" t="s">
        <v>601</v>
      </c>
    </row>
    <row r="2557" spans="1:14" x14ac:dyDescent="0.25">
      <c r="A2557" t="s">
        <v>14</v>
      </c>
      <c r="B2557" t="s">
        <v>150</v>
      </c>
      <c r="C2557" t="s">
        <v>369</v>
      </c>
      <c r="D2557" t="s">
        <v>426</v>
      </c>
      <c r="F2557" t="s">
        <v>460</v>
      </c>
      <c r="G2557" t="str">
        <f>HYPERLINK("https://ca.linkedin.com/jobs/view/data-analyst-at-synechron-3364863079?refId=rkXMYv%2BfDS8jvKk5ZCJg7w%3D%3D&amp;trackingId=HROYMRg1YWYsS6V1wBn2KA%3D%3D&amp;position=8&amp;pageNum=0&amp;trk=public_jobs_jserp-result_search-card", "Job Link")</f>
        <v>Job Link</v>
      </c>
      <c r="H2557" t="s">
        <v>478</v>
      </c>
      <c r="I2557" t="s">
        <v>481</v>
      </c>
      <c r="J2557" t="s">
        <v>486</v>
      </c>
      <c r="K2557" t="s">
        <v>563</v>
      </c>
      <c r="L2557" t="s">
        <v>584</v>
      </c>
      <c r="M2557" t="s">
        <v>588</v>
      </c>
      <c r="N2557" t="s">
        <v>601</v>
      </c>
    </row>
    <row r="2558" spans="1:14" x14ac:dyDescent="0.25">
      <c r="A2558" t="s">
        <v>14</v>
      </c>
      <c r="B2558" t="s">
        <v>150</v>
      </c>
      <c r="C2558" t="s">
        <v>367</v>
      </c>
      <c r="D2558" t="s">
        <v>426</v>
      </c>
      <c r="F2558" t="s">
        <v>460</v>
      </c>
      <c r="G2558" t="str">
        <f>HYPERLINK("https://ca.linkedin.com/jobs/view/data-analyst-at-synechron-3361756851?refId=rkXMYv%2BfDS8jvKk5ZCJg7w%3D%3D&amp;trackingId=nXqJNce%2BExpEcWL5KVC4sg%3D%3D&amp;position=9&amp;pageNum=0&amp;trk=public_jobs_jserp-result_search-card", "Job Link")</f>
        <v>Job Link</v>
      </c>
      <c r="H2558" t="s">
        <v>478</v>
      </c>
      <c r="I2558" t="s">
        <v>481</v>
      </c>
      <c r="J2558" t="s">
        <v>486</v>
      </c>
      <c r="K2558" t="s">
        <v>562</v>
      </c>
      <c r="L2558" t="s">
        <v>584</v>
      </c>
      <c r="M2558" t="s">
        <v>588</v>
      </c>
      <c r="N2558" t="s">
        <v>601</v>
      </c>
    </row>
    <row r="2559" spans="1:14" x14ac:dyDescent="0.25">
      <c r="A2559" t="s">
        <v>14</v>
      </c>
      <c r="B2559" t="s">
        <v>212</v>
      </c>
      <c r="C2559" t="s">
        <v>370</v>
      </c>
      <c r="D2559" t="s">
        <v>426</v>
      </c>
      <c r="F2559" t="s">
        <v>432</v>
      </c>
      <c r="G2559" t="str">
        <f>HYPERLINK("https://ca.linkedin.com/jobs/view/data-analyst-at-agilus-work-solutions-3358673093?refId=rkXMYv%2BfDS8jvKk5ZCJg7w%3D%3D&amp;trackingId=AEZycEfF6O9KHsVtBE2DfQ%3D%3D&amp;position=10&amp;pageNum=0&amp;trk=public_jobs_jserp-result_search-card", "Job Link")</f>
        <v>Job Link</v>
      </c>
      <c r="H2559" t="s">
        <v>477</v>
      </c>
      <c r="I2559" t="s">
        <v>483</v>
      </c>
      <c r="J2559" t="s">
        <v>486</v>
      </c>
      <c r="K2559" t="s">
        <v>518</v>
      </c>
      <c r="L2559" t="s">
        <v>582</v>
      </c>
      <c r="M2559" t="s">
        <v>588</v>
      </c>
      <c r="N2559" t="s">
        <v>601</v>
      </c>
    </row>
    <row r="2560" spans="1:14" x14ac:dyDescent="0.25">
      <c r="A2560" t="s">
        <v>14</v>
      </c>
      <c r="B2560" t="s">
        <v>214</v>
      </c>
      <c r="C2560" t="s">
        <v>372</v>
      </c>
      <c r="D2560" t="s">
        <v>426</v>
      </c>
      <c r="F2560" t="s">
        <v>432</v>
      </c>
      <c r="G2560" t="str">
        <f>HYPERLINK("https://ca.linkedin.com/jobs/view/data-analyst-at-goeasy-ltd-3358677253?refId=rkXMYv%2BfDS8jvKk5ZCJg7w%3D%3D&amp;trackingId=4aiJpZMBL4etUxf4zqODSw%3D%3D&amp;position=11&amp;pageNum=0&amp;trk=public_jobs_jserp-result_search-card", "Job Link")</f>
        <v>Job Link</v>
      </c>
      <c r="H2560" t="s">
        <v>476</v>
      </c>
      <c r="I2560" t="s">
        <v>481</v>
      </c>
      <c r="J2560" t="s">
        <v>486</v>
      </c>
      <c r="K2560" t="s">
        <v>550</v>
      </c>
      <c r="L2560" t="s">
        <v>584</v>
      </c>
      <c r="M2560" t="s">
        <v>588</v>
      </c>
      <c r="N2560" t="s">
        <v>601</v>
      </c>
    </row>
    <row r="2561" spans="1:14" x14ac:dyDescent="0.25">
      <c r="A2561" t="s">
        <v>14</v>
      </c>
      <c r="B2561" t="s">
        <v>213</v>
      </c>
      <c r="C2561" t="s">
        <v>371</v>
      </c>
      <c r="D2561" t="s">
        <v>426</v>
      </c>
      <c r="F2561" t="s">
        <v>472</v>
      </c>
      <c r="G2561" t="str">
        <f>HYPERLINK("https://ca.linkedin.com/jobs/view/data-analyst-at-linkus-group-3345817125?refId=rkXMYv%2BfDS8jvKk5ZCJg7w%3D%3D&amp;trackingId=KpxUJogXbg5XnPft9rXY%2FA%3D%3D&amp;position=12&amp;pageNum=0&amp;trk=public_jobs_jserp-result_search-card", "Job Link")</f>
        <v>Job Link</v>
      </c>
      <c r="H2561" t="s">
        <v>476</v>
      </c>
      <c r="I2561" t="s">
        <v>481</v>
      </c>
      <c r="J2561" t="s">
        <v>486</v>
      </c>
      <c r="K2561" t="s">
        <v>518</v>
      </c>
      <c r="L2561" t="s">
        <v>588</v>
      </c>
      <c r="M2561" t="s">
        <v>601</v>
      </c>
    </row>
    <row r="2562" spans="1:14" x14ac:dyDescent="0.25">
      <c r="A2562" t="s">
        <v>83</v>
      </c>
      <c r="B2562" t="s">
        <v>215</v>
      </c>
      <c r="C2562" t="s">
        <v>373</v>
      </c>
      <c r="D2562" t="s">
        <v>426</v>
      </c>
      <c r="F2562" t="s">
        <v>462</v>
      </c>
      <c r="G2562">
        <v>0</v>
      </c>
      <c r="H2562" t="s">
        <v>478</v>
      </c>
      <c r="I2562" t="s">
        <v>483</v>
      </c>
      <c r="J2562" t="s">
        <v>509</v>
      </c>
      <c r="K2562" t="s">
        <v>550</v>
      </c>
      <c r="L2562" t="s">
        <v>584</v>
      </c>
      <c r="M2562" t="s">
        <v>588</v>
      </c>
      <c r="N2562" t="s">
        <v>601</v>
      </c>
    </row>
    <row r="2563" spans="1:14" x14ac:dyDescent="0.25">
      <c r="A2563" t="s">
        <v>91</v>
      </c>
      <c r="B2563" t="s">
        <v>224</v>
      </c>
      <c r="C2563" t="s">
        <v>384</v>
      </c>
      <c r="D2563" t="s">
        <v>426</v>
      </c>
      <c r="F2563" t="s">
        <v>431</v>
      </c>
      <c r="G2563" t="str">
        <f>HYPERLINK("https://ca.linkedin.com/jobs/view/commercial-data-analyst-at-organigram-inc-3367177254?refId=rkXMYv%2BfDS8jvKk5ZCJg7w%3D%3D&amp;trackingId=pBv2OwCbCyk1%2BrpNNiXd3Q%3D%3D&amp;position=14&amp;pageNum=0&amp;trk=public_jobs_jserp-result_search-card", "Job Link")</f>
        <v>Job Link</v>
      </c>
      <c r="I2563" t="s">
        <v>481</v>
      </c>
      <c r="L2563" t="s">
        <v>582</v>
      </c>
      <c r="M2563" t="s">
        <v>588</v>
      </c>
      <c r="N2563" t="s">
        <v>601</v>
      </c>
    </row>
    <row r="2564" spans="1:14" x14ac:dyDescent="0.25">
      <c r="A2564" t="s">
        <v>20</v>
      </c>
      <c r="B2564" t="s">
        <v>207</v>
      </c>
      <c r="C2564" t="s">
        <v>374</v>
      </c>
      <c r="D2564" t="s">
        <v>426</v>
      </c>
      <c r="F2564" t="s">
        <v>463</v>
      </c>
      <c r="G2564" t="str">
        <f>HYPERLINK("https://ca.linkedin.com/jobs/view/senior-data-analyst-at-onlia-3320897882?refId=rkXMYv%2BfDS8jvKk5ZCJg7w%3D%3D&amp;trackingId=3v78hxrlWO4wTwU%2BKetkxw%3D%3D&amp;position=15&amp;pageNum=0&amp;trk=public_jobs_jserp-result_search-card", "Job Link")</f>
        <v>Job Link</v>
      </c>
      <c r="H2564" t="s">
        <v>477</v>
      </c>
      <c r="I2564" t="s">
        <v>481</v>
      </c>
      <c r="J2564" t="s">
        <v>486</v>
      </c>
      <c r="K2564" t="s">
        <v>523</v>
      </c>
      <c r="L2564" t="s">
        <v>582</v>
      </c>
      <c r="M2564" t="s">
        <v>588</v>
      </c>
      <c r="N2564" t="s">
        <v>601</v>
      </c>
    </row>
    <row r="2565" spans="1:14" x14ac:dyDescent="0.25">
      <c r="A2565" t="s">
        <v>84</v>
      </c>
      <c r="B2565" t="s">
        <v>216</v>
      </c>
      <c r="C2565" t="s">
        <v>375</v>
      </c>
      <c r="D2565" t="s">
        <v>426</v>
      </c>
      <c r="F2565" t="s">
        <v>452</v>
      </c>
      <c r="G2565" t="str">
        <f>HYPERLINK("https://ca.linkedin.com/jobs/view/data-analyst-hybrid-at-xylem-3335088701?refId=rkXMYv%2BfDS8jvKk5ZCJg7w%3D%3D&amp;trackingId=k5f4BloNEOdRbFxECITmvA%3D%3D&amp;position=16&amp;pageNum=0&amp;trk=public_jobs_jserp-result_search-card", "Job Link")</f>
        <v>Job Link</v>
      </c>
      <c r="H2565" t="s">
        <v>476</v>
      </c>
      <c r="I2565" t="s">
        <v>481</v>
      </c>
      <c r="J2565" t="s">
        <v>486</v>
      </c>
      <c r="K2565" t="s">
        <v>564</v>
      </c>
      <c r="L2565" t="s">
        <v>584</v>
      </c>
      <c r="M2565" t="s">
        <v>588</v>
      </c>
      <c r="N2565" t="s">
        <v>601</v>
      </c>
    </row>
    <row r="2566" spans="1:14" x14ac:dyDescent="0.25">
      <c r="A2566" t="s">
        <v>85</v>
      </c>
      <c r="B2566" t="s">
        <v>217</v>
      </c>
      <c r="C2566" t="s">
        <v>376</v>
      </c>
      <c r="D2566" t="s">
        <v>426</v>
      </c>
      <c r="F2566" t="s">
        <v>473</v>
      </c>
      <c r="G2566" t="str">
        <f>HYPERLINK("https://ca.linkedin.com/jobs/view/data-analyst-python-sql-at-geotab-3341823745?refId=rkXMYv%2BfDS8jvKk5ZCJg7w%3D%3D&amp;trackingId=eTf%2B8ta32xkKJZ9J6m51Eg%3D%3D&amp;position=17&amp;pageNum=0&amp;trk=public_jobs_jserp-result_search-card", "Job Link")</f>
        <v>Job Link</v>
      </c>
      <c r="H2566" t="s">
        <v>479</v>
      </c>
      <c r="I2566" t="s">
        <v>481</v>
      </c>
      <c r="J2566" t="s">
        <v>486</v>
      </c>
      <c r="K2566" t="s">
        <v>521</v>
      </c>
      <c r="L2566" t="s">
        <v>612</v>
      </c>
      <c r="M2566" t="s">
        <v>588</v>
      </c>
      <c r="N2566" t="s">
        <v>601</v>
      </c>
    </row>
    <row r="2567" spans="1:14" x14ac:dyDescent="0.25">
      <c r="A2567" t="s">
        <v>86</v>
      </c>
      <c r="B2567" t="s">
        <v>167</v>
      </c>
      <c r="C2567" t="s">
        <v>377</v>
      </c>
      <c r="D2567" t="s">
        <v>426</v>
      </c>
      <c r="F2567" t="s">
        <v>454</v>
      </c>
      <c r="G2567" t="str">
        <f>HYPERLINK("https://ca.linkedin.com/jobs/view/data-analyst-reporting-at-thescore-3345941286?refId=rkXMYv%2BfDS8jvKk5ZCJg7w%3D%3D&amp;trackingId=7ISpigOBeuSNcn8jeFEmWQ%3D%3D&amp;position=18&amp;pageNum=0&amp;trk=public_jobs_jserp-result_search-card", "Job Link")</f>
        <v>Job Link</v>
      </c>
      <c r="H2567" t="s">
        <v>476</v>
      </c>
      <c r="I2567" t="s">
        <v>481</v>
      </c>
      <c r="J2567" t="s">
        <v>486</v>
      </c>
      <c r="K2567" t="s">
        <v>545</v>
      </c>
      <c r="L2567" t="s">
        <v>582</v>
      </c>
      <c r="M2567" t="s">
        <v>588</v>
      </c>
      <c r="N2567" t="s">
        <v>601</v>
      </c>
    </row>
    <row r="2568" spans="1:14" x14ac:dyDescent="0.25">
      <c r="A2568" t="s">
        <v>87</v>
      </c>
      <c r="B2568" t="s">
        <v>218</v>
      </c>
      <c r="C2568" t="s">
        <v>378</v>
      </c>
      <c r="D2568" t="s">
        <v>426</v>
      </c>
      <c r="F2568" t="s">
        <v>432</v>
      </c>
      <c r="G2568">
        <v>0</v>
      </c>
      <c r="H2568" t="s">
        <v>478</v>
      </c>
      <c r="I2568" t="s">
        <v>483</v>
      </c>
      <c r="J2568" t="s">
        <v>486</v>
      </c>
      <c r="K2568" t="s">
        <v>521</v>
      </c>
      <c r="L2568" t="s">
        <v>582</v>
      </c>
      <c r="M2568" t="s">
        <v>588</v>
      </c>
      <c r="N2568" t="s">
        <v>601</v>
      </c>
    </row>
    <row r="2569" spans="1:14" x14ac:dyDescent="0.25">
      <c r="A2569" t="s">
        <v>90</v>
      </c>
      <c r="B2569" t="s">
        <v>223</v>
      </c>
      <c r="C2569" t="s">
        <v>383</v>
      </c>
      <c r="D2569" t="s">
        <v>426</v>
      </c>
      <c r="F2569" t="s">
        <v>443</v>
      </c>
      <c r="G2569" t="str">
        <f>HYPERLINK("https://ca.linkedin.com/jobs/view/data-administrator-data-analyst-at-hays-3369576413?refId=rkXMYv%2BfDS8jvKk5ZCJg7w%3D%3D&amp;trackingId=wrf6Pp%2FihTCcbLj42jdb1g%3D%3D&amp;position=20&amp;pageNum=0&amp;trk=public_jobs_jserp-result_search-card", "Job Link")</f>
        <v>Job Link</v>
      </c>
      <c r="H2569" t="s">
        <v>478</v>
      </c>
      <c r="I2569" t="s">
        <v>481</v>
      </c>
      <c r="J2569" t="s">
        <v>486</v>
      </c>
      <c r="K2569" t="s">
        <v>518</v>
      </c>
      <c r="L2569" t="s">
        <v>583</v>
      </c>
      <c r="M2569" t="s">
        <v>610</v>
      </c>
      <c r="N2569" t="s">
        <v>601</v>
      </c>
    </row>
    <row r="2570" spans="1:14" x14ac:dyDescent="0.25">
      <c r="A2570" t="s">
        <v>88</v>
      </c>
      <c r="B2570" t="s">
        <v>219</v>
      </c>
      <c r="C2570" t="s">
        <v>379</v>
      </c>
      <c r="D2570" t="s">
        <v>426</v>
      </c>
      <c r="F2570" t="s">
        <v>454</v>
      </c>
      <c r="G2570" t="str">
        <f>HYPERLINK("https://ca.linkedin.com/jobs/view/data-analyst-flight-pricing-optimization-at-priceline-3345993633?refId=rkXMYv%2BfDS8jvKk5ZCJg7w%3D%3D&amp;trackingId=U58VFe6Qz57K0sewMFicag%3D%3D&amp;position=21&amp;pageNum=0&amp;trk=public_jobs_jserp-result_search-card", "Job Link")</f>
        <v>Job Link</v>
      </c>
      <c r="H2570" t="s">
        <v>476</v>
      </c>
      <c r="I2570" t="s">
        <v>481</v>
      </c>
      <c r="J2570" t="s">
        <v>486</v>
      </c>
      <c r="K2570" t="s">
        <v>565</v>
      </c>
      <c r="L2570" t="s">
        <v>582</v>
      </c>
      <c r="M2570" t="s">
        <v>588</v>
      </c>
      <c r="N2570" t="s">
        <v>601</v>
      </c>
    </row>
    <row r="2571" spans="1:14" x14ac:dyDescent="0.25">
      <c r="A2571" t="s">
        <v>89</v>
      </c>
      <c r="B2571" t="s">
        <v>221</v>
      </c>
      <c r="C2571" t="s">
        <v>381</v>
      </c>
      <c r="D2571" t="s">
        <v>426</v>
      </c>
      <c r="F2571" t="s">
        <v>461</v>
      </c>
      <c r="G2571">
        <v>0</v>
      </c>
      <c r="H2571" t="s">
        <v>476</v>
      </c>
      <c r="I2571" t="s">
        <v>481</v>
      </c>
      <c r="J2571" t="s">
        <v>488</v>
      </c>
      <c r="K2571" t="s">
        <v>566</v>
      </c>
      <c r="L2571" t="s">
        <v>582</v>
      </c>
      <c r="M2571" t="s">
        <v>588</v>
      </c>
      <c r="N2571" t="s">
        <v>601</v>
      </c>
    </row>
    <row r="2572" spans="1:14" x14ac:dyDescent="0.25">
      <c r="A2572" t="s">
        <v>14</v>
      </c>
      <c r="B2572" t="s">
        <v>222</v>
      </c>
      <c r="C2572" t="s">
        <v>382</v>
      </c>
      <c r="D2572" t="s">
        <v>426</v>
      </c>
      <c r="F2572" t="s">
        <v>431</v>
      </c>
      <c r="G2572" t="str">
        <f>HYPERLINK("https://ca.linkedin.com/jobs/view/data-analyst-at-circle-k-3367192655?refId=rkXMYv%2BfDS8jvKk5ZCJg7w%3D%3D&amp;trackingId=dQYsBc6RcLq1F7K3gj3QLA%3D%3D&amp;position=23&amp;pageNum=0&amp;trk=public_jobs_jserp-result_search-card", "Job Link")</f>
        <v>Job Link</v>
      </c>
      <c r="H2572" t="s">
        <v>476</v>
      </c>
      <c r="I2572" t="s">
        <v>481</v>
      </c>
      <c r="J2572" t="s">
        <v>486</v>
      </c>
      <c r="K2572" t="s">
        <v>567</v>
      </c>
      <c r="L2572" t="s">
        <v>582</v>
      </c>
      <c r="M2572" t="s">
        <v>588</v>
      </c>
      <c r="N2572" t="s">
        <v>601</v>
      </c>
    </row>
    <row r="2573" spans="1:14" x14ac:dyDescent="0.25">
      <c r="A2573" t="s">
        <v>14</v>
      </c>
      <c r="B2573" t="s">
        <v>225</v>
      </c>
      <c r="C2573" t="s">
        <v>385</v>
      </c>
      <c r="D2573" t="s">
        <v>426</v>
      </c>
      <c r="F2573" t="s">
        <v>463</v>
      </c>
      <c r="G2573" t="str">
        <f>HYPERLINK("https://ca.linkedin.com/jobs/view/data-analyst-at-vector-institute-3325395506?refId=rkXMYv%2BfDS8jvKk5ZCJg7w%3D%3D&amp;trackingId=HaiVIJT9G6ALWhth2wTKNA%3D%3D&amp;position=24&amp;pageNum=0&amp;trk=public_jobs_jserp-result_search-card", "Job Link")</f>
        <v>Job Link</v>
      </c>
      <c r="H2573" t="s">
        <v>478</v>
      </c>
      <c r="I2573" t="s">
        <v>481</v>
      </c>
      <c r="J2573" t="s">
        <v>486</v>
      </c>
      <c r="K2573" t="s">
        <v>520</v>
      </c>
      <c r="L2573" t="s">
        <v>582</v>
      </c>
      <c r="M2573" t="s">
        <v>588</v>
      </c>
      <c r="N2573" t="s">
        <v>601</v>
      </c>
    </row>
    <row r="2574" spans="1:14" x14ac:dyDescent="0.25">
      <c r="A2574" t="s">
        <v>14</v>
      </c>
      <c r="B2574" t="s">
        <v>226</v>
      </c>
      <c r="C2574" t="s">
        <v>386</v>
      </c>
      <c r="D2574" t="s">
        <v>426</v>
      </c>
      <c r="F2574" t="s">
        <v>474</v>
      </c>
      <c r="G2574" t="str">
        <f>HYPERLINK("https://ca.linkedin.com/jobs/view/data-analyst-at-gsl-group-3334387645?refId=rkXMYv%2BfDS8jvKk5ZCJg7w%3D%3D&amp;trackingId=dC5pO6J1Kkmc7eRb%2BYyUrw%3D%3D&amp;position=25&amp;pageNum=0&amp;trk=public_jobs_jserp-result_search-card", "Job Link")</f>
        <v>Job Link</v>
      </c>
      <c r="H2574" t="s">
        <v>476</v>
      </c>
      <c r="I2574" t="s">
        <v>481</v>
      </c>
      <c r="J2574" t="s">
        <v>486</v>
      </c>
      <c r="K2574" t="s">
        <v>568</v>
      </c>
      <c r="L2574" t="s">
        <v>590</v>
      </c>
      <c r="M2574" t="s">
        <v>618</v>
      </c>
      <c r="N2574" t="s">
        <v>601</v>
      </c>
    </row>
    <row r="2575" spans="1:14" x14ac:dyDescent="0.25">
      <c r="A2575" t="s">
        <v>14</v>
      </c>
      <c r="B2575" t="s">
        <v>207</v>
      </c>
      <c r="C2575" t="s">
        <v>362</v>
      </c>
      <c r="D2575" t="s">
        <v>426</v>
      </c>
      <c r="F2575" t="s">
        <v>463</v>
      </c>
      <c r="G2575" t="str">
        <f>HYPERLINK("https://ca.linkedin.com/jobs/view/data-analyst-at-onlia-3320897897?refId=NtQ0VG6XxBepWHIiMt4AKg%3D%3D&amp;trackingId=aGXS2SINXnNqVBVaajZLrQ%3D%3D&amp;position=1&amp;pageNum=0&amp;trk=public_jobs_jserp-result_search-card", "Job Link")</f>
        <v>Job Link</v>
      </c>
      <c r="H2575" t="s">
        <v>477</v>
      </c>
      <c r="I2575" t="s">
        <v>481</v>
      </c>
      <c r="J2575" t="s">
        <v>486</v>
      </c>
      <c r="K2575" t="s">
        <v>523</v>
      </c>
      <c r="L2575" t="s">
        <v>582</v>
      </c>
      <c r="M2575" t="s">
        <v>588</v>
      </c>
      <c r="N2575" t="s">
        <v>601</v>
      </c>
    </row>
    <row r="2576" spans="1:14" x14ac:dyDescent="0.25">
      <c r="A2576" t="s">
        <v>14</v>
      </c>
      <c r="B2576" t="s">
        <v>208</v>
      </c>
      <c r="C2576" t="s">
        <v>363</v>
      </c>
      <c r="D2576" t="s">
        <v>426</v>
      </c>
      <c r="F2576" t="s">
        <v>445</v>
      </c>
      <c r="G2576" t="str">
        <f>HYPERLINK("https://ca.linkedin.com/jobs/view/data-analyst-at-electronic-arts-ea-3325611825?refId=NtQ0VG6XxBepWHIiMt4AKg%3D%3D&amp;trackingId=OPfRVGjE568G1%2F4bmUWdfA%3D%3D&amp;position=2&amp;pageNum=0&amp;trk=public_jobs_jserp-result_search-card", "Job Link")</f>
        <v>Job Link</v>
      </c>
      <c r="H2576" t="s">
        <v>479</v>
      </c>
      <c r="I2576" t="s">
        <v>481</v>
      </c>
      <c r="J2576" t="s">
        <v>507</v>
      </c>
      <c r="K2576" t="s">
        <v>559</v>
      </c>
      <c r="L2576" t="s">
        <v>582</v>
      </c>
      <c r="M2576" t="s">
        <v>588</v>
      </c>
      <c r="N2576" t="s">
        <v>601</v>
      </c>
    </row>
    <row r="2577" spans="1:14" x14ac:dyDescent="0.25">
      <c r="A2577" t="s">
        <v>14</v>
      </c>
      <c r="B2577" t="s">
        <v>209</v>
      </c>
      <c r="C2577" t="s">
        <v>364</v>
      </c>
      <c r="D2577" t="s">
        <v>426</v>
      </c>
      <c r="F2577" t="s">
        <v>440</v>
      </c>
      <c r="G2577" t="str">
        <f>HYPERLINK("https://ca.linkedin.com/jobs/view/data-analyst-at-frostbite-3370111856?refId=NtQ0VG6XxBepWHIiMt4AKg%3D%3D&amp;trackingId=LLaoNnvOR0fCLxNAJptwPQ%3D%3D&amp;position=3&amp;pageNum=0&amp;trk=public_jobs_jserp-result_search-card", "Job Link")</f>
        <v>Job Link</v>
      </c>
      <c r="H2577" t="s">
        <v>479</v>
      </c>
      <c r="I2577" t="s">
        <v>481</v>
      </c>
      <c r="J2577" t="s">
        <v>507</v>
      </c>
      <c r="K2577" t="s">
        <v>559</v>
      </c>
      <c r="L2577" t="s">
        <v>590</v>
      </c>
      <c r="M2577" t="s">
        <v>618</v>
      </c>
      <c r="N2577" t="s">
        <v>601</v>
      </c>
    </row>
    <row r="2578" spans="1:14" x14ac:dyDescent="0.25">
      <c r="A2578" t="s">
        <v>14</v>
      </c>
      <c r="B2578" t="s">
        <v>211</v>
      </c>
      <c r="C2578" t="s">
        <v>366</v>
      </c>
      <c r="D2578" t="s">
        <v>426</v>
      </c>
      <c r="F2578" t="s">
        <v>443</v>
      </c>
      <c r="G2578" t="str">
        <f>HYPERLINK("https://ca.linkedin.com/jobs/view/data-analyst-at-mphasis-3363428246?refId=NtQ0VG6XxBepWHIiMt4AKg%3D%3D&amp;trackingId=L33LNPjqkiEpG3GKbJKYsA%3D%3D&amp;position=4&amp;pageNum=0&amp;trk=public_jobs_jserp-result_search-card", "Job Link")</f>
        <v>Job Link</v>
      </c>
      <c r="H2578" t="s">
        <v>477</v>
      </c>
      <c r="I2578" t="s">
        <v>481</v>
      </c>
      <c r="J2578" t="s">
        <v>486</v>
      </c>
      <c r="K2578" t="s">
        <v>521</v>
      </c>
      <c r="L2578" t="s">
        <v>609</v>
      </c>
      <c r="M2578" t="s">
        <v>610</v>
      </c>
      <c r="N2578" t="s">
        <v>601</v>
      </c>
    </row>
    <row r="2579" spans="1:14" x14ac:dyDescent="0.25">
      <c r="A2579" t="s">
        <v>81</v>
      </c>
      <c r="B2579" t="s">
        <v>210</v>
      </c>
      <c r="C2579" t="s">
        <v>365</v>
      </c>
      <c r="D2579" t="s">
        <v>426</v>
      </c>
      <c r="F2579" t="s">
        <v>436</v>
      </c>
      <c r="G2579" t="str">
        <f>HYPERLINK("https://ca.linkedin.com/jobs/view/data-analyst-c117-at-mitsubishi-motor-sales-of-canada-inc-3344852931?refId=NtQ0VG6XxBepWHIiMt4AKg%3D%3D&amp;trackingId=crqhEZnsfjvQVqxfG4voyg%3D%3D&amp;position=5&amp;pageNum=0&amp;trk=public_jobs_jserp-result_search-card", "Job Link")</f>
        <v>Job Link</v>
      </c>
      <c r="H2579" t="s">
        <v>477</v>
      </c>
      <c r="I2579" t="s">
        <v>481</v>
      </c>
      <c r="J2579" t="s">
        <v>508</v>
      </c>
      <c r="K2579" t="s">
        <v>561</v>
      </c>
      <c r="L2579" t="s">
        <v>584</v>
      </c>
      <c r="M2579" t="s">
        <v>588</v>
      </c>
      <c r="N2579" t="s">
        <v>601</v>
      </c>
    </row>
    <row r="2580" spans="1:14" x14ac:dyDescent="0.25">
      <c r="A2580" t="s">
        <v>14</v>
      </c>
      <c r="B2580" t="s">
        <v>150</v>
      </c>
      <c r="C2580" t="s">
        <v>367</v>
      </c>
      <c r="D2580" t="s">
        <v>426</v>
      </c>
      <c r="F2580" t="s">
        <v>433</v>
      </c>
      <c r="G2580" t="str">
        <f>HYPERLINK("https://ca.linkedin.com/jobs/view/data-analyst-at-synechron-3348329085?refId=NtQ0VG6XxBepWHIiMt4AKg%3D%3D&amp;trackingId=9OsdAMKcBj8%2FxYkSWMxuxA%3D%3D&amp;position=6&amp;pageNum=0&amp;trk=public_jobs_jserp-result_search-card", "Job Link")</f>
        <v>Job Link</v>
      </c>
      <c r="H2580" t="s">
        <v>478</v>
      </c>
      <c r="I2580" t="s">
        <v>481</v>
      </c>
      <c r="J2580" t="s">
        <v>486</v>
      </c>
      <c r="K2580" t="s">
        <v>562</v>
      </c>
      <c r="L2580" t="s">
        <v>584</v>
      </c>
      <c r="M2580" t="s">
        <v>588</v>
      </c>
      <c r="N2580" t="s">
        <v>601</v>
      </c>
    </row>
    <row r="2581" spans="1:14" x14ac:dyDescent="0.25">
      <c r="A2581" t="s">
        <v>82</v>
      </c>
      <c r="B2581" t="s">
        <v>179</v>
      </c>
      <c r="C2581" t="s">
        <v>368</v>
      </c>
      <c r="D2581" t="s">
        <v>426</v>
      </c>
      <c r="F2581" t="s">
        <v>471</v>
      </c>
      <c r="G2581" t="str">
        <f>HYPERLINK("https://ca.linkedin.com/jobs/view/business-data-analyst-at-capgemini-3327624663?refId=NtQ0VG6XxBepWHIiMt4AKg%3D%3D&amp;trackingId=Zz9hHrniUV4f9Y2VzmkiVQ%3D%3D&amp;position=7&amp;pageNum=0&amp;trk=public_jobs_jserp-result_search-card", "Job Link")</f>
        <v>Job Link</v>
      </c>
      <c r="H2581" t="s">
        <v>478</v>
      </c>
      <c r="I2581" t="s">
        <v>481</v>
      </c>
      <c r="J2581" t="s">
        <v>486</v>
      </c>
      <c r="K2581" t="s">
        <v>521</v>
      </c>
      <c r="L2581" t="s">
        <v>611</v>
      </c>
      <c r="M2581" t="s">
        <v>601</v>
      </c>
    </row>
    <row r="2582" spans="1:14" x14ac:dyDescent="0.25">
      <c r="A2582" t="s">
        <v>14</v>
      </c>
      <c r="B2582" t="s">
        <v>212</v>
      </c>
      <c r="C2582" t="s">
        <v>370</v>
      </c>
      <c r="D2582" t="s">
        <v>426</v>
      </c>
      <c r="F2582" t="s">
        <v>432</v>
      </c>
      <c r="G2582" t="str">
        <f>HYPERLINK("https://ca.linkedin.com/jobs/view/data-analyst-at-agilus-work-solutions-3358673093?refId=NtQ0VG6XxBepWHIiMt4AKg%3D%3D&amp;trackingId=g8r4VzuvOKDnX1x%2BAY9p%2BA%3D%3D&amp;position=8&amp;pageNum=0&amp;trk=public_jobs_jserp-result_search-card", "Job Link")</f>
        <v>Job Link</v>
      </c>
      <c r="H2582" t="s">
        <v>477</v>
      </c>
      <c r="I2582" t="s">
        <v>483</v>
      </c>
      <c r="J2582" t="s">
        <v>486</v>
      </c>
      <c r="K2582" t="s">
        <v>518</v>
      </c>
      <c r="L2582" t="s">
        <v>582</v>
      </c>
      <c r="M2582" t="s">
        <v>588</v>
      </c>
      <c r="N2582" t="s">
        <v>601</v>
      </c>
    </row>
    <row r="2583" spans="1:14" x14ac:dyDescent="0.25">
      <c r="A2583" t="s">
        <v>14</v>
      </c>
      <c r="B2583" t="s">
        <v>150</v>
      </c>
      <c r="C2583" t="s">
        <v>369</v>
      </c>
      <c r="D2583" t="s">
        <v>426</v>
      </c>
      <c r="F2583" t="s">
        <v>460</v>
      </c>
      <c r="G2583" t="str">
        <f>HYPERLINK("https://ca.linkedin.com/jobs/view/data-analyst-at-synechron-3364863079?refId=NtQ0VG6XxBepWHIiMt4AKg%3D%3D&amp;trackingId=xcTDv1NOHIfr4JAA%2Bj8gZQ%3D%3D&amp;position=9&amp;pageNum=0&amp;trk=public_jobs_jserp-result_search-card", "Job Link")</f>
        <v>Job Link</v>
      </c>
      <c r="H2583" t="s">
        <v>478</v>
      </c>
      <c r="I2583" t="s">
        <v>481</v>
      </c>
      <c r="J2583" t="s">
        <v>486</v>
      </c>
      <c r="K2583" t="s">
        <v>563</v>
      </c>
      <c r="L2583" t="s">
        <v>584</v>
      </c>
      <c r="M2583" t="s">
        <v>588</v>
      </c>
      <c r="N2583" t="s">
        <v>601</v>
      </c>
    </row>
    <row r="2584" spans="1:14" x14ac:dyDescent="0.25">
      <c r="A2584" t="s">
        <v>14</v>
      </c>
      <c r="B2584" t="s">
        <v>150</v>
      </c>
      <c r="C2584" t="s">
        <v>367</v>
      </c>
      <c r="D2584" t="s">
        <v>426</v>
      </c>
      <c r="F2584" t="s">
        <v>460</v>
      </c>
      <c r="G2584" t="str">
        <f>HYPERLINK("https://ca.linkedin.com/jobs/view/data-analyst-at-synechron-3361756851?refId=NtQ0VG6XxBepWHIiMt4AKg%3D%3D&amp;trackingId=aK9Fg9CZk38u9wocc5L8GA%3D%3D&amp;position=10&amp;pageNum=0&amp;trk=public_jobs_jserp-result_search-card", "Job Link")</f>
        <v>Job Link</v>
      </c>
      <c r="H2584" t="s">
        <v>478</v>
      </c>
      <c r="I2584" t="s">
        <v>481</v>
      </c>
      <c r="J2584" t="s">
        <v>486</v>
      </c>
      <c r="K2584" t="s">
        <v>562</v>
      </c>
      <c r="L2584" t="s">
        <v>584</v>
      </c>
      <c r="M2584" t="s">
        <v>588</v>
      </c>
      <c r="N2584" t="s">
        <v>601</v>
      </c>
    </row>
    <row r="2585" spans="1:14" x14ac:dyDescent="0.25">
      <c r="A2585" t="s">
        <v>14</v>
      </c>
      <c r="B2585" t="s">
        <v>213</v>
      </c>
      <c r="C2585" t="s">
        <v>371</v>
      </c>
      <c r="D2585" t="s">
        <v>426</v>
      </c>
      <c r="F2585" t="s">
        <v>472</v>
      </c>
      <c r="G2585" t="str">
        <f>HYPERLINK("https://ca.linkedin.com/jobs/view/data-analyst-at-linkus-group-3345817125?refId=NtQ0VG6XxBepWHIiMt4AKg%3D%3D&amp;trackingId=NELntOJRN0F%2FR1fGv6A4GA%3D%3D&amp;position=11&amp;pageNum=0&amp;trk=public_jobs_jserp-result_search-card", "Job Link")</f>
        <v>Job Link</v>
      </c>
      <c r="H2585" t="s">
        <v>476</v>
      </c>
      <c r="I2585" t="s">
        <v>481</v>
      </c>
      <c r="J2585" t="s">
        <v>486</v>
      </c>
      <c r="K2585" t="s">
        <v>518</v>
      </c>
      <c r="L2585" t="s">
        <v>588</v>
      </c>
      <c r="M2585" t="s">
        <v>601</v>
      </c>
    </row>
    <row r="2586" spans="1:14" x14ac:dyDescent="0.25">
      <c r="A2586" t="s">
        <v>14</v>
      </c>
      <c r="B2586" t="s">
        <v>214</v>
      </c>
      <c r="C2586" t="s">
        <v>372</v>
      </c>
      <c r="D2586" t="s">
        <v>426</v>
      </c>
      <c r="F2586" t="s">
        <v>432</v>
      </c>
      <c r="G2586" t="str">
        <f>HYPERLINK("https://ca.linkedin.com/jobs/view/data-analyst-at-goeasy-ltd-3358677253?refId=NtQ0VG6XxBepWHIiMt4AKg%3D%3D&amp;trackingId=iXal%2FKRC5BF4YHNxmMc3ng%3D%3D&amp;position=12&amp;pageNum=0&amp;trk=public_jobs_jserp-result_search-card", "Job Link")</f>
        <v>Job Link</v>
      </c>
      <c r="H2586" t="s">
        <v>476</v>
      </c>
      <c r="I2586" t="s">
        <v>481</v>
      </c>
      <c r="J2586" t="s">
        <v>486</v>
      </c>
      <c r="K2586" t="s">
        <v>550</v>
      </c>
      <c r="L2586" t="s">
        <v>584</v>
      </c>
      <c r="M2586" t="s">
        <v>588</v>
      </c>
      <c r="N2586" t="s">
        <v>601</v>
      </c>
    </row>
    <row r="2587" spans="1:14" x14ac:dyDescent="0.25">
      <c r="A2587" t="s">
        <v>83</v>
      </c>
      <c r="B2587" t="s">
        <v>215</v>
      </c>
      <c r="C2587" t="s">
        <v>373</v>
      </c>
      <c r="D2587" t="s">
        <v>426</v>
      </c>
      <c r="F2587" t="s">
        <v>462</v>
      </c>
      <c r="G2587">
        <v>0</v>
      </c>
      <c r="H2587" t="s">
        <v>478</v>
      </c>
      <c r="I2587" t="s">
        <v>483</v>
      </c>
      <c r="J2587" t="s">
        <v>509</v>
      </c>
      <c r="K2587" t="s">
        <v>550</v>
      </c>
      <c r="L2587" t="s">
        <v>584</v>
      </c>
      <c r="M2587" t="s">
        <v>588</v>
      </c>
      <c r="N2587" t="s">
        <v>601</v>
      </c>
    </row>
    <row r="2588" spans="1:14" x14ac:dyDescent="0.25">
      <c r="A2588" t="s">
        <v>91</v>
      </c>
      <c r="B2588" t="s">
        <v>224</v>
      </c>
      <c r="C2588" t="s">
        <v>384</v>
      </c>
      <c r="D2588" t="s">
        <v>426</v>
      </c>
      <c r="F2588" t="s">
        <v>431</v>
      </c>
      <c r="G2588" t="str">
        <f>HYPERLINK("https://ca.linkedin.com/jobs/view/commercial-data-analyst-at-organigram-inc-3367177254?refId=NtQ0VG6XxBepWHIiMt4AKg%3D%3D&amp;trackingId=CivR0R9PTRZW7BE8toqQhQ%3D%3D&amp;position=14&amp;pageNum=0&amp;trk=public_jobs_jserp-result_search-card", "Job Link")</f>
        <v>Job Link</v>
      </c>
      <c r="I2588" t="s">
        <v>481</v>
      </c>
      <c r="L2588" t="s">
        <v>582</v>
      </c>
      <c r="M2588" t="s">
        <v>588</v>
      </c>
      <c r="N2588" t="s">
        <v>601</v>
      </c>
    </row>
    <row r="2589" spans="1:14" x14ac:dyDescent="0.25">
      <c r="A2589" t="s">
        <v>20</v>
      </c>
      <c r="B2589" t="s">
        <v>207</v>
      </c>
      <c r="C2589" t="s">
        <v>374</v>
      </c>
      <c r="D2589" t="s">
        <v>426</v>
      </c>
      <c r="F2589" t="s">
        <v>463</v>
      </c>
      <c r="G2589" t="str">
        <f>HYPERLINK("https://ca.linkedin.com/jobs/view/senior-data-analyst-at-onlia-3320897882?refId=NtQ0VG6XxBepWHIiMt4AKg%3D%3D&amp;trackingId=FkLVH149LoxRmEk8gRjpFA%3D%3D&amp;position=15&amp;pageNum=0&amp;trk=public_jobs_jserp-result_search-card", "Job Link")</f>
        <v>Job Link</v>
      </c>
      <c r="H2589" t="s">
        <v>477</v>
      </c>
      <c r="I2589" t="s">
        <v>481</v>
      </c>
      <c r="J2589" t="s">
        <v>486</v>
      </c>
      <c r="K2589" t="s">
        <v>523</v>
      </c>
      <c r="L2589" t="s">
        <v>582</v>
      </c>
      <c r="M2589" t="s">
        <v>588</v>
      </c>
      <c r="N2589" t="s">
        <v>601</v>
      </c>
    </row>
    <row r="2590" spans="1:14" x14ac:dyDescent="0.25">
      <c r="A2590" t="s">
        <v>84</v>
      </c>
      <c r="B2590" t="s">
        <v>216</v>
      </c>
      <c r="C2590" t="s">
        <v>375</v>
      </c>
      <c r="D2590" t="s">
        <v>426</v>
      </c>
      <c r="F2590" t="s">
        <v>452</v>
      </c>
      <c r="G2590" t="str">
        <f>HYPERLINK("https://ca.linkedin.com/jobs/view/data-analyst-hybrid-at-xylem-3335088701?refId=NtQ0VG6XxBepWHIiMt4AKg%3D%3D&amp;trackingId=Vd6zst9OIPRRKwUqLSyuPA%3D%3D&amp;position=16&amp;pageNum=0&amp;trk=public_jobs_jserp-result_search-card", "Job Link")</f>
        <v>Job Link</v>
      </c>
      <c r="H2590" t="s">
        <v>476</v>
      </c>
      <c r="I2590" t="s">
        <v>481</v>
      </c>
      <c r="J2590" t="s">
        <v>486</v>
      </c>
      <c r="K2590" t="s">
        <v>564</v>
      </c>
      <c r="L2590" t="s">
        <v>584</v>
      </c>
      <c r="M2590" t="s">
        <v>588</v>
      </c>
      <c r="N2590" t="s">
        <v>601</v>
      </c>
    </row>
    <row r="2591" spans="1:14" x14ac:dyDescent="0.25">
      <c r="A2591" t="s">
        <v>85</v>
      </c>
      <c r="B2591" t="s">
        <v>217</v>
      </c>
      <c r="C2591" t="s">
        <v>376</v>
      </c>
      <c r="D2591" t="s">
        <v>426</v>
      </c>
      <c r="F2591" t="s">
        <v>473</v>
      </c>
      <c r="G2591" t="str">
        <f>HYPERLINK("https://ca.linkedin.com/jobs/view/data-analyst-python-sql-at-geotab-3341823745?refId=NtQ0VG6XxBepWHIiMt4AKg%3D%3D&amp;trackingId=DO1xT%2Bw2jeHRIQQClKjWuQ%3D%3D&amp;position=17&amp;pageNum=0&amp;trk=public_jobs_jserp-result_search-card", "Job Link")</f>
        <v>Job Link</v>
      </c>
      <c r="H2591" t="s">
        <v>479</v>
      </c>
      <c r="I2591" t="s">
        <v>481</v>
      </c>
      <c r="J2591" t="s">
        <v>486</v>
      </c>
      <c r="K2591" t="s">
        <v>521</v>
      </c>
      <c r="L2591" t="s">
        <v>612</v>
      </c>
      <c r="M2591" t="s">
        <v>588</v>
      </c>
      <c r="N2591" t="s">
        <v>601</v>
      </c>
    </row>
    <row r="2592" spans="1:14" x14ac:dyDescent="0.25">
      <c r="A2592" t="s">
        <v>86</v>
      </c>
      <c r="B2592" t="s">
        <v>167</v>
      </c>
      <c r="C2592" t="s">
        <v>377</v>
      </c>
      <c r="D2592" t="s">
        <v>426</v>
      </c>
      <c r="F2592" t="s">
        <v>454</v>
      </c>
      <c r="G2592" t="str">
        <f>HYPERLINK("https://ca.linkedin.com/jobs/view/data-analyst-reporting-at-thescore-3345941286?refId=NtQ0VG6XxBepWHIiMt4AKg%3D%3D&amp;trackingId=F%2BpI%2FU5rLKzcKZFYNa5yLA%3D%3D&amp;position=18&amp;pageNum=0&amp;trk=public_jobs_jserp-result_search-card", "Job Link")</f>
        <v>Job Link</v>
      </c>
      <c r="H2592" t="s">
        <v>476</v>
      </c>
      <c r="I2592" t="s">
        <v>481</v>
      </c>
      <c r="J2592" t="s">
        <v>486</v>
      </c>
      <c r="K2592" t="s">
        <v>545</v>
      </c>
      <c r="L2592" t="s">
        <v>582</v>
      </c>
      <c r="M2592" t="s">
        <v>588</v>
      </c>
      <c r="N2592" t="s">
        <v>601</v>
      </c>
    </row>
    <row r="2593" spans="1:14" x14ac:dyDescent="0.25">
      <c r="A2593" t="s">
        <v>87</v>
      </c>
      <c r="B2593" t="s">
        <v>218</v>
      </c>
      <c r="C2593" t="s">
        <v>378</v>
      </c>
      <c r="D2593" t="s">
        <v>426</v>
      </c>
      <c r="F2593" t="s">
        <v>432</v>
      </c>
      <c r="G2593">
        <v>0</v>
      </c>
      <c r="H2593" t="s">
        <v>478</v>
      </c>
      <c r="I2593" t="s">
        <v>483</v>
      </c>
      <c r="J2593" t="s">
        <v>486</v>
      </c>
      <c r="K2593" t="s">
        <v>521</v>
      </c>
      <c r="L2593" t="s">
        <v>582</v>
      </c>
      <c r="M2593" t="s">
        <v>588</v>
      </c>
      <c r="N2593" t="s">
        <v>601</v>
      </c>
    </row>
    <row r="2594" spans="1:14" x14ac:dyDescent="0.25">
      <c r="A2594" t="s">
        <v>90</v>
      </c>
      <c r="B2594" t="s">
        <v>223</v>
      </c>
      <c r="C2594" t="s">
        <v>383</v>
      </c>
      <c r="D2594" t="s">
        <v>426</v>
      </c>
      <c r="F2594" t="s">
        <v>443</v>
      </c>
      <c r="G2594" t="str">
        <f>HYPERLINK("https://ca.linkedin.com/jobs/view/data-administrator-data-analyst-at-hays-3369576413?refId=NtQ0VG6XxBepWHIiMt4AKg%3D%3D&amp;trackingId=9i7gGozPWq3%2B4dzSkNEEHQ%3D%3D&amp;position=20&amp;pageNum=0&amp;trk=public_jobs_jserp-result_search-card", "Job Link")</f>
        <v>Job Link</v>
      </c>
      <c r="H2594" t="s">
        <v>478</v>
      </c>
      <c r="I2594" t="s">
        <v>481</v>
      </c>
      <c r="J2594" t="s">
        <v>486</v>
      </c>
      <c r="K2594" t="s">
        <v>518</v>
      </c>
      <c r="L2594" t="s">
        <v>583</v>
      </c>
      <c r="M2594" t="s">
        <v>610</v>
      </c>
      <c r="N2594" t="s">
        <v>601</v>
      </c>
    </row>
    <row r="2595" spans="1:14" x14ac:dyDescent="0.25">
      <c r="A2595" t="s">
        <v>88</v>
      </c>
      <c r="B2595" t="s">
        <v>219</v>
      </c>
      <c r="C2595" t="s">
        <v>379</v>
      </c>
      <c r="D2595" t="s">
        <v>426</v>
      </c>
      <c r="F2595" t="s">
        <v>454</v>
      </c>
      <c r="G2595" t="str">
        <f>HYPERLINK("https://ca.linkedin.com/jobs/view/data-analyst-flight-pricing-optimization-at-priceline-3345993633?refId=NtQ0VG6XxBepWHIiMt4AKg%3D%3D&amp;trackingId=i6it4MXnNxYz%2B6SZ%2BLBY5Q%3D%3D&amp;position=21&amp;pageNum=0&amp;trk=public_jobs_jserp-result_search-card", "Job Link")</f>
        <v>Job Link</v>
      </c>
      <c r="H2595" t="s">
        <v>476</v>
      </c>
      <c r="I2595" t="s">
        <v>481</v>
      </c>
      <c r="J2595" t="s">
        <v>486</v>
      </c>
      <c r="K2595" t="s">
        <v>565</v>
      </c>
      <c r="L2595" t="s">
        <v>582</v>
      </c>
      <c r="M2595" t="s">
        <v>588</v>
      </c>
      <c r="N2595" t="s">
        <v>601</v>
      </c>
    </row>
    <row r="2596" spans="1:14" x14ac:dyDescent="0.25">
      <c r="A2596" t="s">
        <v>27</v>
      </c>
      <c r="B2596" t="s">
        <v>220</v>
      </c>
      <c r="C2596" t="s">
        <v>380</v>
      </c>
      <c r="D2596" t="s">
        <v>426</v>
      </c>
      <c r="F2596" t="s">
        <v>434</v>
      </c>
      <c r="G2596" t="str">
        <f>HYPERLINK("https://ca.linkedin.com/jobs/view/sr-data-analyst-at-randstad-canada-3354999789?refId=NtQ0VG6XxBepWHIiMt4AKg%3D%3D&amp;trackingId=y3ypnMr2Rmyf9kTxDMBw0w%3D%3D&amp;position=22&amp;pageNum=0&amp;trk=public_jobs_jserp-result_search-card", "Job Link")</f>
        <v>Job Link</v>
      </c>
      <c r="H2596" t="s">
        <v>478</v>
      </c>
      <c r="I2596" t="s">
        <v>483</v>
      </c>
      <c r="J2596" t="s">
        <v>486</v>
      </c>
      <c r="K2596" t="s">
        <v>518</v>
      </c>
      <c r="L2596" t="s">
        <v>584</v>
      </c>
      <c r="M2596" t="s">
        <v>588</v>
      </c>
      <c r="N2596" t="s">
        <v>601</v>
      </c>
    </row>
    <row r="2597" spans="1:14" x14ac:dyDescent="0.25">
      <c r="A2597" t="s">
        <v>89</v>
      </c>
      <c r="B2597" t="s">
        <v>221</v>
      </c>
      <c r="C2597" t="s">
        <v>381</v>
      </c>
      <c r="D2597" t="s">
        <v>426</v>
      </c>
      <c r="F2597" t="s">
        <v>461</v>
      </c>
      <c r="G2597">
        <v>0</v>
      </c>
      <c r="H2597" t="s">
        <v>476</v>
      </c>
      <c r="I2597" t="s">
        <v>481</v>
      </c>
      <c r="J2597" t="s">
        <v>488</v>
      </c>
      <c r="K2597" t="s">
        <v>566</v>
      </c>
      <c r="L2597" t="s">
        <v>582</v>
      </c>
      <c r="M2597" t="s">
        <v>588</v>
      </c>
      <c r="N2597" t="s">
        <v>601</v>
      </c>
    </row>
    <row r="2598" spans="1:14" x14ac:dyDescent="0.25">
      <c r="A2598" t="s">
        <v>14</v>
      </c>
      <c r="B2598" t="s">
        <v>222</v>
      </c>
      <c r="C2598" t="s">
        <v>382</v>
      </c>
      <c r="D2598" t="s">
        <v>426</v>
      </c>
      <c r="F2598" t="s">
        <v>431</v>
      </c>
      <c r="G2598" t="str">
        <f>HYPERLINK("https://ca.linkedin.com/jobs/view/data-analyst-at-circle-k-3367192655?refId=NtQ0VG6XxBepWHIiMt4AKg%3D%3D&amp;trackingId=OKuQF6OtGKuh1iOKrX08Nw%3D%3D&amp;position=24&amp;pageNum=0&amp;trk=public_jobs_jserp-result_search-card", "Job Link")</f>
        <v>Job Link</v>
      </c>
      <c r="H2598" t="s">
        <v>476</v>
      </c>
      <c r="I2598" t="s">
        <v>481</v>
      </c>
      <c r="J2598" t="s">
        <v>486</v>
      </c>
      <c r="K2598" t="s">
        <v>567</v>
      </c>
      <c r="L2598" t="s">
        <v>582</v>
      </c>
      <c r="M2598" t="s">
        <v>588</v>
      </c>
      <c r="N2598" t="s">
        <v>601</v>
      </c>
    </row>
    <row r="2599" spans="1:14" x14ac:dyDescent="0.25">
      <c r="A2599" t="s">
        <v>14</v>
      </c>
      <c r="B2599" t="s">
        <v>225</v>
      </c>
      <c r="C2599" t="s">
        <v>385</v>
      </c>
      <c r="D2599" t="s">
        <v>426</v>
      </c>
      <c r="F2599" t="s">
        <v>463</v>
      </c>
      <c r="G2599" t="str">
        <f>HYPERLINK("https://ca.linkedin.com/jobs/view/data-analyst-at-vector-institute-3325395506?refId=NtQ0VG6XxBepWHIiMt4AKg%3D%3D&amp;trackingId=6fsADS6qv%2FsczHdzJdFtBg%3D%3D&amp;position=25&amp;pageNum=0&amp;trk=public_jobs_jserp-result_search-card", "Job Link")</f>
        <v>Job Link</v>
      </c>
      <c r="H2599" t="s">
        <v>478</v>
      </c>
      <c r="I2599" t="s">
        <v>481</v>
      </c>
      <c r="J2599" t="s">
        <v>486</v>
      </c>
      <c r="K2599" t="s">
        <v>520</v>
      </c>
      <c r="L2599" t="s">
        <v>582</v>
      </c>
      <c r="M2599" t="s">
        <v>588</v>
      </c>
      <c r="N2599" t="s">
        <v>601</v>
      </c>
    </row>
    <row r="2600" spans="1:14" x14ac:dyDescent="0.25">
      <c r="A2600" t="s">
        <v>14</v>
      </c>
      <c r="B2600" t="s">
        <v>207</v>
      </c>
      <c r="C2600" t="s">
        <v>362</v>
      </c>
      <c r="D2600" t="s">
        <v>426</v>
      </c>
      <c r="F2600" t="s">
        <v>463</v>
      </c>
      <c r="G2600" t="str">
        <f>HYPERLINK("https://ca.linkedin.com/jobs/view/data-analyst-at-onlia-3320897897?refId=LDry9Q57GPFj5Q1o4oK9%2BA%3D%3D&amp;trackingId=XaUPrOn9lgI956d5EnKZ1Q%3D%3D&amp;position=1&amp;pageNum=0&amp;trk=public_jobs_jserp-result_search-card", "Job Link")</f>
        <v>Job Link</v>
      </c>
      <c r="H2600" t="s">
        <v>477</v>
      </c>
      <c r="I2600" t="s">
        <v>481</v>
      </c>
      <c r="J2600" t="s">
        <v>486</v>
      </c>
      <c r="K2600" t="s">
        <v>523</v>
      </c>
      <c r="L2600" t="s">
        <v>582</v>
      </c>
      <c r="M2600" t="s">
        <v>588</v>
      </c>
      <c r="N2600" t="s">
        <v>601</v>
      </c>
    </row>
    <row r="2601" spans="1:14" x14ac:dyDescent="0.25">
      <c r="A2601" t="s">
        <v>14</v>
      </c>
      <c r="B2601" t="s">
        <v>208</v>
      </c>
      <c r="C2601" t="s">
        <v>363</v>
      </c>
      <c r="D2601" t="s">
        <v>426</v>
      </c>
      <c r="F2601" t="s">
        <v>445</v>
      </c>
      <c r="G2601" t="str">
        <f>HYPERLINK("https://ca.linkedin.com/jobs/view/data-analyst-at-electronic-arts-ea-3325611825?refId=LDry9Q57GPFj5Q1o4oK9%2BA%3D%3D&amp;trackingId=qBtOgoIYPmx47X7XFdMzPg%3D%3D&amp;position=2&amp;pageNum=0&amp;trk=public_jobs_jserp-result_search-card", "Job Link")</f>
        <v>Job Link</v>
      </c>
      <c r="H2601" t="s">
        <v>479</v>
      </c>
      <c r="I2601" t="s">
        <v>481</v>
      </c>
      <c r="J2601" t="s">
        <v>507</v>
      </c>
      <c r="K2601" t="s">
        <v>559</v>
      </c>
      <c r="L2601" t="s">
        <v>582</v>
      </c>
      <c r="M2601" t="s">
        <v>588</v>
      </c>
      <c r="N2601" t="s">
        <v>601</v>
      </c>
    </row>
    <row r="2602" spans="1:14" x14ac:dyDescent="0.25">
      <c r="A2602" t="s">
        <v>14</v>
      </c>
      <c r="B2602" t="s">
        <v>209</v>
      </c>
      <c r="C2602" t="s">
        <v>364</v>
      </c>
      <c r="D2602" t="s">
        <v>426</v>
      </c>
      <c r="F2602" t="s">
        <v>440</v>
      </c>
      <c r="G2602" t="str">
        <f>HYPERLINK("https://ca.linkedin.com/jobs/view/data-analyst-at-frostbite-3370111856?refId=LDry9Q57GPFj5Q1o4oK9%2BA%3D%3D&amp;trackingId=2CzWnCCvvtrKpbiGBMb1iQ%3D%3D&amp;position=3&amp;pageNum=0&amp;trk=public_jobs_jserp-result_search-card", "Job Link")</f>
        <v>Job Link</v>
      </c>
      <c r="H2602" t="s">
        <v>479</v>
      </c>
      <c r="I2602" t="s">
        <v>481</v>
      </c>
      <c r="J2602" t="s">
        <v>507</v>
      </c>
      <c r="K2602" t="s">
        <v>559</v>
      </c>
      <c r="L2602" t="s">
        <v>590</v>
      </c>
      <c r="M2602" t="s">
        <v>618</v>
      </c>
      <c r="N2602" t="s">
        <v>601</v>
      </c>
    </row>
    <row r="2603" spans="1:14" x14ac:dyDescent="0.25">
      <c r="A2603" t="s">
        <v>14</v>
      </c>
      <c r="B2603" t="s">
        <v>211</v>
      </c>
      <c r="C2603" t="s">
        <v>366</v>
      </c>
      <c r="D2603" t="s">
        <v>426</v>
      </c>
      <c r="F2603" t="s">
        <v>443</v>
      </c>
      <c r="G2603" t="str">
        <f>HYPERLINK("https://ca.linkedin.com/jobs/view/data-analyst-at-mphasis-3363428246?refId=LDry9Q57GPFj5Q1o4oK9%2BA%3D%3D&amp;trackingId=76Z3f5e2jV19b5a2noVJYQ%3D%3D&amp;position=4&amp;pageNum=0&amp;trk=public_jobs_jserp-result_search-card", "Job Link")</f>
        <v>Job Link</v>
      </c>
      <c r="H2603" t="s">
        <v>477</v>
      </c>
      <c r="I2603" t="s">
        <v>481</v>
      </c>
      <c r="J2603" t="s">
        <v>486</v>
      </c>
      <c r="K2603" t="s">
        <v>521</v>
      </c>
      <c r="L2603" t="s">
        <v>609</v>
      </c>
      <c r="M2603" t="s">
        <v>610</v>
      </c>
      <c r="N2603" t="s">
        <v>601</v>
      </c>
    </row>
    <row r="2604" spans="1:14" x14ac:dyDescent="0.25">
      <c r="A2604" t="s">
        <v>81</v>
      </c>
      <c r="B2604" t="s">
        <v>210</v>
      </c>
      <c r="C2604" t="s">
        <v>365</v>
      </c>
      <c r="D2604" t="s">
        <v>426</v>
      </c>
      <c r="F2604" t="s">
        <v>436</v>
      </c>
      <c r="G2604" t="str">
        <f>HYPERLINK("https://ca.linkedin.com/jobs/view/data-analyst-c117-at-mitsubishi-motor-sales-of-canada-inc-3344852931?refId=LDry9Q57GPFj5Q1o4oK9%2BA%3D%3D&amp;trackingId=aXhsoPi5xOHBJZI5B5dkxA%3D%3D&amp;position=5&amp;pageNum=0&amp;trk=public_jobs_jserp-result_search-card", "Job Link")</f>
        <v>Job Link</v>
      </c>
      <c r="H2604" t="s">
        <v>477</v>
      </c>
      <c r="I2604" t="s">
        <v>481</v>
      </c>
      <c r="J2604" t="s">
        <v>508</v>
      </c>
      <c r="K2604" t="s">
        <v>561</v>
      </c>
      <c r="L2604" t="s">
        <v>584</v>
      </c>
      <c r="M2604" t="s">
        <v>588</v>
      </c>
      <c r="N2604" t="s">
        <v>601</v>
      </c>
    </row>
    <row r="2605" spans="1:14" x14ac:dyDescent="0.25">
      <c r="A2605" t="s">
        <v>14</v>
      </c>
      <c r="B2605" t="s">
        <v>150</v>
      </c>
      <c r="C2605" t="s">
        <v>367</v>
      </c>
      <c r="D2605" t="s">
        <v>426</v>
      </c>
      <c r="F2605" t="s">
        <v>433</v>
      </c>
      <c r="G2605" t="str">
        <f>HYPERLINK("https://ca.linkedin.com/jobs/view/data-analyst-at-synechron-3348329085?refId=LDry9Q57GPFj5Q1o4oK9%2BA%3D%3D&amp;trackingId=KPNS98eYLUUOXCbMR3m%2FlQ%3D%3D&amp;position=6&amp;pageNum=0&amp;trk=public_jobs_jserp-result_search-card", "Job Link")</f>
        <v>Job Link</v>
      </c>
      <c r="H2605" t="s">
        <v>478</v>
      </c>
      <c r="I2605" t="s">
        <v>481</v>
      </c>
      <c r="J2605" t="s">
        <v>486</v>
      </c>
      <c r="K2605" t="s">
        <v>562</v>
      </c>
      <c r="L2605" t="s">
        <v>584</v>
      </c>
      <c r="M2605" t="s">
        <v>588</v>
      </c>
      <c r="N2605" t="s">
        <v>601</v>
      </c>
    </row>
    <row r="2606" spans="1:14" x14ac:dyDescent="0.25">
      <c r="A2606" t="s">
        <v>82</v>
      </c>
      <c r="B2606" t="s">
        <v>179</v>
      </c>
      <c r="C2606" t="s">
        <v>368</v>
      </c>
      <c r="D2606" t="s">
        <v>426</v>
      </c>
      <c r="F2606" t="s">
        <v>471</v>
      </c>
      <c r="G2606" t="str">
        <f>HYPERLINK("https://ca.linkedin.com/jobs/view/business-data-analyst-at-capgemini-3327624663?refId=LDry9Q57GPFj5Q1o4oK9%2BA%3D%3D&amp;trackingId=4BaO5En89WhzWlUcxQbWog%3D%3D&amp;position=7&amp;pageNum=0&amp;trk=public_jobs_jserp-result_search-card", "Job Link")</f>
        <v>Job Link</v>
      </c>
      <c r="H2606" t="s">
        <v>478</v>
      </c>
      <c r="I2606" t="s">
        <v>481</v>
      </c>
      <c r="J2606" t="s">
        <v>486</v>
      </c>
      <c r="K2606" t="s">
        <v>521</v>
      </c>
      <c r="L2606" t="s">
        <v>611</v>
      </c>
      <c r="M2606" t="s">
        <v>601</v>
      </c>
    </row>
    <row r="2607" spans="1:14" x14ac:dyDescent="0.25">
      <c r="A2607" t="s">
        <v>14</v>
      </c>
      <c r="B2607" t="s">
        <v>212</v>
      </c>
      <c r="C2607" t="s">
        <v>370</v>
      </c>
      <c r="D2607" t="s">
        <v>426</v>
      </c>
      <c r="F2607" t="s">
        <v>432</v>
      </c>
      <c r="G2607" t="str">
        <f>HYPERLINK("https://ca.linkedin.com/jobs/view/data-analyst-at-agilus-work-solutions-3358673093?refId=LDry9Q57GPFj5Q1o4oK9%2BA%3D%3D&amp;trackingId=hlD628dXt9iLp9KJyAV9Xw%3D%3D&amp;position=8&amp;pageNum=0&amp;trk=public_jobs_jserp-result_search-card", "Job Link")</f>
        <v>Job Link</v>
      </c>
      <c r="H2607" t="s">
        <v>477</v>
      </c>
      <c r="I2607" t="s">
        <v>483</v>
      </c>
      <c r="J2607" t="s">
        <v>486</v>
      </c>
      <c r="K2607" t="s">
        <v>518</v>
      </c>
      <c r="L2607" t="s">
        <v>582</v>
      </c>
      <c r="M2607" t="s">
        <v>588</v>
      </c>
      <c r="N2607" t="s">
        <v>601</v>
      </c>
    </row>
    <row r="2608" spans="1:14" x14ac:dyDescent="0.25">
      <c r="A2608" t="s">
        <v>14</v>
      </c>
      <c r="B2608" t="s">
        <v>150</v>
      </c>
      <c r="C2608" t="s">
        <v>369</v>
      </c>
      <c r="D2608" t="s">
        <v>426</v>
      </c>
      <c r="F2608" t="s">
        <v>460</v>
      </c>
      <c r="G2608" t="str">
        <f>HYPERLINK("https://ca.linkedin.com/jobs/view/data-analyst-at-synechron-3364863079?refId=LDry9Q57GPFj5Q1o4oK9%2BA%3D%3D&amp;trackingId=0Z76wp0yu2OlB5yw0ozEeQ%3D%3D&amp;position=9&amp;pageNum=0&amp;trk=public_jobs_jserp-result_search-card", "Job Link")</f>
        <v>Job Link</v>
      </c>
      <c r="H2608" t="s">
        <v>478</v>
      </c>
      <c r="I2608" t="s">
        <v>481</v>
      </c>
      <c r="J2608" t="s">
        <v>486</v>
      </c>
      <c r="K2608" t="s">
        <v>563</v>
      </c>
      <c r="L2608" t="s">
        <v>584</v>
      </c>
      <c r="M2608" t="s">
        <v>588</v>
      </c>
      <c r="N2608" t="s">
        <v>601</v>
      </c>
    </row>
    <row r="2609" spans="1:14" x14ac:dyDescent="0.25">
      <c r="A2609" t="s">
        <v>14</v>
      </c>
      <c r="B2609" t="s">
        <v>150</v>
      </c>
      <c r="C2609" t="s">
        <v>367</v>
      </c>
      <c r="D2609" t="s">
        <v>426</v>
      </c>
      <c r="F2609" t="s">
        <v>460</v>
      </c>
      <c r="G2609" t="str">
        <f>HYPERLINK("https://ca.linkedin.com/jobs/view/data-analyst-at-synechron-3361756851?refId=LDry9Q57GPFj5Q1o4oK9%2BA%3D%3D&amp;trackingId=db7GP8elI%2Bt48uSKQHtgmg%3D%3D&amp;position=10&amp;pageNum=0&amp;trk=public_jobs_jserp-result_search-card", "Job Link")</f>
        <v>Job Link</v>
      </c>
      <c r="H2609" t="s">
        <v>478</v>
      </c>
      <c r="I2609" t="s">
        <v>481</v>
      </c>
      <c r="J2609" t="s">
        <v>486</v>
      </c>
      <c r="K2609" t="s">
        <v>562</v>
      </c>
      <c r="L2609" t="s">
        <v>584</v>
      </c>
      <c r="M2609" t="s">
        <v>588</v>
      </c>
      <c r="N2609" t="s">
        <v>601</v>
      </c>
    </row>
    <row r="2610" spans="1:14" x14ac:dyDescent="0.25">
      <c r="A2610" t="s">
        <v>14</v>
      </c>
      <c r="B2610" t="s">
        <v>213</v>
      </c>
      <c r="C2610" t="s">
        <v>371</v>
      </c>
      <c r="D2610" t="s">
        <v>426</v>
      </c>
      <c r="F2610" t="s">
        <v>472</v>
      </c>
      <c r="G2610" t="str">
        <f>HYPERLINK("https://ca.linkedin.com/jobs/view/data-analyst-at-linkus-group-3345817125?refId=LDry9Q57GPFj5Q1o4oK9%2BA%3D%3D&amp;trackingId=yiOu2SpxfZsqePY3uNp7CA%3D%3D&amp;position=11&amp;pageNum=0&amp;trk=public_jobs_jserp-result_search-card", "Job Link")</f>
        <v>Job Link</v>
      </c>
      <c r="H2610" t="s">
        <v>476</v>
      </c>
      <c r="I2610" t="s">
        <v>481</v>
      </c>
      <c r="J2610" t="s">
        <v>486</v>
      </c>
      <c r="K2610" t="s">
        <v>518</v>
      </c>
      <c r="L2610" t="s">
        <v>588</v>
      </c>
      <c r="M2610" t="s">
        <v>601</v>
      </c>
    </row>
    <row r="2611" spans="1:14" x14ac:dyDescent="0.25">
      <c r="A2611" t="s">
        <v>14</v>
      </c>
      <c r="B2611" t="s">
        <v>214</v>
      </c>
      <c r="C2611" t="s">
        <v>372</v>
      </c>
      <c r="D2611" t="s">
        <v>426</v>
      </c>
      <c r="F2611" t="s">
        <v>432</v>
      </c>
      <c r="G2611" t="str">
        <f>HYPERLINK("https://ca.linkedin.com/jobs/view/data-analyst-at-goeasy-ltd-3358677253?refId=LDry9Q57GPFj5Q1o4oK9%2BA%3D%3D&amp;trackingId=%2FWINfwooG7CrBcVw%2FbS8BQ%3D%3D&amp;position=12&amp;pageNum=0&amp;trk=public_jobs_jserp-result_search-card", "Job Link")</f>
        <v>Job Link</v>
      </c>
      <c r="H2611" t="s">
        <v>476</v>
      </c>
      <c r="I2611" t="s">
        <v>481</v>
      </c>
      <c r="J2611" t="s">
        <v>486</v>
      </c>
      <c r="K2611" t="s">
        <v>550</v>
      </c>
      <c r="L2611" t="s">
        <v>584</v>
      </c>
      <c r="M2611" t="s">
        <v>588</v>
      </c>
      <c r="N2611" t="s">
        <v>601</v>
      </c>
    </row>
    <row r="2612" spans="1:14" x14ac:dyDescent="0.25">
      <c r="A2612" t="s">
        <v>83</v>
      </c>
      <c r="B2612" t="s">
        <v>215</v>
      </c>
      <c r="C2612" t="s">
        <v>373</v>
      </c>
      <c r="D2612" t="s">
        <v>426</v>
      </c>
      <c r="F2612" t="s">
        <v>462</v>
      </c>
      <c r="G2612">
        <v>0</v>
      </c>
      <c r="H2612" t="s">
        <v>478</v>
      </c>
      <c r="I2612" t="s">
        <v>483</v>
      </c>
      <c r="J2612" t="s">
        <v>509</v>
      </c>
      <c r="K2612" t="s">
        <v>550</v>
      </c>
      <c r="L2612" t="s">
        <v>584</v>
      </c>
      <c r="M2612" t="s">
        <v>588</v>
      </c>
      <c r="N2612" t="s">
        <v>601</v>
      </c>
    </row>
    <row r="2613" spans="1:14" x14ac:dyDescent="0.25">
      <c r="A2613" t="s">
        <v>91</v>
      </c>
      <c r="B2613" t="s">
        <v>224</v>
      </c>
      <c r="C2613" t="s">
        <v>384</v>
      </c>
      <c r="D2613" t="s">
        <v>426</v>
      </c>
      <c r="F2613" t="s">
        <v>431</v>
      </c>
      <c r="G2613" t="str">
        <f>HYPERLINK("https://ca.linkedin.com/jobs/view/commercial-data-analyst-at-organigram-inc-3367177254?refId=LDry9Q57GPFj5Q1o4oK9%2BA%3D%3D&amp;trackingId=jA98lEzZRVV3Q3%2BaKkMzJA%3D%3D&amp;position=14&amp;pageNum=0&amp;trk=public_jobs_jserp-result_search-card", "Job Link")</f>
        <v>Job Link</v>
      </c>
      <c r="I2613" t="s">
        <v>481</v>
      </c>
      <c r="L2613" t="s">
        <v>582</v>
      </c>
      <c r="M2613" t="s">
        <v>588</v>
      </c>
      <c r="N2613" t="s">
        <v>601</v>
      </c>
    </row>
    <row r="2614" spans="1:14" x14ac:dyDescent="0.25">
      <c r="A2614" t="s">
        <v>20</v>
      </c>
      <c r="B2614" t="s">
        <v>207</v>
      </c>
      <c r="C2614" t="s">
        <v>374</v>
      </c>
      <c r="D2614" t="s">
        <v>426</v>
      </c>
      <c r="F2614" t="s">
        <v>463</v>
      </c>
      <c r="G2614" t="str">
        <f>HYPERLINK("https://ca.linkedin.com/jobs/view/senior-data-analyst-at-onlia-3320897882?refId=LDry9Q57GPFj5Q1o4oK9%2BA%3D%3D&amp;trackingId=M%2BD3KGxYH7mYNwdrjE8GEw%3D%3D&amp;position=15&amp;pageNum=0&amp;trk=public_jobs_jserp-result_search-card", "Job Link")</f>
        <v>Job Link</v>
      </c>
      <c r="H2614" t="s">
        <v>477</v>
      </c>
      <c r="I2614" t="s">
        <v>481</v>
      </c>
      <c r="J2614" t="s">
        <v>486</v>
      </c>
      <c r="K2614" t="s">
        <v>523</v>
      </c>
      <c r="L2614" t="s">
        <v>582</v>
      </c>
      <c r="M2614" t="s">
        <v>588</v>
      </c>
      <c r="N2614" t="s">
        <v>601</v>
      </c>
    </row>
    <row r="2615" spans="1:14" x14ac:dyDescent="0.25">
      <c r="A2615" t="s">
        <v>84</v>
      </c>
      <c r="B2615" t="s">
        <v>216</v>
      </c>
      <c r="C2615" t="s">
        <v>375</v>
      </c>
      <c r="D2615" t="s">
        <v>426</v>
      </c>
      <c r="F2615" t="s">
        <v>452</v>
      </c>
      <c r="G2615" t="str">
        <f>HYPERLINK("https://ca.linkedin.com/jobs/view/data-analyst-hybrid-at-xylem-3335088701?refId=LDry9Q57GPFj5Q1o4oK9%2BA%3D%3D&amp;trackingId=5ccsuD6Ktd0x4xSXd%2BxIZQ%3D%3D&amp;position=16&amp;pageNum=0&amp;trk=public_jobs_jserp-result_search-card", "Job Link")</f>
        <v>Job Link</v>
      </c>
      <c r="H2615" t="s">
        <v>476</v>
      </c>
      <c r="I2615" t="s">
        <v>481</v>
      </c>
      <c r="J2615" t="s">
        <v>486</v>
      </c>
      <c r="K2615" t="s">
        <v>564</v>
      </c>
      <c r="L2615" t="s">
        <v>584</v>
      </c>
      <c r="M2615" t="s">
        <v>588</v>
      </c>
      <c r="N2615" t="s">
        <v>601</v>
      </c>
    </row>
    <row r="2616" spans="1:14" x14ac:dyDescent="0.25">
      <c r="A2616" t="s">
        <v>85</v>
      </c>
      <c r="B2616" t="s">
        <v>217</v>
      </c>
      <c r="C2616" t="s">
        <v>376</v>
      </c>
      <c r="D2616" t="s">
        <v>426</v>
      </c>
      <c r="F2616" t="s">
        <v>473</v>
      </c>
      <c r="G2616" t="str">
        <f>HYPERLINK("https://ca.linkedin.com/jobs/view/data-analyst-python-sql-at-geotab-3341823745?refId=LDry9Q57GPFj5Q1o4oK9%2BA%3D%3D&amp;trackingId=iDyLCVKbxuChxAGi9Jh8mg%3D%3D&amp;position=17&amp;pageNum=0&amp;trk=public_jobs_jserp-result_search-card", "Job Link")</f>
        <v>Job Link</v>
      </c>
      <c r="H2616" t="s">
        <v>479</v>
      </c>
      <c r="I2616" t="s">
        <v>481</v>
      </c>
      <c r="J2616" t="s">
        <v>486</v>
      </c>
      <c r="K2616" t="s">
        <v>521</v>
      </c>
      <c r="L2616" t="s">
        <v>612</v>
      </c>
      <c r="M2616" t="s">
        <v>588</v>
      </c>
      <c r="N2616" t="s">
        <v>601</v>
      </c>
    </row>
    <row r="2617" spans="1:14" x14ac:dyDescent="0.25">
      <c r="A2617" t="s">
        <v>86</v>
      </c>
      <c r="B2617" t="s">
        <v>167</v>
      </c>
      <c r="C2617" t="s">
        <v>377</v>
      </c>
      <c r="D2617" t="s">
        <v>426</v>
      </c>
      <c r="F2617" t="s">
        <v>454</v>
      </c>
      <c r="G2617" t="str">
        <f>HYPERLINK("https://ca.linkedin.com/jobs/view/data-analyst-reporting-at-thescore-3345941286?refId=LDry9Q57GPFj5Q1o4oK9%2BA%3D%3D&amp;trackingId=aInUvDUiMroPNhGjdzbvtg%3D%3D&amp;position=18&amp;pageNum=0&amp;trk=public_jobs_jserp-result_search-card", "Job Link")</f>
        <v>Job Link</v>
      </c>
      <c r="H2617" t="s">
        <v>476</v>
      </c>
      <c r="I2617" t="s">
        <v>481</v>
      </c>
      <c r="J2617" t="s">
        <v>486</v>
      </c>
      <c r="K2617" t="s">
        <v>545</v>
      </c>
      <c r="L2617" t="s">
        <v>582</v>
      </c>
      <c r="M2617" t="s">
        <v>588</v>
      </c>
      <c r="N2617" t="s">
        <v>601</v>
      </c>
    </row>
    <row r="2618" spans="1:14" x14ac:dyDescent="0.25">
      <c r="A2618" t="s">
        <v>87</v>
      </c>
      <c r="B2618" t="s">
        <v>218</v>
      </c>
      <c r="C2618" t="s">
        <v>378</v>
      </c>
      <c r="D2618" t="s">
        <v>426</v>
      </c>
      <c r="F2618" t="s">
        <v>432</v>
      </c>
      <c r="G2618">
        <v>0</v>
      </c>
      <c r="H2618" t="s">
        <v>478</v>
      </c>
      <c r="I2618" t="s">
        <v>483</v>
      </c>
      <c r="J2618" t="s">
        <v>486</v>
      </c>
      <c r="K2618" t="s">
        <v>521</v>
      </c>
      <c r="L2618" t="s">
        <v>582</v>
      </c>
      <c r="M2618" t="s">
        <v>588</v>
      </c>
      <c r="N2618" t="s">
        <v>601</v>
      </c>
    </row>
    <row r="2619" spans="1:14" x14ac:dyDescent="0.25">
      <c r="A2619" t="s">
        <v>90</v>
      </c>
      <c r="B2619" t="s">
        <v>223</v>
      </c>
      <c r="C2619" t="s">
        <v>383</v>
      </c>
      <c r="D2619" t="s">
        <v>426</v>
      </c>
      <c r="F2619" t="s">
        <v>443</v>
      </c>
      <c r="G2619" t="str">
        <f>HYPERLINK("https://ca.linkedin.com/jobs/view/data-administrator-data-analyst-at-hays-3369576413?refId=LDry9Q57GPFj5Q1o4oK9%2BA%3D%3D&amp;trackingId=QhOUufrnXpr67q2pv3q2OA%3D%3D&amp;position=20&amp;pageNum=0&amp;trk=public_jobs_jserp-result_search-card", "Job Link")</f>
        <v>Job Link</v>
      </c>
      <c r="H2619" t="s">
        <v>478</v>
      </c>
      <c r="I2619" t="s">
        <v>481</v>
      </c>
      <c r="J2619" t="s">
        <v>486</v>
      </c>
      <c r="K2619" t="s">
        <v>518</v>
      </c>
      <c r="L2619" t="s">
        <v>583</v>
      </c>
      <c r="M2619" t="s">
        <v>610</v>
      </c>
      <c r="N2619" t="s">
        <v>601</v>
      </c>
    </row>
    <row r="2620" spans="1:14" x14ac:dyDescent="0.25">
      <c r="A2620" t="s">
        <v>88</v>
      </c>
      <c r="B2620" t="s">
        <v>219</v>
      </c>
      <c r="C2620" t="s">
        <v>379</v>
      </c>
      <c r="D2620" t="s">
        <v>426</v>
      </c>
      <c r="F2620" t="s">
        <v>454</v>
      </c>
      <c r="G2620" t="str">
        <f>HYPERLINK("https://ca.linkedin.com/jobs/view/data-analyst-flight-pricing-optimization-at-priceline-3345993633?refId=LDry9Q57GPFj5Q1o4oK9%2BA%3D%3D&amp;trackingId=YR819cJzzhe8Mu8IwX38RQ%3D%3D&amp;position=21&amp;pageNum=0&amp;trk=public_jobs_jserp-result_search-card", "Job Link")</f>
        <v>Job Link</v>
      </c>
      <c r="H2620" t="s">
        <v>476</v>
      </c>
      <c r="I2620" t="s">
        <v>481</v>
      </c>
      <c r="J2620" t="s">
        <v>486</v>
      </c>
      <c r="K2620" t="s">
        <v>565</v>
      </c>
      <c r="L2620" t="s">
        <v>582</v>
      </c>
      <c r="M2620" t="s">
        <v>588</v>
      </c>
      <c r="N2620" t="s">
        <v>601</v>
      </c>
    </row>
    <row r="2621" spans="1:14" x14ac:dyDescent="0.25">
      <c r="A2621" t="s">
        <v>27</v>
      </c>
      <c r="B2621" t="s">
        <v>220</v>
      </c>
      <c r="C2621" t="s">
        <v>380</v>
      </c>
      <c r="D2621" t="s">
        <v>426</v>
      </c>
      <c r="F2621" t="s">
        <v>434</v>
      </c>
      <c r="G2621" t="str">
        <f>HYPERLINK("https://ca.linkedin.com/jobs/view/sr-data-analyst-at-randstad-canada-3354999789?refId=LDry9Q57GPFj5Q1o4oK9%2BA%3D%3D&amp;trackingId=k2RT288eNB0bLKFgbt0jsA%3D%3D&amp;position=22&amp;pageNum=0&amp;trk=public_jobs_jserp-result_search-card", "Job Link")</f>
        <v>Job Link</v>
      </c>
      <c r="H2621" t="s">
        <v>478</v>
      </c>
      <c r="I2621" t="s">
        <v>483</v>
      </c>
      <c r="J2621" t="s">
        <v>486</v>
      </c>
      <c r="K2621" t="s">
        <v>518</v>
      </c>
      <c r="L2621" t="s">
        <v>584</v>
      </c>
      <c r="M2621" t="s">
        <v>588</v>
      </c>
      <c r="N2621" t="s">
        <v>601</v>
      </c>
    </row>
    <row r="2622" spans="1:14" x14ac:dyDescent="0.25">
      <c r="A2622" t="s">
        <v>89</v>
      </c>
      <c r="B2622" t="s">
        <v>221</v>
      </c>
      <c r="C2622" t="s">
        <v>381</v>
      </c>
      <c r="D2622" t="s">
        <v>426</v>
      </c>
      <c r="F2622" t="s">
        <v>461</v>
      </c>
      <c r="G2622">
        <v>0</v>
      </c>
      <c r="H2622" t="s">
        <v>476</v>
      </c>
      <c r="I2622" t="s">
        <v>481</v>
      </c>
      <c r="J2622" t="s">
        <v>488</v>
      </c>
      <c r="K2622" t="s">
        <v>566</v>
      </c>
      <c r="L2622" t="s">
        <v>582</v>
      </c>
      <c r="M2622" t="s">
        <v>588</v>
      </c>
      <c r="N2622" t="s">
        <v>601</v>
      </c>
    </row>
    <row r="2623" spans="1:14" x14ac:dyDescent="0.25">
      <c r="A2623" t="s">
        <v>14</v>
      </c>
      <c r="B2623" t="s">
        <v>222</v>
      </c>
      <c r="C2623" t="s">
        <v>382</v>
      </c>
      <c r="D2623" t="s">
        <v>426</v>
      </c>
      <c r="F2623" t="s">
        <v>431</v>
      </c>
      <c r="G2623" t="str">
        <f>HYPERLINK("https://ca.linkedin.com/jobs/view/data-analyst-at-circle-k-3367192655?refId=LDry9Q57GPFj5Q1o4oK9%2BA%3D%3D&amp;trackingId=0h3mwsovNAy2tS%2Bl2sDUdg%3D%3D&amp;position=24&amp;pageNum=0&amp;trk=public_jobs_jserp-result_search-card", "Job Link")</f>
        <v>Job Link</v>
      </c>
      <c r="H2623" t="s">
        <v>476</v>
      </c>
      <c r="I2623" t="s">
        <v>481</v>
      </c>
      <c r="J2623" t="s">
        <v>486</v>
      </c>
      <c r="K2623" t="s">
        <v>567</v>
      </c>
      <c r="L2623" t="s">
        <v>582</v>
      </c>
      <c r="M2623" t="s">
        <v>588</v>
      </c>
      <c r="N2623" t="s">
        <v>601</v>
      </c>
    </row>
    <row r="2624" spans="1:14" x14ac:dyDescent="0.25">
      <c r="A2624" t="s">
        <v>14</v>
      </c>
      <c r="B2624" t="s">
        <v>225</v>
      </c>
      <c r="C2624" t="s">
        <v>385</v>
      </c>
      <c r="D2624" t="s">
        <v>426</v>
      </c>
      <c r="F2624" t="s">
        <v>463</v>
      </c>
      <c r="G2624" t="str">
        <f>HYPERLINK("https://ca.linkedin.com/jobs/view/data-analyst-at-vector-institute-3325395506?refId=LDry9Q57GPFj5Q1o4oK9%2BA%3D%3D&amp;trackingId=7QL0Etksh2CaYVSnEVf5jg%3D%3D&amp;position=25&amp;pageNum=0&amp;trk=public_jobs_jserp-result_search-card", "Job Link")</f>
        <v>Job Link</v>
      </c>
      <c r="H2624" t="s">
        <v>478</v>
      </c>
      <c r="I2624" t="s">
        <v>481</v>
      </c>
      <c r="J2624" t="s">
        <v>486</v>
      </c>
      <c r="K2624" t="s">
        <v>520</v>
      </c>
      <c r="L2624" t="s">
        <v>582</v>
      </c>
      <c r="M2624" t="s">
        <v>588</v>
      </c>
      <c r="N2624" t="s">
        <v>601</v>
      </c>
    </row>
    <row r="2625" spans="1:14" x14ac:dyDescent="0.25">
      <c r="A2625" t="s">
        <v>14</v>
      </c>
      <c r="B2625" t="s">
        <v>207</v>
      </c>
      <c r="C2625" t="s">
        <v>362</v>
      </c>
      <c r="D2625" t="s">
        <v>426</v>
      </c>
      <c r="F2625" t="s">
        <v>463</v>
      </c>
      <c r="G2625" t="str">
        <f>HYPERLINK("https://ca.linkedin.com/jobs/view/data-analyst-at-onlia-3320897897?refId=66wEF1LbymmHYMBhgGZItg%3D%3D&amp;trackingId=8h8%2F6xk4os9mofXhlqCmLQ%3D%3D&amp;position=1&amp;pageNum=0&amp;trk=public_jobs_jserp-result_search-card", "Job Link")</f>
        <v>Job Link</v>
      </c>
      <c r="H2625" t="s">
        <v>477</v>
      </c>
      <c r="I2625" t="s">
        <v>481</v>
      </c>
      <c r="J2625" t="s">
        <v>486</v>
      </c>
      <c r="K2625" t="s">
        <v>523</v>
      </c>
      <c r="L2625" t="s">
        <v>582</v>
      </c>
      <c r="M2625" t="s">
        <v>588</v>
      </c>
      <c r="N2625" t="s">
        <v>601</v>
      </c>
    </row>
    <row r="2626" spans="1:14" x14ac:dyDescent="0.25">
      <c r="A2626" t="s">
        <v>14</v>
      </c>
      <c r="B2626" t="s">
        <v>208</v>
      </c>
      <c r="C2626" t="s">
        <v>363</v>
      </c>
      <c r="D2626" t="s">
        <v>426</v>
      </c>
      <c r="F2626" t="s">
        <v>445</v>
      </c>
      <c r="G2626" t="str">
        <f>HYPERLINK("https://ca.linkedin.com/jobs/view/data-analyst-at-electronic-arts-ea-3325611825?refId=66wEF1LbymmHYMBhgGZItg%3D%3D&amp;trackingId=lZgrsGTjuSPXMn4mCCTOEg%3D%3D&amp;position=2&amp;pageNum=0&amp;trk=public_jobs_jserp-result_search-card", "Job Link")</f>
        <v>Job Link</v>
      </c>
      <c r="H2626" t="s">
        <v>479</v>
      </c>
      <c r="I2626" t="s">
        <v>481</v>
      </c>
      <c r="J2626" t="s">
        <v>507</v>
      </c>
      <c r="K2626" t="s">
        <v>559</v>
      </c>
      <c r="L2626" t="s">
        <v>582</v>
      </c>
      <c r="M2626" t="s">
        <v>588</v>
      </c>
      <c r="N2626" t="s">
        <v>601</v>
      </c>
    </row>
    <row r="2627" spans="1:14" x14ac:dyDescent="0.25">
      <c r="A2627" t="s">
        <v>14</v>
      </c>
      <c r="B2627" t="s">
        <v>209</v>
      </c>
      <c r="C2627" t="s">
        <v>364</v>
      </c>
      <c r="D2627" t="s">
        <v>426</v>
      </c>
      <c r="F2627" t="s">
        <v>440</v>
      </c>
      <c r="G2627" t="str">
        <f>HYPERLINK("https://ca.linkedin.com/jobs/view/data-analyst-at-frostbite-3370111856?refId=66wEF1LbymmHYMBhgGZItg%3D%3D&amp;trackingId=qX7GtwfG5c0ikAOBqY6Ovg%3D%3D&amp;position=3&amp;pageNum=0&amp;trk=public_jobs_jserp-result_search-card", "Job Link")</f>
        <v>Job Link</v>
      </c>
      <c r="H2627" t="s">
        <v>479</v>
      </c>
      <c r="I2627" t="s">
        <v>481</v>
      </c>
      <c r="J2627" t="s">
        <v>507</v>
      </c>
      <c r="K2627" t="s">
        <v>559</v>
      </c>
      <c r="L2627" t="s">
        <v>590</v>
      </c>
      <c r="M2627" t="s">
        <v>618</v>
      </c>
      <c r="N2627" t="s">
        <v>601</v>
      </c>
    </row>
    <row r="2628" spans="1:14" x14ac:dyDescent="0.25">
      <c r="A2628" t="s">
        <v>14</v>
      </c>
      <c r="B2628" t="s">
        <v>211</v>
      </c>
      <c r="C2628" t="s">
        <v>366</v>
      </c>
      <c r="D2628" t="s">
        <v>426</v>
      </c>
      <c r="F2628" t="s">
        <v>443</v>
      </c>
      <c r="G2628" t="str">
        <f>HYPERLINK("https://ca.linkedin.com/jobs/view/data-analyst-at-mphasis-3363428246?refId=66wEF1LbymmHYMBhgGZItg%3D%3D&amp;trackingId=3OMiOmre6araHlzOGi2MAA%3D%3D&amp;position=4&amp;pageNum=0&amp;trk=public_jobs_jserp-result_search-card", "Job Link")</f>
        <v>Job Link</v>
      </c>
      <c r="H2628" t="s">
        <v>477</v>
      </c>
      <c r="I2628" t="s">
        <v>481</v>
      </c>
      <c r="J2628" t="s">
        <v>486</v>
      </c>
      <c r="K2628" t="s">
        <v>521</v>
      </c>
      <c r="L2628" t="s">
        <v>609</v>
      </c>
      <c r="M2628" t="s">
        <v>610</v>
      </c>
      <c r="N2628" t="s">
        <v>601</v>
      </c>
    </row>
    <row r="2629" spans="1:14" x14ac:dyDescent="0.25">
      <c r="A2629" t="s">
        <v>81</v>
      </c>
      <c r="B2629" t="s">
        <v>210</v>
      </c>
      <c r="C2629" t="s">
        <v>365</v>
      </c>
      <c r="D2629" t="s">
        <v>426</v>
      </c>
      <c r="F2629" t="s">
        <v>436</v>
      </c>
      <c r="G2629" t="str">
        <f>HYPERLINK("https://ca.linkedin.com/jobs/view/data-analyst-c117-at-mitsubishi-motor-sales-of-canada-inc-3344852931?refId=66wEF1LbymmHYMBhgGZItg%3D%3D&amp;trackingId=r6T6E0FhqoLVEd8exwivFg%3D%3D&amp;position=5&amp;pageNum=0&amp;trk=public_jobs_jserp-result_search-card", "Job Link")</f>
        <v>Job Link</v>
      </c>
      <c r="H2629" t="s">
        <v>477</v>
      </c>
      <c r="I2629" t="s">
        <v>481</v>
      </c>
      <c r="J2629" t="s">
        <v>508</v>
      </c>
      <c r="K2629" t="s">
        <v>561</v>
      </c>
      <c r="L2629" t="s">
        <v>584</v>
      </c>
      <c r="M2629" t="s">
        <v>588</v>
      </c>
      <c r="N2629" t="s">
        <v>601</v>
      </c>
    </row>
    <row r="2630" spans="1:14" x14ac:dyDescent="0.25">
      <c r="A2630" t="s">
        <v>14</v>
      </c>
      <c r="B2630" t="s">
        <v>150</v>
      </c>
      <c r="C2630" t="s">
        <v>367</v>
      </c>
      <c r="D2630" t="s">
        <v>426</v>
      </c>
      <c r="F2630" t="s">
        <v>433</v>
      </c>
      <c r="G2630" t="str">
        <f>HYPERLINK("https://ca.linkedin.com/jobs/view/data-analyst-at-synechron-3348329085?refId=66wEF1LbymmHYMBhgGZItg%3D%3D&amp;trackingId=c3Jjbo4RV9Jy4lxfAe%2FFbA%3D%3D&amp;position=6&amp;pageNum=0&amp;trk=public_jobs_jserp-result_search-card", "Job Link")</f>
        <v>Job Link</v>
      </c>
      <c r="H2630" t="s">
        <v>478</v>
      </c>
      <c r="I2630" t="s">
        <v>481</v>
      </c>
      <c r="J2630" t="s">
        <v>486</v>
      </c>
      <c r="K2630" t="s">
        <v>562</v>
      </c>
      <c r="L2630" t="s">
        <v>584</v>
      </c>
      <c r="M2630" t="s">
        <v>588</v>
      </c>
      <c r="N2630" t="s">
        <v>601</v>
      </c>
    </row>
    <row r="2631" spans="1:14" x14ac:dyDescent="0.25">
      <c r="A2631" t="s">
        <v>82</v>
      </c>
      <c r="B2631" t="s">
        <v>179</v>
      </c>
      <c r="C2631" t="s">
        <v>368</v>
      </c>
      <c r="D2631" t="s">
        <v>426</v>
      </c>
      <c r="F2631" t="s">
        <v>471</v>
      </c>
      <c r="G2631" t="str">
        <f>HYPERLINK("https://ca.linkedin.com/jobs/view/business-data-analyst-at-capgemini-3327624663?refId=66wEF1LbymmHYMBhgGZItg%3D%3D&amp;trackingId=66SI1aD9xDm7JyaZ%2F93yGQ%3D%3D&amp;position=7&amp;pageNum=0&amp;trk=public_jobs_jserp-result_search-card", "Job Link")</f>
        <v>Job Link</v>
      </c>
      <c r="H2631" t="s">
        <v>478</v>
      </c>
      <c r="I2631" t="s">
        <v>481</v>
      </c>
      <c r="J2631" t="s">
        <v>486</v>
      </c>
      <c r="K2631" t="s">
        <v>521</v>
      </c>
      <c r="L2631" t="s">
        <v>611</v>
      </c>
      <c r="M2631" t="s">
        <v>601</v>
      </c>
    </row>
    <row r="2632" spans="1:14" x14ac:dyDescent="0.25">
      <c r="A2632" t="s">
        <v>14</v>
      </c>
      <c r="B2632" t="s">
        <v>150</v>
      </c>
      <c r="C2632" t="s">
        <v>369</v>
      </c>
      <c r="D2632" t="s">
        <v>426</v>
      </c>
      <c r="F2632" t="s">
        <v>460</v>
      </c>
      <c r="G2632" t="str">
        <f>HYPERLINK("https://ca.linkedin.com/jobs/view/data-analyst-at-synechron-3364863079?refId=66wEF1LbymmHYMBhgGZItg%3D%3D&amp;trackingId=nuSwoubc9eHhuG%2BC8ivw5Q%3D%3D&amp;position=8&amp;pageNum=0&amp;trk=public_jobs_jserp-result_search-card", "Job Link")</f>
        <v>Job Link</v>
      </c>
      <c r="H2632" t="s">
        <v>478</v>
      </c>
      <c r="I2632" t="s">
        <v>481</v>
      </c>
      <c r="J2632" t="s">
        <v>486</v>
      </c>
      <c r="K2632" t="s">
        <v>563</v>
      </c>
      <c r="L2632" t="s">
        <v>584</v>
      </c>
      <c r="M2632" t="s">
        <v>588</v>
      </c>
      <c r="N2632" t="s">
        <v>601</v>
      </c>
    </row>
    <row r="2633" spans="1:14" x14ac:dyDescent="0.25">
      <c r="A2633" t="s">
        <v>14</v>
      </c>
      <c r="B2633" t="s">
        <v>150</v>
      </c>
      <c r="C2633" t="s">
        <v>367</v>
      </c>
      <c r="D2633" t="s">
        <v>426</v>
      </c>
      <c r="F2633" t="s">
        <v>460</v>
      </c>
      <c r="G2633" t="str">
        <f>HYPERLINK("https://ca.linkedin.com/jobs/view/data-analyst-at-synechron-3361756851?refId=66wEF1LbymmHYMBhgGZItg%3D%3D&amp;trackingId=0942roThIRt0TWAJUK97Ug%3D%3D&amp;position=9&amp;pageNum=0&amp;trk=public_jobs_jserp-result_search-card", "Job Link")</f>
        <v>Job Link</v>
      </c>
      <c r="H2633" t="s">
        <v>478</v>
      </c>
      <c r="I2633" t="s">
        <v>481</v>
      </c>
      <c r="J2633" t="s">
        <v>486</v>
      </c>
      <c r="K2633" t="s">
        <v>562</v>
      </c>
      <c r="L2633" t="s">
        <v>584</v>
      </c>
      <c r="M2633" t="s">
        <v>588</v>
      </c>
      <c r="N2633" t="s">
        <v>601</v>
      </c>
    </row>
    <row r="2634" spans="1:14" x14ac:dyDescent="0.25">
      <c r="A2634" t="s">
        <v>14</v>
      </c>
      <c r="B2634" t="s">
        <v>212</v>
      </c>
      <c r="C2634" t="s">
        <v>370</v>
      </c>
      <c r="D2634" t="s">
        <v>426</v>
      </c>
      <c r="F2634" t="s">
        <v>432</v>
      </c>
      <c r="G2634" t="str">
        <f>HYPERLINK("https://ca.linkedin.com/jobs/view/data-analyst-at-agilus-work-solutions-3358673093?refId=66wEF1LbymmHYMBhgGZItg%3D%3D&amp;trackingId=jDBHZ2XLyoDJsLDOp%2FYVCQ%3D%3D&amp;position=10&amp;pageNum=0&amp;trk=public_jobs_jserp-result_search-card", "Job Link")</f>
        <v>Job Link</v>
      </c>
      <c r="H2634" t="s">
        <v>477</v>
      </c>
      <c r="I2634" t="s">
        <v>483</v>
      </c>
      <c r="J2634" t="s">
        <v>486</v>
      </c>
      <c r="K2634" t="s">
        <v>518</v>
      </c>
      <c r="L2634" t="s">
        <v>582</v>
      </c>
      <c r="M2634" t="s">
        <v>588</v>
      </c>
      <c r="N2634" t="s">
        <v>601</v>
      </c>
    </row>
    <row r="2635" spans="1:14" x14ac:dyDescent="0.25">
      <c r="A2635" t="s">
        <v>14</v>
      </c>
      <c r="B2635" t="s">
        <v>214</v>
      </c>
      <c r="C2635" t="s">
        <v>372</v>
      </c>
      <c r="D2635" t="s">
        <v>426</v>
      </c>
      <c r="F2635" t="s">
        <v>432</v>
      </c>
      <c r="G2635" t="str">
        <f>HYPERLINK("https://ca.linkedin.com/jobs/view/data-analyst-at-goeasy-ltd-3358677253?refId=66wEF1LbymmHYMBhgGZItg%3D%3D&amp;trackingId=DTVR3GmCTX8gTOtZGt7Fyw%3D%3D&amp;position=11&amp;pageNum=0&amp;trk=public_jobs_jserp-result_search-card", "Job Link")</f>
        <v>Job Link</v>
      </c>
      <c r="H2635" t="s">
        <v>476</v>
      </c>
      <c r="I2635" t="s">
        <v>481</v>
      </c>
      <c r="J2635" t="s">
        <v>486</v>
      </c>
      <c r="K2635" t="s">
        <v>550</v>
      </c>
      <c r="L2635" t="s">
        <v>584</v>
      </c>
      <c r="M2635" t="s">
        <v>588</v>
      </c>
      <c r="N2635" t="s">
        <v>601</v>
      </c>
    </row>
    <row r="2636" spans="1:14" x14ac:dyDescent="0.25">
      <c r="A2636" t="s">
        <v>14</v>
      </c>
      <c r="B2636" t="s">
        <v>213</v>
      </c>
      <c r="C2636" t="s">
        <v>371</v>
      </c>
      <c r="D2636" t="s">
        <v>426</v>
      </c>
      <c r="F2636" t="s">
        <v>472</v>
      </c>
      <c r="G2636" t="str">
        <f>HYPERLINK("https://ca.linkedin.com/jobs/view/data-analyst-at-linkus-group-3345817125?refId=66wEF1LbymmHYMBhgGZItg%3D%3D&amp;trackingId=s17o9ZhB8uLCCnYrEAyd%2Fg%3D%3D&amp;position=12&amp;pageNum=0&amp;trk=public_jobs_jserp-result_search-card", "Job Link")</f>
        <v>Job Link</v>
      </c>
      <c r="H2636" t="s">
        <v>476</v>
      </c>
      <c r="I2636" t="s">
        <v>481</v>
      </c>
      <c r="J2636" t="s">
        <v>486</v>
      </c>
      <c r="K2636" t="s">
        <v>518</v>
      </c>
      <c r="L2636" t="s">
        <v>588</v>
      </c>
      <c r="M2636" t="s">
        <v>601</v>
      </c>
    </row>
    <row r="2637" spans="1:14" x14ac:dyDescent="0.25">
      <c r="A2637" t="s">
        <v>83</v>
      </c>
      <c r="B2637" t="s">
        <v>215</v>
      </c>
      <c r="C2637" t="s">
        <v>373</v>
      </c>
      <c r="D2637" t="s">
        <v>426</v>
      </c>
      <c r="F2637" t="s">
        <v>462</v>
      </c>
      <c r="G2637">
        <v>0</v>
      </c>
      <c r="H2637" t="s">
        <v>478</v>
      </c>
      <c r="I2637" t="s">
        <v>483</v>
      </c>
      <c r="J2637" t="s">
        <v>509</v>
      </c>
      <c r="K2637" t="s">
        <v>550</v>
      </c>
      <c r="L2637" t="s">
        <v>584</v>
      </c>
      <c r="M2637" t="s">
        <v>588</v>
      </c>
      <c r="N2637" t="s">
        <v>601</v>
      </c>
    </row>
    <row r="2638" spans="1:14" x14ac:dyDescent="0.25">
      <c r="A2638" t="s">
        <v>91</v>
      </c>
      <c r="B2638" t="s">
        <v>224</v>
      </c>
      <c r="C2638" t="s">
        <v>384</v>
      </c>
      <c r="D2638" t="s">
        <v>426</v>
      </c>
      <c r="F2638" t="s">
        <v>431</v>
      </c>
      <c r="G2638" t="str">
        <f>HYPERLINK("https://ca.linkedin.com/jobs/view/commercial-data-analyst-at-organigram-inc-3367177254?refId=66wEF1LbymmHYMBhgGZItg%3D%3D&amp;trackingId=xZVm8jchxP6kUm8Qa8qKcA%3D%3D&amp;position=14&amp;pageNum=0&amp;trk=public_jobs_jserp-result_search-card", "Job Link")</f>
        <v>Job Link</v>
      </c>
      <c r="I2638" t="s">
        <v>481</v>
      </c>
      <c r="L2638" t="s">
        <v>582</v>
      </c>
      <c r="M2638" t="s">
        <v>588</v>
      </c>
      <c r="N2638" t="s">
        <v>601</v>
      </c>
    </row>
    <row r="2639" spans="1:14" x14ac:dyDescent="0.25">
      <c r="A2639" t="s">
        <v>20</v>
      </c>
      <c r="B2639" t="s">
        <v>207</v>
      </c>
      <c r="C2639" t="s">
        <v>374</v>
      </c>
      <c r="D2639" t="s">
        <v>426</v>
      </c>
      <c r="F2639" t="s">
        <v>463</v>
      </c>
      <c r="G2639" t="str">
        <f>HYPERLINK("https://ca.linkedin.com/jobs/view/senior-data-analyst-at-onlia-3320897882?refId=66wEF1LbymmHYMBhgGZItg%3D%3D&amp;trackingId=GERlKHadIWJlTaQbWwsL2g%3D%3D&amp;position=15&amp;pageNum=0&amp;trk=public_jobs_jserp-result_search-card", "Job Link")</f>
        <v>Job Link</v>
      </c>
      <c r="H2639" t="s">
        <v>477</v>
      </c>
      <c r="I2639" t="s">
        <v>481</v>
      </c>
      <c r="J2639" t="s">
        <v>486</v>
      </c>
      <c r="K2639" t="s">
        <v>523</v>
      </c>
      <c r="L2639" t="s">
        <v>582</v>
      </c>
      <c r="M2639" t="s">
        <v>588</v>
      </c>
      <c r="N2639" t="s">
        <v>601</v>
      </c>
    </row>
    <row r="2640" spans="1:14" x14ac:dyDescent="0.25">
      <c r="A2640" t="s">
        <v>84</v>
      </c>
      <c r="B2640" t="s">
        <v>216</v>
      </c>
      <c r="C2640" t="s">
        <v>375</v>
      </c>
      <c r="D2640" t="s">
        <v>426</v>
      </c>
      <c r="F2640" t="s">
        <v>452</v>
      </c>
      <c r="G2640" t="str">
        <f>HYPERLINK("https://ca.linkedin.com/jobs/view/data-analyst-hybrid-at-xylem-3335088701?refId=66wEF1LbymmHYMBhgGZItg%3D%3D&amp;trackingId=FM2p3ctYLH%2BFXumZdTQlHg%3D%3D&amp;position=16&amp;pageNum=0&amp;trk=public_jobs_jserp-result_search-card", "Job Link")</f>
        <v>Job Link</v>
      </c>
      <c r="H2640" t="s">
        <v>476</v>
      </c>
      <c r="I2640" t="s">
        <v>481</v>
      </c>
      <c r="J2640" t="s">
        <v>486</v>
      </c>
      <c r="K2640" t="s">
        <v>564</v>
      </c>
      <c r="L2640" t="s">
        <v>584</v>
      </c>
      <c r="M2640" t="s">
        <v>588</v>
      </c>
      <c r="N2640" t="s">
        <v>601</v>
      </c>
    </row>
    <row r="2641" spans="1:14" x14ac:dyDescent="0.25">
      <c r="A2641" t="s">
        <v>85</v>
      </c>
      <c r="B2641" t="s">
        <v>217</v>
      </c>
      <c r="C2641" t="s">
        <v>376</v>
      </c>
      <c r="D2641" t="s">
        <v>426</v>
      </c>
      <c r="F2641" t="s">
        <v>473</v>
      </c>
      <c r="G2641" t="str">
        <f>HYPERLINK("https://ca.linkedin.com/jobs/view/data-analyst-python-sql-at-geotab-3341823745?refId=66wEF1LbymmHYMBhgGZItg%3D%3D&amp;trackingId=je0UYb6EZnzzqTBtO32ImQ%3D%3D&amp;position=17&amp;pageNum=0&amp;trk=public_jobs_jserp-result_search-card", "Job Link")</f>
        <v>Job Link</v>
      </c>
      <c r="H2641" t="s">
        <v>479</v>
      </c>
      <c r="I2641" t="s">
        <v>481</v>
      </c>
      <c r="J2641" t="s">
        <v>486</v>
      </c>
      <c r="K2641" t="s">
        <v>521</v>
      </c>
      <c r="L2641" t="s">
        <v>612</v>
      </c>
      <c r="M2641" t="s">
        <v>588</v>
      </c>
      <c r="N2641" t="s">
        <v>601</v>
      </c>
    </row>
    <row r="2642" spans="1:14" x14ac:dyDescent="0.25">
      <c r="A2642" t="s">
        <v>86</v>
      </c>
      <c r="B2642" t="s">
        <v>167</v>
      </c>
      <c r="C2642" t="s">
        <v>377</v>
      </c>
      <c r="D2642" t="s">
        <v>426</v>
      </c>
      <c r="F2642" t="s">
        <v>454</v>
      </c>
      <c r="G2642" t="str">
        <f>HYPERLINK("https://ca.linkedin.com/jobs/view/data-analyst-reporting-at-thescore-3345941286?refId=66wEF1LbymmHYMBhgGZItg%3D%3D&amp;trackingId=fMQzUzb9FBXhaXrz2ypOUQ%3D%3D&amp;position=18&amp;pageNum=0&amp;trk=public_jobs_jserp-result_search-card", "Job Link")</f>
        <v>Job Link</v>
      </c>
      <c r="H2642" t="s">
        <v>476</v>
      </c>
      <c r="I2642" t="s">
        <v>481</v>
      </c>
      <c r="J2642" t="s">
        <v>486</v>
      </c>
      <c r="K2642" t="s">
        <v>545</v>
      </c>
      <c r="L2642" t="s">
        <v>582</v>
      </c>
      <c r="M2642" t="s">
        <v>588</v>
      </c>
      <c r="N2642" t="s">
        <v>601</v>
      </c>
    </row>
    <row r="2643" spans="1:14" x14ac:dyDescent="0.25">
      <c r="A2643" t="s">
        <v>87</v>
      </c>
      <c r="B2643" t="s">
        <v>218</v>
      </c>
      <c r="C2643" t="s">
        <v>378</v>
      </c>
      <c r="D2643" t="s">
        <v>426</v>
      </c>
      <c r="F2643" t="s">
        <v>432</v>
      </c>
      <c r="G2643">
        <v>0</v>
      </c>
      <c r="H2643" t="s">
        <v>478</v>
      </c>
      <c r="I2643" t="s">
        <v>483</v>
      </c>
      <c r="J2643" t="s">
        <v>486</v>
      </c>
      <c r="K2643" t="s">
        <v>521</v>
      </c>
      <c r="L2643" t="s">
        <v>582</v>
      </c>
      <c r="M2643" t="s">
        <v>588</v>
      </c>
      <c r="N2643" t="s">
        <v>601</v>
      </c>
    </row>
    <row r="2644" spans="1:14" x14ac:dyDescent="0.25">
      <c r="A2644" t="s">
        <v>90</v>
      </c>
      <c r="B2644" t="s">
        <v>223</v>
      </c>
      <c r="C2644" t="s">
        <v>383</v>
      </c>
      <c r="D2644" t="s">
        <v>426</v>
      </c>
      <c r="F2644" t="s">
        <v>443</v>
      </c>
      <c r="G2644" t="str">
        <f>HYPERLINK("https://ca.linkedin.com/jobs/view/data-administrator-data-analyst-at-hays-3369576413?refId=66wEF1LbymmHYMBhgGZItg%3D%3D&amp;trackingId=%2BloYqXgqYvMrI3PSyaxq8Q%3D%3D&amp;position=20&amp;pageNum=0&amp;trk=public_jobs_jserp-result_search-card", "Job Link")</f>
        <v>Job Link</v>
      </c>
      <c r="H2644" t="s">
        <v>478</v>
      </c>
      <c r="I2644" t="s">
        <v>481</v>
      </c>
      <c r="J2644" t="s">
        <v>486</v>
      </c>
      <c r="K2644" t="s">
        <v>518</v>
      </c>
      <c r="L2644" t="s">
        <v>583</v>
      </c>
      <c r="M2644" t="s">
        <v>610</v>
      </c>
      <c r="N2644" t="s">
        <v>601</v>
      </c>
    </row>
    <row r="2645" spans="1:14" x14ac:dyDescent="0.25">
      <c r="A2645" t="s">
        <v>88</v>
      </c>
      <c r="B2645" t="s">
        <v>219</v>
      </c>
      <c r="C2645" t="s">
        <v>379</v>
      </c>
      <c r="D2645" t="s">
        <v>426</v>
      </c>
      <c r="F2645" t="s">
        <v>454</v>
      </c>
      <c r="G2645" t="str">
        <f>HYPERLINK("https://ca.linkedin.com/jobs/view/data-analyst-flight-pricing-optimization-at-priceline-3345993633?refId=66wEF1LbymmHYMBhgGZItg%3D%3D&amp;trackingId=bV3arQczHYkhRxCKw1vxLw%3D%3D&amp;position=21&amp;pageNum=0&amp;trk=public_jobs_jserp-result_search-card", "Job Link")</f>
        <v>Job Link</v>
      </c>
      <c r="H2645" t="s">
        <v>476</v>
      </c>
      <c r="I2645" t="s">
        <v>481</v>
      </c>
      <c r="J2645" t="s">
        <v>486</v>
      </c>
      <c r="K2645" t="s">
        <v>565</v>
      </c>
      <c r="L2645" t="s">
        <v>582</v>
      </c>
      <c r="M2645" t="s">
        <v>588</v>
      </c>
      <c r="N2645" t="s">
        <v>601</v>
      </c>
    </row>
    <row r="2646" spans="1:14" x14ac:dyDescent="0.25">
      <c r="A2646" t="s">
        <v>89</v>
      </c>
      <c r="B2646" t="s">
        <v>221</v>
      </c>
      <c r="C2646" t="s">
        <v>381</v>
      </c>
      <c r="D2646" t="s">
        <v>426</v>
      </c>
      <c r="F2646" t="s">
        <v>461</v>
      </c>
      <c r="G2646">
        <v>0</v>
      </c>
      <c r="H2646" t="s">
        <v>476</v>
      </c>
      <c r="I2646" t="s">
        <v>481</v>
      </c>
      <c r="J2646" t="s">
        <v>488</v>
      </c>
      <c r="K2646" t="s">
        <v>566</v>
      </c>
      <c r="L2646" t="s">
        <v>582</v>
      </c>
      <c r="M2646" t="s">
        <v>588</v>
      </c>
      <c r="N2646" t="s">
        <v>601</v>
      </c>
    </row>
    <row r="2647" spans="1:14" x14ac:dyDescent="0.25">
      <c r="A2647" t="s">
        <v>14</v>
      </c>
      <c r="B2647" t="s">
        <v>222</v>
      </c>
      <c r="C2647" t="s">
        <v>382</v>
      </c>
      <c r="D2647" t="s">
        <v>426</v>
      </c>
      <c r="F2647" t="s">
        <v>431</v>
      </c>
      <c r="G2647" t="str">
        <f>HYPERLINK("https://ca.linkedin.com/jobs/view/data-analyst-at-circle-k-3367192655?refId=66wEF1LbymmHYMBhgGZItg%3D%3D&amp;trackingId=BB363WFG76QxgS%2Bk6ue%2F2A%3D%3D&amp;position=23&amp;pageNum=0&amp;trk=public_jobs_jserp-result_search-card", "Job Link")</f>
        <v>Job Link</v>
      </c>
      <c r="H2647" t="s">
        <v>476</v>
      </c>
      <c r="I2647" t="s">
        <v>481</v>
      </c>
      <c r="J2647" t="s">
        <v>486</v>
      </c>
      <c r="K2647" t="s">
        <v>567</v>
      </c>
      <c r="L2647" t="s">
        <v>582</v>
      </c>
      <c r="M2647" t="s">
        <v>588</v>
      </c>
      <c r="N2647" t="s">
        <v>601</v>
      </c>
    </row>
    <row r="2648" spans="1:14" x14ac:dyDescent="0.25">
      <c r="A2648" t="s">
        <v>14</v>
      </c>
      <c r="B2648" t="s">
        <v>225</v>
      </c>
      <c r="C2648" t="s">
        <v>385</v>
      </c>
      <c r="D2648" t="s">
        <v>426</v>
      </c>
      <c r="F2648" t="s">
        <v>463</v>
      </c>
      <c r="G2648" t="str">
        <f>HYPERLINK("https://ca.linkedin.com/jobs/view/data-analyst-at-vector-institute-3325395506?refId=66wEF1LbymmHYMBhgGZItg%3D%3D&amp;trackingId=R4GIWYqUisPtvQgwie0A3A%3D%3D&amp;position=24&amp;pageNum=0&amp;trk=public_jobs_jserp-result_search-card", "Job Link")</f>
        <v>Job Link</v>
      </c>
      <c r="H2648" t="s">
        <v>478</v>
      </c>
      <c r="I2648" t="s">
        <v>481</v>
      </c>
      <c r="J2648" t="s">
        <v>486</v>
      </c>
      <c r="K2648" t="s">
        <v>520</v>
      </c>
      <c r="L2648" t="s">
        <v>582</v>
      </c>
      <c r="M2648" t="s">
        <v>588</v>
      </c>
      <c r="N2648" t="s">
        <v>601</v>
      </c>
    </row>
    <row r="2649" spans="1:14" x14ac:dyDescent="0.25">
      <c r="A2649" t="s">
        <v>14</v>
      </c>
      <c r="B2649" t="s">
        <v>226</v>
      </c>
      <c r="C2649" t="s">
        <v>386</v>
      </c>
      <c r="D2649" t="s">
        <v>426</v>
      </c>
      <c r="F2649" t="s">
        <v>474</v>
      </c>
      <c r="G2649" t="str">
        <f>HYPERLINK("https://ca.linkedin.com/jobs/view/data-analyst-at-gsl-group-3334387645?refId=66wEF1LbymmHYMBhgGZItg%3D%3D&amp;trackingId=fcg1FZeUlXJq4qMUGQ0apw%3D%3D&amp;position=25&amp;pageNum=0&amp;trk=public_jobs_jserp-result_search-card", "Job Link")</f>
        <v>Job Link</v>
      </c>
      <c r="H2649" t="s">
        <v>476</v>
      </c>
      <c r="I2649" t="s">
        <v>481</v>
      </c>
      <c r="J2649" t="s">
        <v>486</v>
      </c>
      <c r="K2649" t="s">
        <v>568</v>
      </c>
      <c r="L2649" t="s">
        <v>590</v>
      </c>
      <c r="M2649" t="s">
        <v>618</v>
      </c>
      <c r="N2649" t="s">
        <v>601</v>
      </c>
    </row>
    <row r="2650" spans="1:14" x14ac:dyDescent="0.25">
      <c r="A2650" t="s">
        <v>14</v>
      </c>
      <c r="B2650" t="s">
        <v>207</v>
      </c>
      <c r="C2650" t="s">
        <v>362</v>
      </c>
      <c r="D2650" t="s">
        <v>426</v>
      </c>
      <c r="F2650" t="s">
        <v>463</v>
      </c>
      <c r="G2650" t="str">
        <f>HYPERLINK("https://ca.linkedin.com/jobs/view/data-analyst-at-onlia-3320897897?refId=bHFe1o381M8ccJuVYuQKVA%3D%3D&amp;trackingId=xb9yKNqWeEfr03XbV2Ztow%3D%3D&amp;position=1&amp;pageNum=0&amp;trk=public_jobs_jserp-result_search-card", "Job Link")</f>
        <v>Job Link</v>
      </c>
      <c r="H2650" t="s">
        <v>477</v>
      </c>
      <c r="I2650" t="s">
        <v>481</v>
      </c>
      <c r="J2650" t="s">
        <v>486</v>
      </c>
      <c r="K2650" t="s">
        <v>523</v>
      </c>
      <c r="L2650" t="s">
        <v>582</v>
      </c>
      <c r="M2650" t="s">
        <v>588</v>
      </c>
      <c r="N2650" t="s">
        <v>601</v>
      </c>
    </row>
    <row r="2651" spans="1:14" x14ac:dyDescent="0.25">
      <c r="A2651" t="s">
        <v>14</v>
      </c>
      <c r="B2651" t="s">
        <v>208</v>
      </c>
      <c r="C2651" t="s">
        <v>363</v>
      </c>
      <c r="D2651" t="s">
        <v>426</v>
      </c>
      <c r="F2651" t="s">
        <v>445</v>
      </c>
      <c r="G2651" t="str">
        <f>HYPERLINK("https://ca.linkedin.com/jobs/view/data-analyst-at-electronic-arts-ea-3325611825?refId=bHFe1o381M8ccJuVYuQKVA%3D%3D&amp;trackingId=2Y4TGsj0fhu5MItkTmBw0Q%3D%3D&amp;position=2&amp;pageNum=0&amp;trk=public_jobs_jserp-result_search-card", "Job Link")</f>
        <v>Job Link</v>
      </c>
      <c r="H2651" t="s">
        <v>479</v>
      </c>
      <c r="I2651" t="s">
        <v>481</v>
      </c>
      <c r="J2651" t="s">
        <v>507</v>
      </c>
      <c r="K2651" t="s">
        <v>559</v>
      </c>
      <c r="L2651" t="s">
        <v>582</v>
      </c>
      <c r="M2651" t="s">
        <v>588</v>
      </c>
      <c r="N2651" t="s">
        <v>601</v>
      </c>
    </row>
    <row r="2652" spans="1:14" x14ac:dyDescent="0.25">
      <c r="A2652" t="s">
        <v>14</v>
      </c>
      <c r="B2652" t="s">
        <v>209</v>
      </c>
      <c r="C2652" t="s">
        <v>364</v>
      </c>
      <c r="D2652" t="s">
        <v>426</v>
      </c>
      <c r="F2652" t="s">
        <v>440</v>
      </c>
      <c r="G2652" t="str">
        <f>HYPERLINK("https://ca.linkedin.com/jobs/view/data-analyst-at-frostbite-3370111856?refId=bHFe1o381M8ccJuVYuQKVA%3D%3D&amp;trackingId=6ggS3PNwNq0%2Fj97AQKWqLg%3D%3D&amp;position=3&amp;pageNum=0&amp;trk=public_jobs_jserp-result_search-card", "Job Link")</f>
        <v>Job Link</v>
      </c>
      <c r="H2652" t="s">
        <v>479</v>
      </c>
      <c r="I2652" t="s">
        <v>481</v>
      </c>
      <c r="J2652" t="s">
        <v>507</v>
      </c>
      <c r="K2652" t="s">
        <v>559</v>
      </c>
      <c r="L2652" t="s">
        <v>590</v>
      </c>
      <c r="M2652" t="s">
        <v>618</v>
      </c>
      <c r="N2652" t="s">
        <v>601</v>
      </c>
    </row>
    <row r="2653" spans="1:14" x14ac:dyDescent="0.25">
      <c r="A2653" t="s">
        <v>14</v>
      </c>
      <c r="B2653" t="s">
        <v>211</v>
      </c>
      <c r="C2653" t="s">
        <v>366</v>
      </c>
      <c r="D2653" t="s">
        <v>426</v>
      </c>
      <c r="F2653" t="s">
        <v>443</v>
      </c>
      <c r="G2653" t="str">
        <f>HYPERLINK("https://ca.linkedin.com/jobs/view/data-analyst-at-mphasis-3363428246?refId=bHFe1o381M8ccJuVYuQKVA%3D%3D&amp;trackingId=ejpcPYSl5TSBiovMGVooBA%3D%3D&amp;position=4&amp;pageNum=0&amp;trk=public_jobs_jserp-result_search-card", "Job Link")</f>
        <v>Job Link</v>
      </c>
      <c r="H2653" t="s">
        <v>477</v>
      </c>
      <c r="I2653" t="s">
        <v>481</v>
      </c>
      <c r="J2653" t="s">
        <v>486</v>
      </c>
      <c r="K2653" t="s">
        <v>521</v>
      </c>
      <c r="L2653" t="s">
        <v>609</v>
      </c>
      <c r="M2653" t="s">
        <v>610</v>
      </c>
      <c r="N2653" t="s">
        <v>601</v>
      </c>
    </row>
    <row r="2654" spans="1:14" x14ac:dyDescent="0.25">
      <c r="A2654" t="s">
        <v>81</v>
      </c>
      <c r="B2654" t="s">
        <v>210</v>
      </c>
      <c r="C2654" t="s">
        <v>365</v>
      </c>
      <c r="D2654" t="s">
        <v>426</v>
      </c>
      <c r="F2654" t="s">
        <v>436</v>
      </c>
      <c r="G2654" t="str">
        <f>HYPERLINK("https://ca.linkedin.com/jobs/view/data-analyst-c117-at-mitsubishi-motor-sales-of-canada-inc-3344852931?refId=bHFe1o381M8ccJuVYuQKVA%3D%3D&amp;trackingId=3Qp7bW05a5wyqIO%2BJfi4Qg%3D%3D&amp;position=5&amp;pageNum=0&amp;trk=public_jobs_jserp-result_search-card", "Job Link")</f>
        <v>Job Link</v>
      </c>
      <c r="H2654" t="s">
        <v>477</v>
      </c>
      <c r="I2654" t="s">
        <v>481</v>
      </c>
      <c r="J2654" t="s">
        <v>508</v>
      </c>
      <c r="K2654" t="s">
        <v>561</v>
      </c>
      <c r="L2654" t="s">
        <v>584</v>
      </c>
      <c r="M2654" t="s">
        <v>588</v>
      </c>
      <c r="N2654" t="s">
        <v>601</v>
      </c>
    </row>
    <row r="2655" spans="1:14" x14ac:dyDescent="0.25">
      <c r="A2655" t="s">
        <v>14</v>
      </c>
      <c r="B2655" t="s">
        <v>150</v>
      </c>
      <c r="C2655" t="s">
        <v>367</v>
      </c>
      <c r="D2655" t="s">
        <v>426</v>
      </c>
      <c r="F2655" t="s">
        <v>433</v>
      </c>
      <c r="G2655" t="str">
        <f>HYPERLINK("https://ca.linkedin.com/jobs/view/data-analyst-at-synechron-3348329085?refId=bHFe1o381M8ccJuVYuQKVA%3D%3D&amp;trackingId=8%2Fnf%2Bi09nrrwHlM5R4qB4Q%3D%3D&amp;position=6&amp;pageNum=0&amp;trk=public_jobs_jserp-result_search-card", "Job Link")</f>
        <v>Job Link</v>
      </c>
      <c r="H2655" t="s">
        <v>478</v>
      </c>
      <c r="I2655" t="s">
        <v>481</v>
      </c>
      <c r="J2655" t="s">
        <v>486</v>
      </c>
      <c r="K2655" t="s">
        <v>562</v>
      </c>
      <c r="L2655" t="s">
        <v>584</v>
      </c>
      <c r="M2655" t="s">
        <v>588</v>
      </c>
      <c r="N2655" t="s">
        <v>601</v>
      </c>
    </row>
    <row r="2656" spans="1:14" x14ac:dyDescent="0.25">
      <c r="A2656" t="s">
        <v>82</v>
      </c>
      <c r="B2656" t="s">
        <v>179</v>
      </c>
      <c r="C2656" t="s">
        <v>368</v>
      </c>
      <c r="D2656" t="s">
        <v>426</v>
      </c>
      <c r="F2656" t="s">
        <v>471</v>
      </c>
      <c r="G2656" t="str">
        <f>HYPERLINK("https://ca.linkedin.com/jobs/view/business-data-analyst-at-capgemini-3327624663?refId=bHFe1o381M8ccJuVYuQKVA%3D%3D&amp;trackingId=xB8y4kmh%2B%2Fm0XnHacdlPIQ%3D%3D&amp;position=7&amp;pageNum=0&amp;trk=public_jobs_jserp-result_search-card", "Job Link")</f>
        <v>Job Link</v>
      </c>
      <c r="H2656" t="s">
        <v>478</v>
      </c>
      <c r="I2656" t="s">
        <v>481</v>
      </c>
      <c r="J2656" t="s">
        <v>486</v>
      </c>
      <c r="K2656" t="s">
        <v>521</v>
      </c>
      <c r="L2656" t="s">
        <v>611</v>
      </c>
      <c r="M2656" t="s">
        <v>601</v>
      </c>
    </row>
    <row r="2657" spans="1:14" x14ac:dyDescent="0.25">
      <c r="A2657" t="s">
        <v>14</v>
      </c>
      <c r="B2657" t="s">
        <v>150</v>
      </c>
      <c r="C2657" t="s">
        <v>369</v>
      </c>
      <c r="D2657" t="s">
        <v>426</v>
      </c>
      <c r="F2657" t="s">
        <v>460</v>
      </c>
      <c r="G2657" t="str">
        <f>HYPERLINK("https://ca.linkedin.com/jobs/view/data-analyst-at-synechron-3364863079?refId=bHFe1o381M8ccJuVYuQKVA%3D%3D&amp;trackingId=aMxyt0JROAGbFqwkfVdDAw%3D%3D&amp;position=8&amp;pageNum=0&amp;trk=public_jobs_jserp-result_search-card", "Job Link")</f>
        <v>Job Link</v>
      </c>
      <c r="H2657" t="s">
        <v>478</v>
      </c>
      <c r="I2657" t="s">
        <v>481</v>
      </c>
      <c r="J2657" t="s">
        <v>486</v>
      </c>
      <c r="K2657" t="s">
        <v>563</v>
      </c>
      <c r="L2657" t="s">
        <v>584</v>
      </c>
      <c r="M2657" t="s">
        <v>588</v>
      </c>
      <c r="N2657" t="s">
        <v>601</v>
      </c>
    </row>
    <row r="2658" spans="1:14" x14ac:dyDescent="0.25">
      <c r="A2658" t="s">
        <v>14</v>
      </c>
      <c r="B2658" t="s">
        <v>150</v>
      </c>
      <c r="C2658" t="s">
        <v>367</v>
      </c>
      <c r="D2658" t="s">
        <v>426</v>
      </c>
      <c r="F2658" t="s">
        <v>460</v>
      </c>
      <c r="G2658" t="str">
        <f>HYPERLINK("https://ca.linkedin.com/jobs/view/data-analyst-at-synechron-3361756851?refId=bHFe1o381M8ccJuVYuQKVA%3D%3D&amp;trackingId=XPIsO08RQip%2F3b744pkzrQ%3D%3D&amp;position=9&amp;pageNum=0&amp;trk=public_jobs_jserp-result_search-card", "Job Link")</f>
        <v>Job Link</v>
      </c>
      <c r="H2658" t="s">
        <v>478</v>
      </c>
      <c r="I2658" t="s">
        <v>481</v>
      </c>
      <c r="J2658" t="s">
        <v>486</v>
      </c>
      <c r="K2658" t="s">
        <v>562</v>
      </c>
      <c r="L2658" t="s">
        <v>584</v>
      </c>
      <c r="M2658" t="s">
        <v>588</v>
      </c>
      <c r="N2658" t="s">
        <v>601</v>
      </c>
    </row>
    <row r="2659" spans="1:14" x14ac:dyDescent="0.25">
      <c r="A2659" t="s">
        <v>14</v>
      </c>
      <c r="B2659" t="s">
        <v>212</v>
      </c>
      <c r="C2659" t="s">
        <v>370</v>
      </c>
      <c r="D2659" t="s">
        <v>426</v>
      </c>
      <c r="F2659" t="s">
        <v>432</v>
      </c>
      <c r="G2659" t="str">
        <f>HYPERLINK("https://ca.linkedin.com/jobs/view/data-analyst-at-agilus-work-solutions-3358673093?refId=bHFe1o381M8ccJuVYuQKVA%3D%3D&amp;trackingId=Uc1wPRBSeFm%2F4vBG5MAOVQ%3D%3D&amp;position=10&amp;pageNum=0&amp;trk=public_jobs_jserp-result_search-card", "Job Link")</f>
        <v>Job Link</v>
      </c>
      <c r="H2659" t="s">
        <v>477</v>
      </c>
      <c r="I2659" t="s">
        <v>483</v>
      </c>
      <c r="J2659" t="s">
        <v>486</v>
      </c>
      <c r="K2659" t="s">
        <v>518</v>
      </c>
      <c r="L2659" t="s">
        <v>582</v>
      </c>
      <c r="M2659" t="s">
        <v>588</v>
      </c>
      <c r="N2659" t="s">
        <v>601</v>
      </c>
    </row>
    <row r="2660" spans="1:14" x14ac:dyDescent="0.25">
      <c r="A2660" t="s">
        <v>14</v>
      </c>
      <c r="B2660" t="s">
        <v>214</v>
      </c>
      <c r="C2660" t="s">
        <v>372</v>
      </c>
      <c r="D2660" t="s">
        <v>426</v>
      </c>
      <c r="F2660" t="s">
        <v>432</v>
      </c>
      <c r="G2660" t="str">
        <f>HYPERLINK("https://ca.linkedin.com/jobs/view/data-analyst-at-goeasy-ltd-3358677253?refId=bHFe1o381M8ccJuVYuQKVA%3D%3D&amp;trackingId=W%2BThCfbCKwWxEJZ8taiuug%3D%3D&amp;position=11&amp;pageNum=0&amp;trk=public_jobs_jserp-result_search-card", "Job Link")</f>
        <v>Job Link</v>
      </c>
      <c r="H2660" t="s">
        <v>476</v>
      </c>
      <c r="I2660" t="s">
        <v>481</v>
      </c>
      <c r="J2660" t="s">
        <v>486</v>
      </c>
      <c r="K2660" t="s">
        <v>550</v>
      </c>
      <c r="L2660" t="s">
        <v>584</v>
      </c>
      <c r="M2660" t="s">
        <v>588</v>
      </c>
      <c r="N2660" t="s">
        <v>601</v>
      </c>
    </row>
    <row r="2661" spans="1:14" x14ac:dyDescent="0.25">
      <c r="A2661" t="s">
        <v>14</v>
      </c>
      <c r="B2661" t="s">
        <v>213</v>
      </c>
      <c r="C2661" t="s">
        <v>371</v>
      </c>
      <c r="D2661" t="s">
        <v>426</v>
      </c>
      <c r="F2661" t="s">
        <v>472</v>
      </c>
      <c r="G2661" t="str">
        <f>HYPERLINK("https://ca.linkedin.com/jobs/view/data-analyst-at-linkus-group-3345817125?refId=bHFe1o381M8ccJuVYuQKVA%3D%3D&amp;trackingId=jB1kN%2BWO6KfzXOqTvuyPDg%3D%3D&amp;position=12&amp;pageNum=0&amp;trk=public_jobs_jserp-result_search-card", "Job Link")</f>
        <v>Job Link</v>
      </c>
      <c r="H2661" t="s">
        <v>476</v>
      </c>
      <c r="I2661" t="s">
        <v>481</v>
      </c>
      <c r="J2661" t="s">
        <v>486</v>
      </c>
      <c r="K2661" t="s">
        <v>518</v>
      </c>
      <c r="L2661" t="s">
        <v>588</v>
      </c>
      <c r="M2661" t="s">
        <v>601</v>
      </c>
    </row>
    <row r="2662" spans="1:14" x14ac:dyDescent="0.25">
      <c r="A2662" t="s">
        <v>83</v>
      </c>
      <c r="B2662" t="s">
        <v>215</v>
      </c>
      <c r="C2662" t="s">
        <v>284</v>
      </c>
      <c r="D2662" t="s">
        <v>426</v>
      </c>
      <c r="F2662" t="s">
        <v>462</v>
      </c>
      <c r="G2662">
        <v>0</v>
      </c>
      <c r="L2662" t="s">
        <v>584</v>
      </c>
      <c r="M2662" t="s">
        <v>588</v>
      </c>
      <c r="N2662" t="s">
        <v>601</v>
      </c>
    </row>
    <row r="2663" spans="1:14" x14ac:dyDescent="0.25">
      <c r="A2663" t="s">
        <v>91</v>
      </c>
      <c r="B2663" t="s">
        <v>224</v>
      </c>
      <c r="C2663" t="s">
        <v>384</v>
      </c>
      <c r="D2663" t="s">
        <v>426</v>
      </c>
      <c r="F2663" t="s">
        <v>431</v>
      </c>
      <c r="G2663" t="str">
        <f>HYPERLINK("https://ca.linkedin.com/jobs/view/commercial-data-analyst-at-organigram-inc-3367177254?refId=bHFe1o381M8ccJuVYuQKVA%3D%3D&amp;trackingId=DqDX4E7fiOTxsHWwyE0LvQ%3D%3D&amp;position=14&amp;pageNum=0&amp;trk=public_jobs_jserp-result_search-card", "Job Link")</f>
        <v>Job Link</v>
      </c>
      <c r="I2663" t="s">
        <v>481</v>
      </c>
      <c r="L2663" t="s">
        <v>582</v>
      </c>
      <c r="M2663" t="s">
        <v>588</v>
      </c>
      <c r="N2663" t="s">
        <v>601</v>
      </c>
    </row>
    <row r="2664" spans="1:14" x14ac:dyDescent="0.25">
      <c r="A2664" t="s">
        <v>20</v>
      </c>
      <c r="B2664" t="s">
        <v>207</v>
      </c>
      <c r="C2664" t="s">
        <v>374</v>
      </c>
      <c r="D2664" t="s">
        <v>426</v>
      </c>
      <c r="F2664" t="s">
        <v>463</v>
      </c>
      <c r="G2664" t="str">
        <f>HYPERLINK("https://ca.linkedin.com/jobs/view/senior-data-analyst-at-onlia-3320897882?refId=bHFe1o381M8ccJuVYuQKVA%3D%3D&amp;trackingId=dc9HFkmZ8rVKsRoJGSLIQA%3D%3D&amp;position=15&amp;pageNum=0&amp;trk=public_jobs_jserp-result_search-card", "Job Link")</f>
        <v>Job Link</v>
      </c>
      <c r="H2664" t="s">
        <v>477</v>
      </c>
      <c r="I2664" t="s">
        <v>481</v>
      </c>
      <c r="J2664" t="s">
        <v>486</v>
      </c>
      <c r="K2664" t="s">
        <v>523</v>
      </c>
      <c r="L2664" t="s">
        <v>582</v>
      </c>
      <c r="M2664" t="s">
        <v>588</v>
      </c>
      <c r="N2664" t="s">
        <v>601</v>
      </c>
    </row>
    <row r="2665" spans="1:14" x14ac:dyDescent="0.25">
      <c r="A2665" t="s">
        <v>84</v>
      </c>
      <c r="B2665" t="s">
        <v>216</v>
      </c>
      <c r="C2665" t="s">
        <v>375</v>
      </c>
      <c r="D2665" t="s">
        <v>426</v>
      </c>
      <c r="F2665" t="s">
        <v>452</v>
      </c>
      <c r="G2665" t="str">
        <f>HYPERLINK("https://ca.linkedin.com/jobs/view/data-analyst-hybrid-at-xylem-3335088701?refId=bHFe1o381M8ccJuVYuQKVA%3D%3D&amp;trackingId=3bSErzuGw3ukgEJBo5Vnuw%3D%3D&amp;position=16&amp;pageNum=0&amp;trk=public_jobs_jserp-result_search-card", "Job Link")</f>
        <v>Job Link</v>
      </c>
      <c r="H2665" t="s">
        <v>476</v>
      </c>
      <c r="I2665" t="s">
        <v>481</v>
      </c>
      <c r="J2665" t="s">
        <v>486</v>
      </c>
      <c r="K2665" t="s">
        <v>564</v>
      </c>
      <c r="L2665" t="s">
        <v>584</v>
      </c>
      <c r="M2665" t="s">
        <v>588</v>
      </c>
      <c r="N2665" t="s">
        <v>601</v>
      </c>
    </row>
    <row r="2666" spans="1:14" x14ac:dyDescent="0.25">
      <c r="A2666" t="s">
        <v>85</v>
      </c>
      <c r="B2666" t="s">
        <v>217</v>
      </c>
      <c r="C2666" t="s">
        <v>376</v>
      </c>
      <c r="D2666" t="s">
        <v>426</v>
      </c>
      <c r="F2666" t="s">
        <v>473</v>
      </c>
      <c r="G2666" t="str">
        <f>HYPERLINK("https://ca.linkedin.com/jobs/view/data-analyst-python-sql-at-geotab-3341823745?refId=bHFe1o381M8ccJuVYuQKVA%3D%3D&amp;trackingId=ACir5xKsSDfLdEB0tLMRCA%3D%3D&amp;position=17&amp;pageNum=0&amp;trk=public_jobs_jserp-result_search-card", "Job Link")</f>
        <v>Job Link</v>
      </c>
      <c r="H2666" t="s">
        <v>479</v>
      </c>
      <c r="I2666" t="s">
        <v>481</v>
      </c>
      <c r="J2666" t="s">
        <v>486</v>
      </c>
      <c r="K2666" t="s">
        <v>521</v>
      </c>
      <c r="L2666" t="s">
        <v>612</v>
      </c>
      <c r="M2666" t="s">
        <v>588</v>
      </c>
      <c r="N2666" t="s">
        <v>601</v>
      </c>
    </row>
    <row r="2667" spans="1:14" x14ac:dyDescent="0.25">
      <c r="A2667" t="s">
        <v>86</v>
      </c>
      <c r="B2667" t="s">
        <v>167</v>
      </c>
      <c r="C2667" t="s">
        <v>377</v>
      </c>
      <c r="D2667" t="s">
        <v>426</v>
      </c>
      <c r="F2667" t="s">
        <v>454</v>
      </c>
      <c r="G2667" t="str">
        <f>HYPERLINK("https://ca.linkedin.com/jobs/view/data-analyst-reporting-at-thescore-3345941286?refId=bHFe1o381M8ccJuVYuQKVA%3D%3D&amp;trackingId=%2BTXsiDkyFUlx3aOvib02fA%3D%3D&amp;position=18&amp;pageNum=0&amp;trk=public_jobs_jserp-result_search-card", "Job Link")</f>
        <v>Job Link</v>
      </c>
      <c r="H2667" t="s">
        <v>476</v>
      </c>
      <c r="I2667" t="s">
        <v>481</v>
      </c>
      <c r="J2667" t="s">
        <v>486</v>
      </c>
      <c r="K2667" t="s">
        <v>545</v>
      </c>
      <c r="L2667" t="s">
        <v>582</v>
      </c>
      <c r="M2667" t="s">
        <v>588</v>
      </c>
      <c r="N2667" t="s">
        <v>601</v>
      </c>
    </row>
    <row r="2668" spans="1:14" x14ac:dyDescent="0.25">
      <c r="A2668" t="s">
        <v>87</v>
      </c>
      <c r="B2668" t="s">
        <v>218</v>
      </c>
      <c r="C2668" t="s">
        <v>378</v>
      </c>
      <c r="D2668" t="s">
        <v>426</v>
      </c>
      <c r="F2668" t="s">
        <v>432</v>
      </c>
      <c r="G2668">
        <v>0</v>
      </c>
      <c r="H2668" t="s">
        <v>478</v>
      </c>
      <c r="I2668" t="s">
        <v>483</v>
      </c>
      <c r="J2668" t="s">
        <v>486</v>
      </c>
      <c r="K2668" t="s">
        <v>521</v>
      </c>
      <c r="L2668" t="s">
        <v>582</v>
      </c>
      <c r="M2668" t="s">
        <v>588</v>
      </c>
      <c r="N2668" t="s">
        <v>601</v>
      </c>
    </row>
    <row r="2669" spans="1:14" x14ac:dyDescent="0.25">
      <c r="A2669" t="s">
        <v>90</v>
      </c>
      <c r="B2669" t="s">
        <v>223</v>
      </c>
      <c r="C2669" t="s">
        <v>383</v>
      </c>
      <c r="D2669" t="s">
        <v>426</v>
      </c>
      <c r="F2669" t="s">
        <v>443</v>
      </c>
      <c r="G2669" t="str">
        <f>HYPERLINK("https://ca.linkedin.com/jobs/view/data-administrator-data-analyst-at-hays-3369576413?refId=bHFe1o381M8ccJuVYuQKVA%3D%3D&amp;trackingId=yHnvAlM7MK9i5zbem5iMVw%3D%3D&amp;position=20&amp;pageNum=0&amp;trk=public_jobs_jserp-result_search-card", "Job Link")</f>
        <v>Job Link</v>
      </c>
      <c r="H2669" t="s">
        <v>478</v>
      </c>
      <c r="I2669" t="s">
        <v>481</v>
      </c>
      <c r="J2669" t="s">
        <v>486</v>
      </c>
      <c r="K2669" t="s">
        <v>518</v>
      </c>
      <c r="L2669" t="s">
        <v>583</v>
      </c>
      <c r="M2669" t="s">
        <v>610</v>
      </c>
      <c r="N2669" t="s">
        <v>601</v>
      </c>
    </row>
    <row r="2670" spans="1:14" x14ac:dyDescent="0.25">
      <c r="A2670" t="s">
        <v>88</v>
      </c>
      <c r="B2670" t="s">
        <v>219</v>
      </c>
      <c r="C2670" t="s">
        <v>379</v>
      </c>
      <c r="D2670" t="s">
        <v>426</v>
      </c>
      <c r="F2670" t="s">
        <v>454</v>
      </c>
      <c r="G2670" t="str">
        <f>HYPERLINK("https://ca.linkedin.com/jobs/view/data-analyst-flight-pricing-optimization-at-priceline-3345993633?refId=bHFe1o381M8ccJuVYuQKVA%3D%3D&amp;trackingId=jsgQf0FvFxE9fiYBZpU3dw%3D%3D&amp;position=21&amp;pageNum=0&amp;trk=public_jobs_jserp-result_search-card", "Job Link")</f>
        <v>Job Link</v>
      </c>
      <c r="H2670" t="s">
        <v>476</v>
      </c>
      <c r="I2670" t="s">
        <v>481</v>
      </c>
      <c r="J2670" t="s">
        <v>486</v>
      </c>
      <c r="K2670" t="s">
        <v>565</v>
      </c>
      <c r="L2670" t="s">
        <v>582</v>
      </c>
      <c r="M2670" t="s">
        <v>588</v>
      </c>
      <c r="N2670" t="s">
        <v>601</v>
      </c>
    </row>
    <row r="2671" spans="1:14" x14ac:dyDescent="0.25">
      <c r="A2671" t="s">
        <v>89</v>
      </c>
      <c r="B2671" t="s">
        <v>221</v>
      </c>
      <c r="C2671" t="s">
        <v>381</v>
      </c>
      <c r="D2671" t="s">
        <v>426</v>
      </c>
      <c r="F2671" t="s">
        <v>461</v>
      </c>
      <c r="G2671">
        <v>0</v>
      </c>
      <c r="H2671" t="s">
        <v>476</v>
      </c>
      <c r="I2671" t="s">
        <v>481</v>
      </c>
      <c r="J2671" t="s">
        <v>488</v>
      </c>
      <c r="K2671" t="s">
        <v>566</v>
      </c>
      <c r="L2671" t="s">
        <v>582</v>
      </c>
      <c r="M2671" t="s">
        <v>588</v>
      </c>
      <c r="N2671" t="s">
        <v>601</v>
      </c>
    </row>
    <row r="2672" spans="1:14" x14ac:dyDescent="0.25">
      <c r="A2672" t="s">
        <v>14</v>
      </c>
      <c r="B2672" t="s">
        <v>222</v>
      </c>
      <c r="C2672" t="s">
        <v>382</v>
      </c>
      <c r="D2672" t="s">
        <v>426</v>
      </c>
      <c r="F2672" t="s">
        <v>431</v>
      </c>
      <c r="G2672" t="str">
        <f>HYPERLINK("https://ca.linkedin.com/jobs/view/data-analyst-at-circle-k-3367192655?refId=bHFe1o381M8ccJuVYuQKVA%3D%3D&amp;trackingId=EEi4oZnbPAmjcYhymaUASg%3D%3D&amp;position=23&amp;pageNum=0&amp;trk=public_jobs_jserp-result_search-card", "Job Link")</f>
        <v>Job Link</v>
      </c>
      <c r="H2672" t="s">
        <v>476</v>
      </c>
      <c r="I2672" t="s">
        <v>481</v>
      </c>
      <c r="J2672" t="s">
        <v>486</v>
      </c>
      <c r="K2672" t="s">
        <v>567</v>
      </c>
      <c r="L2672" t="s">
        <v>582</v>
      </c>
      <c r="M2672" t="s">
        <v>588</v>
      </c>
      <c r="N2672" t="s">
        <v>601</v>
      </c>
    </row>
    <row r="2673" spans="1:14" x14ac:dyDescent="0.25">
      <c r="A2673" t="s">
        <v>14</v>
      </c>
      <c r="B2673" t="s">
        <v>225</v>
      </c>
      <c r="C2673" t="s">
        <v>385</v>
      </c>
      <c r="D2673" t="s">
        <v>426</v>
      </c>
      <c r="F2673" t="s">
        <v>463</v>
      </c>
      <c r="G2673" t="str">
        <f>HYPERLINK("https://ca.linkedin.com/jobs/view/data-analyst-at-vector-institute-3325395506?refId=bHFe1o381M8ccJuVYuQKVA%3D%3D&amp;trackingId=MRCS5p84NVZ%2B1kE9jzqREA%3D%3D&amp;position=24&amp;pageNum=0&amp;trk=public_jobs_jserp-result_search-card", "Job Link")</f>
        <v>Job Link</v>
      </c>
      <c r="H2673" t="s">
        <v>478</v>
      </c>
      <c r="I2673" t="s">
        <v>481</v>
      </c>
      <c r="J2673" t="s">
        <v>486</v>
      </c>
      <c r="K2673" t="s">
        <v>520</v>
      </c>
      <c r="L2673" t="s">
        <v>582</v>
      </c>
      <c r="M2673" t="s">
        <v>588</v>
      </c>
      <c r="N2673" t="s">
        <v>601</v>
      </c>
    </row>
    <row r="2674" spans="1:14" x14ac:dyDescent="0.25">
      <c r="A2674" t="s">
        <v>14</v>
      </c>
      <c r="B2674" t="s">
        <v>226</v>
      </c>
      <c r="C2674" t="s">
        <v>386</v>
      </c>
      <c r="D2674" t="s">
        <v>426</v>
      </c>
      <c r="F2674" t="s">
        <v>474</v>
      </c>
      <c r="G2674" t="str">
        <f>HYPERLINK("https://ca.linkedin.com/jobs/view/data-analyst-at-gsl-group-3334387645?refId=bHFe1o381M8ccJuVYuQKVA%3D%3D&amp;trackingId=pJeMVL66zZE%2F1OrruN0%2B5w%3D%3D&amp;position=25&amp;pageNum=0&amp;trk=public_jobs_jserp-result_search-card", "Job Link")</f>
        <v>Job Link</v>
      </c>
      <c r="H2674" t="s">
        <v>476</v>
      </c>
      <c r="I2674" t="s">
        <v>481</v>
      </c>
      <c r="J2674" t="s">
        <v>486</v>
      </c>
      <c r="K2674" t="s">
        <v>568</v>
      </c>
      <c r="L2674" t="s">
        <v>590</v>
      </c>
      <c r="M2674" t="s">
        <v>618</v>
      </c>
      <c r="N2674" t="s">
        <v>601</v>
      </c>
    </row>
    <row r="2675" spans="1:14" x14ac:dyDescent="0.25">
      <c r="A2675" t="s">
        <v>80</v>
      </c>
      <c r="B2675" t="s">
        <v>244</v>
      </c>
      <c r="C2675" t="s">
        <v>406</v>
      </c>
      <c r="D2675" t="s">
        <v>426</v>
      </c>
      <c r="F2675" t="s">
        <v>446</v>
      </c>
      <c r="G2675" t="str">
        <f>HYPERLINK("https://ca.linkedin.com/jobs/view/principal-data-analyst-at-plenty-of-fish-3247485885?refId=aH6qxKGWO0vLEzfbqpB0TQ%3D%3D&amp;trackingId=XQGwnanbhQKWNtXpislgiw%3D%3D&amp;position=1&amp;pageNum=0&amp;trk=public_jobs_jserp-result_search-card", "Job Link")</f>
        <v>Job Link</v>
      </c>
      <c r="H2675" t="s">
        <v>478</v>
      </c>
      <c r="I2675" t="s">
        <v>481</v>
      </c>
      <c r="J2675" t="s">
        <v>486</v>
      </c>
      <c r="K2675" t="s">
        <v>516</v>
      </c>
      <c r="L2675" t="s">
        <v>590</v>
      </c>
      <c r="M2675" t="s">
        <v>618</v>
      </c>
      <c r="N2675" t="s">
        <v>601</v>
      </c>
    </row>
    <row r="2676" spans="1:14" x14ac:dyDescent="0.25">
      <c r="A2676" t="s">
        <v>59</v>
      </c>
      <c r="B2676" t="s">
        <v>245</v>
      </c>
      <c r="C2676" t="s">
        <v>407</v>
      </c>
      <c r="D2676" t="s">
        <v>426</v>
      </c>
      <c r="F2676" t="s">
        <v>432</v>
      </c>
      <c r="G2676" t="str">
        <f>HYPERLINK("https://ca.linkedin.com/jobs/view/business-systems-analyst-at-iris-software-inc-3356658090?refId=aH6qxKGWO0vLEzfbqpB0TQ%3D%3D&amp;trackingId=Tex0n8jkZuTnZzjdMxqM3w%3D%3D&amp;position=2&amp;pageNum=0&amp;trk=public_jobs_jserp-result_search-card", "Job Link")</f>
        <v>Job Link</v>
      </c>
      <c r="H2676" t="s">
        <v>478</v>
      </c>
      <c r="I2676" t="s">
        <v>483</v>
      </c>
      <c r="J2676" t="s">
        <v>513</v>
      </c>
      <c r="K2676" t="s">
        <v>521</v>
      </c>
      <c r="L2676" t="s">
        <v>582</v>
      </c>
      <c r="M2676" t="s">
        <v>588</v>
      </c>
      <c r="N2676" t="s">
        <v>601</v>
      </c>
    </row>
    <row r="2677" spans="1:14" x14ac:dyDescent="0.25">
      <c r="A2677" t="s">
        <v>85</v>
      </c>
      <c r="B2677" t="s">
        <v>217</v>
      </c>
      <c r="C2677" t="s">
        <v>376</v>
      </c>
      <c r="D2677" t="s">
        <v>426</v>
      </c>
      <c r="F2677" t="s">
        <v>473</v>
      </c>
      <c r="G2677" t="str">
        <f>HYPERLINK("https://ca.linkedin.com/jobs/view/data-analyst-python-sql-at-geotab-3341823745?refId=aH6qxKGWO0vLEzfbqpB0TQ%3D%3D&amp;trackingId=40paDUU6zX4bJtNrEpV%2FNw%3D%3D&amp;position=3&amp;pageNum=0&amp;trk=public_jobs_jserp-result_search-card", "Job Link")</f>
        <v>Job Link</v>
      </c>
      <c r="H2677" t="s">
        <v>479</v>
      </c>
      <c r="I2677" t="s">
        <v>481</v>
      </c>
      <c r="J2677" t="s">
        <v>486</v>
      </c>
      <c r="K2677" t="s">
        <v>521</v>
      </c>
      <c r="L2677" t="s">
        <v>612</v>
      </c>
      <c r="M2677" t="s">
        <v>588</v>
      </c>
      <c r="N2677" t="s">
        <v>601</v>
      </c>
    </row>
    <row r="2678" spans="1:14" x14ac:dyDescent="0.25">
      <c r="A2678" t="s">
        <v>86</v>
      </c>
      <c r="B2678" t="s">
        <v>167</v>
      </c>
      <c r="C2678" t="s">
        <v>377</v>
      </c>
      <c r="D2678" t="s">
        <v>426</v>
      </c>
      <c r="F2678" t="s">
        <v>454</v>
      </c>
      <c r="G2678" t="str">
        <f>HYPERLINK("https://ca.linkedin.com/jobs/view/data-analyst-reporting-at-thescore-3345941286?refId=aH6qxKGWO0vLEzfbqpB0TQ%3D%3D&amp;trackingId=fyMV%2Folb%2B88sgJFjiLZGCA%3D%3D&amp;position=4&amp;pageNum=0&amp;trk=public_jobs_jserp-result_search-card", "Job Link")</f>
        <v>Job Link</v>
      </c>
      <c r="H2678" t="s">
        <v>476</v>
      </c>
      <c r="I2678" t="s">
        <v>481</v>
      </c>
      <c r="J2678" t="s">
        <v>486</v>
      </c>
      <c r="K2678" t="s">
        <v>545</v>
      </c>
      <c r="L2678" t="s">
        <v>582</v>
      </c>
      <c r="M2678" t="s">
        <v>588</v>
      </c>
      <c r="N2678" t="s">
        <v>601</v>
      </c>
    </row>
    <row r="2679" spans="1:14" x14ac:dyDescent="0.25">
      <c r="A2679" t="s">
        <v>110</v>
      </c>
      <c r="B2679" t="s">
        <v>246</v>
      </c>
      <c r="C2679" t="s">
        <v>408</v>
      </c>
      <c r="D2679" t="s">
        <v>426</v>
      </c>
      <c r="F2679" t="s">
        <v>472</v>
      </c>
      <c r="G2679" t="str">
        <f>HYPERLINK("https://ca.linkedin.com/jobs/view/data-analyst-land-at-fugro-3349808981?refId=aH6qxKGWO0vLEzfbqpB0TQ%3D%3D&amp;trackingId=UcQ1NDN7LbhP6rDAp1StEw%3D%3D&amp;position=5&amp;pageNum=0&amp;trk=public_jobs_jserp-result_search-card", "Job Link")</f>
        <v>Job Link</v>
      </c>
      <c r="H2679" t="s">
        <v>476</v>
      </c>
      <c r="I2679" t="s">
        <v>481</v>
      </c>
      <c r="J2679" t="s">
        <v>486</v>
      </c>
      <c r="K2679" t="s">
        <v>576</v>
      </c>
      <c r="L2679" t="s">
        <v>584</v>
      </c>
      <c r="M2679" t="s">
        <v>588</v>
      </c>
      <c r="N2679" t="s">
        <v>601</v>
      </c>
    </row>
    <row r="2680" spans="1:14" x14ac:dyDescent="0.25">
      <c r="A2680" t="s">
        <v>14</v>
      </c>
      <c r="B2680" t="s">
        <v>247</v>
      </c>
      <c r="C2680" t="s">
        <v>409</v>
      </c>
      <c r="D2680" t="s">
        <v>426</v>
      </c>
      <c r="F2680" t="s">
        <v>475</v>
      </c>
      <c r="G2680" t="str">
        <f>HYPERLINK("https://ca.linkedin.com/jobs/view/data-analyst-at-pma-canada-3349296257?refId=aH6qxKGWO0vLEzfbqpB0TQ%3D%3D&amp;trackingId=Ml%2BcaJVF20D4%2BGrEx9fwSA%3D%3D&amp;position=6&amp;pageNum=0&amp;trk=public_jobs_jserp-result_search-card", "Job Link")</f>
        <v>Job Link</v>
      </c>
      <c r="H2680" t="s">
        <v>476</v>
      </c>
      <c r="I2680" t="s">
        <v>481</v>
      </c>
      <c r="J2680" t="s">
        <v>486</v>
      </c>
      <c r="K2680" t="s">
        <v>577</v>
      </c>
      <c r="L2680" t="s">
        <v>612</v>
      </c>
      <c r="M2680" t="s">
        <v>588</v>
      </c>
      <c r="N2680" t="s">
        <v>601</v>
      </c>
    </row>
    <row r="2681" spans="1:14" x14ac:dyDescent="0.25">
      <c r="A2681" t="s">
        <v>111</v>
      </c>
      <c r="B2681" t="s">
        <v>208</v>
      </c>
      <c r="C2681" t="s">
        <v>410</v>
      </c>
      <c r="D2681" t="s">
        <v>426</v>
      </c>
      <c r="F2681" t="s">
        <v>433</v>
      </c>
      <c r="G2681" t="str">
        <f>HYPERLINK("https://ca.linkedin.com/jobs/view/senior-data-governance-analyst-at-electronic-arts-ea-3351841849?refId=aH6qxKGWO0vLEzfbqpB0TQ%3D%3D&amp;trackingId=FVLHigCX8Erad6J057sAww%3D%3D&amp;position=7&amp;pageNum=0&amp;trk=public_jobs_jserp-result_search-card", "Job Link")</f>
        <v>Job Link</v>
      </c>
      <c r="H2681" t="s">
        <v>479</v>
      </c>
      <c r="I2681" t="s">
        <v>481</v>
      </c>
      <c r="J2681" t="s">
        <v>507</v>
      </c>
      <c r="K2681" t="s">
        <v>559</v>
      </c>
      <c r="L2681" t="s">
        <v>588</v>
      </c>
      <c r="M2681" t="s">
        <v>601</v>
      </c>
    </row>
    <row r="2682" spans="1:14" x14ac:dyDescent="0.25">
      <c r="A2682" t="s">
        <v>27</v>
      </c>
      <c r="B2682" t="s">
        <v>248</v>
      </c>
      <c r="C2682" t="s">
        <v>411</v>
      </c>
      <c r="D2682" t="s">
        <v>426</v>
      </c>
      <c r="F2682" t="s">
        <v>471</v>
      </c>
      <c r="G2682" t="str">
        <f>HYPERLINK("https://ca.linkedin.com/jobs/view/sr-data-analyst-at-robert-half-3367050906?refId=aH6qxKGWO0vLEzfbqpB0TQ%3D%3D&amp;trackingId=vv%2BsV2aLypZrHz7fPY9UTg%3D%3D&amp;position=8&amp;pageNum=0&amp;trk=public_jobs_jserp-result_search-card", "Job Link")</f>
        <v>Job Link</v>
      </c>
      <c r="H2682" t="s">
        <v>478</v>
      </c>
      <c r="I2682" t="s">
        <v>483</v>
      </c>
      <c r="J2682" t="s">
        <v>486</v>
      </c>
      <c r="K2682" t="s">
        <v>518</v>
      </c>
      <c r="L2682" t="s">
        <v>582</v>
      </c>
      <c r="M2682" t="s">
        <v>588</v>
      </c>
      <c r="N2682" t="s">
        <v>601</v>
      </c>
    </row>
    <row r="2683" spans="1:14" x14ac:dyDescent="0.25">
      <c r="A2683" t="s">
        <v>37</v>
      </c>
      <c r="B2683" t="s">
        <v>249</v>
      </c>
      <c r="C2683" t="s">
        <v>412</v>
      </c>
      <c r="D2683" t="s">
        <v>426</v>
      </c>
      <c r="F2683" t="s">
        <v>432</v>
      </c>
      <c r="G2683" t="str">
        <f>HYPERLINK("https://ca.linkedin.com/jobs/view/data-engineer-at-day-ross-3358670275?refId=aH6qxKGWO0vLEzfbqpB0TQ%3D%3D&amp;trackingId=c7HcvyEp%2FdH17lPNpAtCFQ%3D%3D&amp;position=9&amp;pageNum=0&amp;trk=public_jobs_jserp-result_search-card", "Job Link")</f>
        <v>Job Link</v>
      </c>
      <c r="H2683" t="s">
        <v>478</v>
      </c>
      <c r="I2683" t="s">
        <v>481</v>
      </c>
      <c r="J2683" t="s">
        <v>514</v>
      </c>
      <c r="K2683" t="s">
        <v>578</v>
      </c>
      <c r="L2683" t="s">
        <v>614</v>
      </c>
      <c r="M2683" t="s">
        <v>601</v>
      </c>
    </row>
    <row r="2684" spans="1:14" x14ac:dyDescent="0.25">
      <c r="A2684" t="s">
        <v>83</v>
      </c>
      <c r="B2684" t="s">
        <v>215</v>
      </c>
      <c r="C2684" t="s">
        <v>373</v>
      </c>
      <c r="D2684" t="s">
        <v>426</v>
      </c>
      <c r="F2684" t="s">
        <v>462</v>
      </c>
      <c r="G2684">
        <v>0</v>
      </c>
      <c r="H2684" t="s">
        <v>478</v>
      </c>
      <c r="I2684" t="s">
        <v>483</v>
      </c>
      <c r="J2684" t="s">
        <v>509</v>
      </c>
      <c r="K2684" t="s">
        <v>550</v>
      </c>
      <c r="L2684" t="s">
        <v>584</v>
      </c>
      <c r="M2684" t="s">
        <v>588</v>
      </c>
      <c r="N2684" t="s">
        <v>601</v>
      </c>
    </row>
    <row r="2685" spans="1:14" x14ac:dyDescent="0.25">
      <c r="A2685" t="s">
        <v>112</v>
      </c>
      <c r="B2685" t="s">
        <v>250</v>
      </c>
      <c r="C2685" t="s">
        <v>413</v>
      </c>
      <c r="D2685" t="s">
        <v>426</v>
      </c>
      <c r="F2685" t="s">
        <v>452</v>
      </c>
      <c r="G2685" t="str">
        <f>HYPERLINK("https://ca.linkedin.com/jobs/view/data-engineer-azure-at-tiger-analytics-3362019975?refId=aH6qxKGWO0vLEzfbqpB0TQ%3D%3D&amp;trackingId=NK66Whvats9bJriYLSYpTQ%3D%3D&amp;position=11&amp;pageNum=0&amp;trk=public_jobs_jserp-result_search-card", "Job Link")</f>
        <v>Job Link</v>
      </c>
      <c r="H2685" t="s">
        <v>476</v>
      </c>
      <c r="I2685" t="s">
        <v>481</v>
      </c>
      <c r="J2685" t="s">
        <v>486</v>
      </c>
      <c r="K2685" t="s">
        <v>568</v>
      </c>
      <c r="L2685" t="s">
        <v>582</v>
      </c>
      <c r="M2685" t="s">
        <v>588</v>
      </c>
      <c r="N2685" t="s">
        <v>601</v>
      </c>
    </row>
    <row r="2686" spans="1:14" x14ac:dyDescent="0.25">
      <c r="A2686" t="s">
        <v>39</v>
      </c>
      <c r="B2686" t="s">
        <v>251</v>
      </c>
      <c r="C2686" t="s">
        <v>414</v>
      </c>
      <c r="D2686" t="s">
        <v>426</v>
      </c>
      <c r="F2686" t="s">
        <v>435</v>
      </c>
      <c r="G2686" t="str">
        <f>HYPERLINK("https://ca.linkedin.com/jobs/view/business-intelligence-analyst-at-mevotech-3341631938?refId=aH6qxKGWO0vLEzfbqpB0TQ%3D%3D&amp;trackingId=kmGZtiqgLV2ZU6jObqArKw%3D%3D&amp;position=12&amp;pageNum=0&amp;trk=public_jobs_jserp-result_search-card", "Job Link")</f>
        <v>Job Link</v>
      </c>
      <c r="H2686" t="s">
        <v>478</v>
      </c>
      <c r="I2686" t="s">
        <v>481</v>
      </c>
      <c r="J2686" t="s">
        <v>492</v>
      </c>
      <c r="K2686" t="s">
        <v>561</v>
      </c>
      <c r="L2686" t="s">
        <v>615</v>
      </c>
      <c r="M2686" t="s">
        <v>588</v>
      </c>
      <c r="N2686" t="s">
        <v>601</v>
      </c>
    </row>
    <row r="2687" spans="1:14" x14ac:dyDescent="0.25">
      <c r="A2687" t="s">
        <v>107</v>
      </c>
      <c r="B2687" t="s">
        <v>241</v>
      </c>
      <c r="C2687" t="s">
        <v>402</v>
      </c>
      <c r="D2687" t="s">
        <v>426</v>
      </c>
      <c r="F2687" t="s">
        <v>439</v>
      </c>
      <c r="G2687" t="str">
        <f>HYPERLINK("https://ca.linkedin.com/jobs/view/business-intelligence-analyst-at-allstate-canada-3152073578?refId=aH6qxKGWO0vLEzfbqpB0TQ%3D%3D&amp;trackingId=pxQiUr9rzxBTE%2FSs06mhvg%3D%3D&amp;position=13&amp;pageNum=0&amp;trk=public_jobs_jserp-result_search-card", "Job Link")</f>
        <v>Job Link</v>
      </c>
      <c r="H2687" t="s">
        <v>477</v>
      </c>
      <c r="I2687" t="s">
        <v>481</v>
      </c>
      <c r="J2687" t="s">
        <v>492</v>
      </c>
      <c r="K2687" t="s">
        <v>575</v>
      </c>
      <c r="L2687" t="s">
        <v>591</v>
      </c>
      <c r="M2687" t="s">
        <v>588</v>
      </c>
      <c r="N2687" t="s">
        <v>601</v>
      </c>
    </row>
    <row r="2688" spans="1:14" x14ac:dyDescent="0.25">
      <c r="A2688" t="s">
        <v>113</v>
      </c>
      <c r="B2688" t="s">
        <v>252</v>
      </c>
      <c r="C2688" t="s">
        <v>415</v>
      </c>
      <c r="D2688" t="s">
        <v>426</v>
      </c>
      <c r="F2688" t="s">
        <v>452</v>
      </c>
      <c r="G2688" t="str">
        <f>HYPERLINK("https://ca.linkedin.com/jobs/view/data-engineer-with-ai-ml-analytics-platforms-at-arisoft-3363702970?refId=aH6qxKGWO0vLEzfbqpB0TQ%3D%3D&amp;trackingId=B1eKluUp4zvCskf3qNL0Gw%3D%3D&amp;position=14&amp;pageNum=0&amp;trk=public_jobs_jserp-result_search-card", "Job Link")</f>
        <v>Job Link</v>
      </c>
      <c r="H2688" t="s">
        <v>476</v>
      </c>
      <c r="I2688" t="s">
        <v>481</v>
      </c>
      <c r="J2688" t="s">
        <v>486</v>
      </c>
      <c r="K2688" t="s">
        <v>521</v>
      </c>
      <c r="L2688" t="s">
        <v>582</v>
      </c>
      <c r="M2688" t="s">
        <v>588</v>
      </c>
      <c r="N2688" t="s">
        <v>601</v>
      </c>
    </row>
    <row r="2689" spans="1:14" x14ac:dyDescent="0.25">
      <c r="A2689" t="s">
        <v>104</v>
      </c>
      <c r="B2689" t="s">
        <v>239</v>
      </c>
      <c r="C2689" t="s">
        <v>401</v>
      </c>
      <c r="D2689" t="s">
        <v>426</v>
      </c>
      <c r="F2689" t="s">
        <v>432</v>
      </c>
      <c r="G2689" t="str">
        <f>HYPERLINK("https://ca.linkedin.com/jobs/view/powerbi-specialist-at-ledcor-3363642196?refId=aH6qxKGWO0vLEzfbqpB0TQ%3D%3D&amp;trackingId=%2FJdbSehSqqoaciPVaT3U4w%3D%3D&amp;position=15&amp;pageNum=0&amp;trk=public_jobs_jserp-result_search-card", "Job Link")</f>
        <v>Job Link</v>
      </c>
      <c r="H2689" t="s">
        <v>478</v>
      </c>
      <c r="I2689" t="s">
        <v>481</v>
      </c>
      <c r="J2689" t="s">
        <v>485</v>
      </c>
      <c r="K2689" t="s">
        <v>531</v>
      </c>
      <c r="L2689" t="s">
        <v>583</v>
      </c>
      <c r="M2689" t="s">
        <v>610</v>
      </c>
      <c r="N2689" t="s">
        <v>601</v>
      </c>
    </row>
    <row r="2690" spans="1:14" x14ac:dyDescent="0.25">
      <c r="A2690" t="s">
        <v>114</v>
      </c>
      <c r="B2690" t="s">
        <v>253</v>
      </c>
      <c r="C2690" t="s">
        <v>416</v>
      </c>
      <c r="D2690" t="s">
        <v>426</v>
      </c>
      <c r="F2690" t="s">
        <v>440</v>
      </c>
      <c r="G2690" t="str">
        <f>HYPERLINK("https://ca.linkedin.com/jobs/view/senior-analyst-cyber-governance-data-analytics-at-liberty-3366408975?refId=aH6qxKGWO0vLEzfbqpB0TQ%3D%3D&amp;trackingId=YatuQt0GMtMhcLI75psvpQ%3D%3D&amp;position=16&amp;pageNum=0&amp;trk=public_jobs_jserp-result_search-card", "Job Link")</f>
        <v>Job Link</v>
      </c>
      <c r="H2690" t="s">
        <v>478</v>
      </c>
      <c r="I2690" t="s">
        <v>481</v>
      </c>
      <c r="J2690" t="s">
        <v>486</v>
      </c>
      <c r="K2690" t="s">
        <v>579</v>
      </c>
      <c r="L2690" t="s">
        <v>612</v>
      </c>
      <c r="M2690" t="s">
        <v>588</v>
      </c>
      <c r="N2690" t="s">
        <v>601</v>
      </c>
    </row>
    <row r="2691" spans="1:14" x14ac:dyDescent="0.25">
      <c r="A2691" t="s">
        <v>37</v>
      </c>
      <c r="B2691" t="s">
        <v>227</v>
      </c>
      <c r="C2691" t="s">
        <v>417</v>
      </c>
      <c r="D2691" t="s">
        <v>426</v>
      </c>
      <c r="F2691" t="s">
        <v>438</v>
      </c>
      <c r="G2691" t="str">
        <f>HYPERLINK("https://ca.linkedin.com/jobs/view/data-engineer-at-four-seasons-hotels-and-resorts-3321427940?refId=aH6qxKGWO0vLEzfbqpB0TQ%3D%3D&amp;trackingId=1dPTRhB5XPjkETzXZDHEAA%3D%3D&amp;position=17&amp;pageNum=0&amp;trk=public_jobs_jserp-result_search-card", "Job Link")</f>
        <v>Job Link</v>
      </c>
      <c r="H2691" t="s">
        <v>479</v>
      </c>
      <c r="I2691" t="s">
        <v>481</v>
      </c>
      <c r="J2691" t="s">
        <v>486</v>
      </c>
      <c r="K2691" t="s">
        <v>569</v>
      </c>
      <c r="L2691" t="s">
        <v>582</v>
      </c>
      <c r="M2691" t="s">
        <v>588</v>
      </c>
      <c r="N2691" t="s">
        <v>601</v>
      </c>
    </row>
    <row r="2692" spans="1:14" x14ac:dyDescent="0.25">
      <c r="A2692" t="s">
        <v>115</v>
      </c>
      <c r="B2692" t="s">
        <v>254</v>
      </c>
      <c r="C2692" t="s">
        <v>418</v>
      </c>
      <c r="D2692" t="s">
        <v>426</v>
      </c>
      <c r="F2692" t="s">
        <v>438</v>
      </c>
      <c r="G2692" t="str">
        <f>HYPERLINK("https://ca.linkedin.com/jobs/view/marketing-data-analyst-at-xero-3356700547?refId=aH6qxKGWO0vLEzfbqpB0TQ%3D%3D&amp;trackingId=f9kORHzGUYBXnnALqqXShA%3D%3D&amp;position=18&amp;pageNum=0&amp;trk=public_jobs_jserp-result_search-card", "Job Link")</f>
        <v>Job Link</v>
      </c>
      <c r="H2692" t="s">
        <v>478</v>
      </c>
      <c r="I2692" t="s">
        <v>481</v>
      </c>
      <c r="J2692" t="s">
        <v>486</v>
      </c>
      <c r="K2692" t="s">
        <v>516</v>
      </c>
      <c r="L2692" t="s">
        <v>582</v>
      </c>
      <c r="M2692" t="s">
        <v>588</v>
      </c>
      <c r="N2692" t="s">
        <v>601</v>
      </c>
    </row>
    <row r="2693" spans="1:14" x14ac:dyDescent="0.25">
      <c r="A2693" t="s">
        <v>116</v>
      </c>
      <c r="B2693" t="s">
        <v>154</v>
      </c>
      <c r="C2693" t="s">
        <v>419</v>
      </c>
      <c r="D2693" t="s">
        <v>426</v>
      </c>
      <c r="F2693" t="s">
        <v>440</v>
      </c>
      <c r="G2693" t="str">
        <f>HYPERLINK("https://ca.linkedin.com/jobs/view/business-data-analyst-finance-at-brp-3370335308?refId=aH6qxKGWO0vLEzfbqpB0TQ%3D%3D&amp;trackingId=Zp76gmmXg4OMFjcaIJLqFQ%3D%3D&amp;position=19&amp;pageNum=0&amp;trk=public_jobs_jserp-result_search-card", "Job Link")</f>
        <v>Job Link</v>
      </c>
      <c r="H2693" t="s">
        <v>478</v>
      </c>
      <c r="I2693" t="s">
        <v>481</v>
      </c>
      <c r="J2693" t="s">
        <v>486</v>
      </c>
      <c r="K2693" t="s">
        <v>542</v>
      </c>
      <c r="L2693" t="s">
        <v>599</v>
      </c>
    </row>
    <row r="2694" spans="1:14" x14ac:dyDescent="0.25">
      <c r="A2694" t="s">
        <v>37</v>
      </c>
      <c r="B2694" t="s">
        <v>203</v>
      </c>
      <c r="C2694" t="s">
        <v>420</v>
      </c>
      <c r="D2694" t="s">
        <v>426</v>
      </c>
      <c r="F2694" t="s">
        <v>439</v>
      </c>
      <c r="G2694" t="str">
        <f>HYPERLINK("https://ca.linkedin.com/jobs/view/data-engineer-at-quantiphi-3359118284?refId=aH6qxKGWO0vLEzfbqpB0TQ%3D%3D&amp;trackingId=99Ua8U9UKSGvlM1RRX%2BthQ%3D%3D&amp;position=20&amp;pageNum=0&amp;trk=public_jobs_jserp-result_search-card", "Job Link")</f>
        <v>Job Link</v>
      </c>
      <c r="H2694" t="s">
        <v>477</v>
      </c>
      <c r="I2694" t="s">
        <v>481</v>
      </c>
      <c r="J2694" t="s">
        <v>486</v>
      </c>
      <c r="K2694" t="s">
        <v>521</v>
      </c>
      <c r="L2694" t="s">
        <v>588</v>
      </c>
      <c r="M2694" t="s">
        <v>601</v>
      </c>
    </row>
    <row r="2695" spans="1:14" x14ac:dyDescent="0.25">
      <c r="A2695" t="s">
        <v>14</v>
      </c>
      <c r="B2695" t="s">
        <v>255</v>
      </c>
      <c r="C2695" t="s">
        <v>421</v>
      </c>
      <c r="D2695" t="s">
        <v>426</v>
      </c>
      <c r="F2695" t="s">
        <v>432</v>
      </c>
      <c r="G2695" t="str">
        <f>HYPERLINK("https://ca.linkedin.com/jobs/view/data-analyst-at-iaa-canada-3098496665?refId=aH6qxKGWO0vLEzfbqpB0TQ%3D%3D&amp;trackingId=Y%2BN%2Fqwh63Au%2BfgJ5pNvI%2Fg%3D%3D&amp;position=21&amp;pageNum=0&amp;trk=public_jobs_jserp-result_search-card", "Job Link")</f>
        <v>Job Link</v>
      </c>
      <c r="H2695" t="s">
        <v>476</v>
      </c>
      <c r="I2695" t="s">
        <v>481</v>
      </c>
      <c r="J2695" t="s">
        <v>486</v>
      </c>
      <c r="K2695" t="s">
        <v>561</v>
      </c>
      <c r="L2695" t="s">
        <v>584</v>
      </c>
      <c r="M2695" t="s">
        <v>588</v>
      </c>
      <c r="N2695" t="s">
        <v>601</v>
      </c>
    </row>
    <row r="2696" spans="1:14" x14ac:dyDescent="0.25">
      <c r="A2696" t="s">
        <v>82</v>
      </c>
      <c r="B2696" t="s">
        <v>256</v>
      </c>
      <c r="C2696" t="s">
        <v>422</v>
      </c>
      <c r="D2696" t="s">
        <v>426</v>
      </c>
      <c r="F2696" t="s">
        <v>453</v>
      </c>
      <c r="G2696" t="str">
        <f>HYPERLINK("https://ca.linkedin.com/jobs/view/business-data-analyst-at-ama-alberta-motor-association-3360877211?refId=aH6qxKGWO0vLEzfbqpB0TQ%3D%3D&amp;trackingId=Po0m1Gk1tCyGLDdquNARIw%3D%3D&amp;position=22&amp;pageNum=0&amp;trk=public_jobs_jserp-result_search-card", "Job Link")</f>
        <v>Job Link</v>
      </c>
      <c r="H2696" t="s">
        <v>478</v>
      </c>
      <c r="I2696" t="s">
        <v>481</v>
      </c>
      <c r="J2696" t="s">
        <v>486</v>
      </c>
      <c r="K2696" t="s">
        <v>580</v>
      </c>
      <c r="L2696" t="s">
        <v>609</v>
      </c>
      <c r="M2696" t="s">
        <v>610</v>
      </c>
      <c r="N2696" t="s">
        <v>601</v>
      </c>
    </row>
    <row r="2697" spans="1:14" x14ac:dyDescent="0.25">
      <c r="A2697" t="s">
        <v>117</v>
      </c>
      <c r="B2697" t="s">
        <v>257</v>
      </c>
      <c r="C2697" t="s">
        <v>423</v>
      </c>
      <c r="D2697" t="s">
        <v>426</v>
      </c>
      <c r="F2697" t="s">
        <v>443</v>
      </c>
      <c r="G2697" t="str">
        <f>HYPERLINK("https://ca.linkedin.com/jobs/view/seo-data-analyst-at-labelium-3363437631?refId=aH6qxKGWO0vLEzfbqpB0TQ%3D%3D&amp;trackingId=BXScooI9F%2Fhm5DQgMYEosQ%3D%3D&amp;position=23&amp;pageNum=0&amp;trk=public_jobs_jserp-result_search-card", "Job Link")</f>
        <v>Job Link</v>
      </c>
      <c r="H2697" t="s">
        <v>477</v>
      </c>
      <c r="I2697" t="s">
        <v>481</v>
      </c>
      <c r="J2697" t="s">
        <v>515</v>
      </c>
      <c r="K2697" t="s">
        <v>541</v>
      </c>
      <c r="L2697" t="s">
        <v>586</v>
      </c>
      <c r="M2697" t="s">
        <v>617</v>
      </c>
      <c r="N2697" t="s">
        <v>601</v>
      </c>
    </row>
    <row r="2698" spans="1:14" x14ac:dyDescent="0.25">
      <c r="A2698" t="s">
        <v>14</v>
      </c>
      <c r="B2698" t="s">
        <v>213</v>
      </c>
      <c r="C2698" t="s">
        <v>371</v>
      </c>
      <c r="D2698" t="s">
        <v>426</v>
      </c>
      <c r="F2698" t="s">
        <v>472</v>
      </c>
      <c r="G2698" t="str">
        <f>HYPERLINK("https://ca.linkedin.com/jobs/view/data-analyst-at-linkus-group-3345817125?refId=aH6qxKGWO0vLEzfbqpB0TQ%3D%3D&amp;trackingId=qHr45853zMLKdKbSbMmz7w%3D%3D&amp;position=24&amp;pageNum=0&amp;trk=public_jobs_jserp-result_search-card", "Job Link")</f>
        <v>Job Link</v>
      </c>
      <c r="H2698" t="s">
        <v>476</v>
      </c>
      <c r="I2698" t="s">
        <v>481</v>
      </c>
      <c r="J2698" t="s">
        <v>486</v>
      </c>
      <c r="K2698" t="s">
        <v>518</v>
      </c>
      <c r="L2698" t="s">
        <v>588</v>
      </c>
      <c r="M2698" t="s">
        <v>601</v>
      </c>
    </row>
    <row r="2699" spans="1:14" x14ac:dyDescent="0.25">
      <c r="A2699" t="s">
        <v>108</v>
      </c>
      <c r="B2699" t="s">
        <v>230</v>
      </c>
      <c r="C2699" t="s">
        <v>403</v>
      </c>
      <c r="D2699" t="s">
        <v>426</v>
      </c>
      <c r="F2699" t="s">
        <v>439</v>
      </c>
      <c r="G2699" t="str">
        <f>HYPERLINK("https://ca.linkedin.com/jobs/view/analyst-data-science-fr-at-ig-wealth-management-3355843696?refId=aH6qxKGWO0vLEzfbqpB0TQ%3D%3D&amp;trackingId=8k22ZqfSADz7UXxsBLph8g%3D%3D&amp;position=25&amp;pageNum=0&amp;trk=public_jobs_jserp-result_search-card", "Job Link")</f>
        <v>Job Link</v>
      </c>
      <c r="H2699" t="s">
        <v>476</v>
      </c>
      <c r="I2699" t="s">
        <v>481</v>
      </c>
      <c r="J2699" t="s">
        <v>486</v>
      </c>
      <c r="K2699" t="s">
        <v>527</v>
      </c>
      <c r="L2699" t="s">
        <v>616</v>
      </c>
      <c r="M2699" t="s">
        <v>619</v>
      </c>
      <c r="N2699" t="s">
        <v>601</v>
      </c>
    </row>
    <row r="2700" spans="1:14" x14ac:dyDescent="0.25">
      <c r="A2700" t="s">
        <v>14</v>
      </c>
      <c r="B2700" t="s">
        <v>207</v>
      </c>
      <c r="C2700" t="s">
        <v>362</v>
      </c>
      <c r="D2700" t="s">
        <v>426</v>
      </c>
      <c r="F2700" t="s">
        <v>463</v>
      </c>
      <c r="G2700" t="str">
        <f>HYPERLINK("https://ca.linkedin.com/jobs/view/data-analyst-at-onlia-3320897897?refId=0flizULGnJjXMgE1UPXpjg%3D%3D&amp;trackingId=5CXMwCVJDqd5KOXYSN5Wdw%3D%3D&amp;position=1&amp;pageNum=0&amp;trk=public_jobs_jserp-result_search-card", "Job Link")</f>
        <v>Job Link</v>
      </c>
      <c r="H2700" t="s">
        <v>477</v>
      </c>
      <c r="I2700" t="s">
        <v>481</v>
      </c>
      <c r="J2700" t="s">
        <v>486</v>
      </c>
      <c r="K2700" t="s">
        <v>523</v>
      </c>
      <c r="L2700" t="s">
        <v>582</v>
      </c>
      <c r="M2700" t="s">
        <v>588</v>
      </c>
      <c r="N2700" t="s">
        <v>601</v>
      </c>
    </row>
    <row r="2701" spans="1:14" x14ac:dyDescent="0.25">
      <c r="A2701" t="s">
        <v>14</v>
      </c>
      <c r="B2701" t="s">
        <v>208</v>
      </c>
      <c r="C2701" t="s">
        <v>363</v>
      </c>
      <c r="D2701" t="s">
        <v>426</v>
      </c>
      <c r="F2701" t="s">
        <v>445</v>
      </c>
      <c r="G2701" t="str">
        <f>HYPERLINK("https://ca.linkedin.com/jobs/view/data-analyst-at-electronic-arts-ea-3325611825?refId=0flizULGnJjXMgE1UPXpjg%3D%3D&amp;trackingId=%2FR7ZIdAfsD1OaFm2CD64Vg%3D%3D&amp;position=2&amp;pageNum=0&amp;trk=public_jobs_jserp-result_search-card", "Job Link")</f>
        <v>Job Link</v>
      </c>
      <c r="H2701" t="s">
        <v>479</v>
      </c>
      <c r="I2701" t="s">
        <v>481</v>
      </c>
      <c r="J2701" t="s">
        <v>507</v>
      </c>
      <c r="K2701" t="s">
        <v>559</v>
      </c>
      <c r="L2701" t="s">
        <v>582</v>
      </c>
      <c r="M2701" t="s">
        <v>588</v>
      </c>
      <c r="N2701" t="s">
        <v>601</v>
      </c>
    </row>
    <row r="2702" spans="1:14" x14ac:dyDescent="0.25">
      <c r="A2702" t="s">
        <v>14</v>
      </c>
      <c r="B2702" t="s">
        <v>209</v>
      </c>
      <c r="C2702" t="s">
        <v>364</v>
      </c>
      <c r="D2702" t="s">
        <v>426</v>
      </c>
      <c r="F2702" t="s">
        <v>440</v>
      </c>
      <c r="G2702" t="str">
        <f>HYPERLINK("https://ca.linkedin.com/jobs/view/data-analyst-at-frostbite-3370111856?refId=0flizULGnJjXMgE1UPXpjg%3D%3D&amp;trackingId=8rinvzyCKgeNoegnICR30Q%3D%3D&amp;position=3&amp;pageNum=0&amp;trk=public_jobs_jserp-result_search-card", "Job Link")</f>
        <v>Job Link</v>
      </c>
      <c r="H2702" t="s">
        <v>479</v>
      </c>
      <c r="I2702" t="s">
        <v>481</v>
      </c>
      <c r="J2702" t="s">
        <v>507</v>
      </c>
      <c r="K2702" t="s">
        <v>559</v>
      </c>
      <c r="L2702" t="s">
        <v>590</v>
      </c>
      <c r="M2702" t="s">
        <v>618</v>
      </c>
      <c r="N2702" t="s">
        <v>601</v>
      </c>
    </row>
    <row r="2703" spans="1:14" x14ac:dyDescent="0.25">
      <c r="A2703" t="s">
        <v>14</v>
      </c>
      <c r="B2703" t="s">
        <v>211</v>
      </c>
      <c r="C2703" t="s">
        <v>366</v>
      </c>
      <c r="D2703" t="s">
        <v>426</v>
      </c>
      <c r="F2703" t="s">
        <v>443</v>
      </c>
      <c r="G2703" t="str">
        <f>HYPERLINK("https://ca.linkedin.com/jobs/view/data-analyst-at-mphasis-3363428246?refId=0flizULGnJjXMgE1UPXpjg%3D%3D&amp;trackingId=3IfYSVn0PSjMilsW0FgotA%3D%3D&amp;position=4&amp;pageNum=0&amp;trk=public_jobs_jserp-result_search-card", "Job Link")</f>
        <v>Job Link</v>
      </c>
      <c r="H2703" t="s">
        <v>477</v>
      </c>
      <c r="I2703" t="s">
        <v>481</v>
      </c>
      <c r="J2703" t="s">
        <v>486</v>
      </c>
      <c r="K2703" t="s">
        <v>521</v>
      </c>
      <c r="L2703" t="s">
        <v>609</v>
      </c>
      <c r="M2703" t="s">
        <v>610</v>
      </c>
      <c r="N2703" t="s">
        <v>601</v>
      </c>
    </row>
    <row r="2704" spans="1:14" x14ac:dyDescent="0.25">
      <c r="A2704" t="s">
        <v>81</v>
      </c>
      <c r="B2704" t="s">
        <v>210</v>
      </c>
      <c r="C2704" t="s">
        <v>365</v>
      </c>
      <c r="D2704" t="s">
        <v>426</v>
      </c>
      <c r="F2704" t="s">
        <v>436</v>
      </c>
      <c r="G2704" t="str">
        <f>HYPERLINK("https://ca.linkedin.com/jobs/view/data-analyst-c117-at-mitsubishi-motor-sales-of-canada-inc-3344852931?refId=0flizULGnJjXMgE1UPXpjg%3D%3D&amp;trackingId=flUoTBOHvZwEH1Ho%2B0oMKg%3D%3D&amp;position=5&amp;pageNum=0&amp;trk=public_jobs_jserp-result_search-card", "Job Link")</f>
        <v>Job Link</v>
      </c>
      <c r="H2704" t="s">
        <v>477</v>
      </c>
      <c r="I2704" t="s">
        <v>481</v>
      </c>
      <c r="J2704" t="s">
        <v>508</v>
      </c>
      <c r="K2704" t="s">
        <v>561</v>
      </c>
      <c r="L2704" t="s">
        <v>584</v>
      </c>
      <c r="M2704" t="s">
        <v>588</v>
      </c>
      <c r="N2704" t="s">
        <v>601</v>
      </c>
    </row>
    <row r="2705" spans="1:14" x14ac:dyDescent="0.25">
      <c r="A2705" t="s">
        <v>14</v>
      </c>
      <c r="B2705" t="s">
        <v>150</v>
      </c>
      <c r="C2705" t="s">
        <v>367</v>
      </c>
      <c r="D2705" t="s">
        <v>426</v>
      </c>
      <c r="F2705" t="s">
        <v>433</v>
      </c>
      <c r="G2705" t="str">
        <f>HYPERLINK("https://ca.linkedin.com/jobs/view/data-analyst-at-synechron-3348329085?refId=0flizULGnJjXMgE1UPXpjg%3D%3D&amp;trackingId=ycZiCab%2BTGsaN9WEo9oF0Q%3D%3D&amp;position=6&amp;pageNum=0&amp;trk=public_jobs_jserp-result_search-card", "Job Link")</f>
        <v>Job Link</v>
      </c>
      <c r="H2705" t="s">
        <v>478</v>
      </c>
      <c r="I2705" t="s">
        <v>481</v>
      </c>
      <c r="J2705" t="s">
        <v>486</v>
      </c>
      <c r="K2705" t="s">
        <v>562</v>
      </c>
      <c r="L2705" t="s">
        <v>584</v>
      </c>
      <c r="M2705" t="s">
        <v>588</v>
      </c>
      <c r="N2705" t="s">
        <v>601</v>
      </c>
    </row>
    <row r="2706" spans="1:14" x14ac:dyDescent="0.25">
      <c r="A2706" t="s">
        <v>82</v>
      </c>
      <c r="B2706" t="s">
        <v>179</v>
      </c>
      <c r="C2706" t="s">
        <v>368</v>
      </c>
      <c r="D2706" t="s">
        <v>426</v>
      </c>
      <c r="F2706" t="s">
        <v>471</v>
      </c>
      <c r="G2706" t="str">
        <f>HYPERLINK("https://ca.linkedin.com/jobs/view/business-data-analyst-at-capgemini-3327624663?refId=0flizULGnJjXMgE1UPXpjg%3D%3D&amp;trackingId=rmQMzvRtXypOTy8IqCN%2FZA%3D%3D&amp;position=7&amp;pageNum=0&amp;trk=public_jobs_jserp-result_search-card", "Job Link")</f>
        <v>Job Link</v>
      </c>
      <c r="H2706" t="s">
        <v>478</v>
      </c>
      <c r="I2706" t="s">
        <v>481</v>
      </c>
      <c r="J2706" t="s">
        <v>486</v>
      </c>
      <c r="K2706" t="s">
        <v>521</v>
      </c>
      <c r="L2706" t="s">
        <v>611</v>
      </c>
      <c r="M2706" t="s">
        <v>601</v>
      </c>
    </row>
    <row r="2707" spans="1:14" x14ac:dyDescent="0.25">
      <c r="A2707" t="s">
        <v>14</v>
      </c>
      <c r="B2707" t="s">
        <v>150</v>
      </c>
      <c r="C2707" t="s">
        <v>369</v>
      </c>
      <c r="D2707" t="s">
        <v>426</v>
      </c>
      <c r="F2707" t="s">
        <v>460</v>
      </c>
      <c r="G2707" t="str">
        <f>HYPERLINK("https://ca.linkedin.com/jobs/view/data-analyst-at-synechron-3364863079?refId=0flizULGnJjXMgE1UPXpjg%3D%3D&amp;trackingId=pZLeUSwQgqm%2BpsLsZsyZ9w%3D%3D&amp;position=8&amp;pageNum=0&amp;trk=public_jobs_jserp-result_search-card", "Job Link")</f>
        <v>Job Link</v>
      </c>
      <c r="H2707" t="s">
        <v>478</v>
      </c>
      <c r="I2707" t="s">
        <v>481</v>
      </c>
      <c r="J2707" t="s">
        <v>486</v>
      </c>
      <c r="K2707" t="s">
        <v>563</v>
      </c>
      <c r="L2707" t="s">
        <v>584</v>
      </c>
      <c r="M2707" t="s">
        <v>588</v>
      </c>
      <c r="N2707" t="s">
        <v>601</v>
      </c>
    </row>
    <row r="2708" spans="1:14" x14ac:dyDescent="0.25">
      <c r="A2708" t="s">
        <v>14</v>
      </c>
      <c r="B2708" t="s">
        <v>150</v>
      </c>
      <c r="C2708" t="s">
        <v>367</v>
      </c>
      <c r="D2708" t="s">
        <v>426</v>
      </c>
      <c r="F2708" t="s">
        <v>460</v>
      </c>
      <c r="G2708" t="str">
        <f>HYPERLINK("https://ca.linkedin.com/jobs/view/data-analyst-at-synechron-3361756851?refId=0flizULGnJjXMgE1UPXpjg%3D%3D&amp;trackingId=uiaD%2F4vF0vxy1pLGa6MYWw%3D%3D&amp;position=9&amp;pageNum=0&amp;trk=public_jobs_jserp-result_search-card", "Job Link")</f>
        <v>Job Link</v>
      </c>
      <c r="H2708" t="s">
        <v>478</v>
      </c>
      <c r="I2708" t="s">
        <v>481</v>
      </c>
      <c r="J2708" t="s">
        <v>486</v>
      </c>
      <c r="K2708" t="s">
        <v>562</v>
      </c>
      <c r="L2708" t="s">
        <v>584</v>
      </c>
      <c r="M2708" t="s">
        <v>588</v>
      </c>
      <c r="N2708" t="s">
        <v>601</v>
      </c>
    </row>
    <row r="2709" spans="1:14" x14ac:dyDescent="0.25">
      <c r="A2709" t="s">
        <v>14</v>
      </c>
      <c r="B2709" t="s">
        <v>212</v>
      </c>
      <c r="C2709" t="s">
        <v>370</v>
      </c>
      <c r="D2709" t="s">
        <v>426</v>
      </c>
      <c r="F2709" t="s">
        <v>432</v>
      </c>
      <c r="G2709" t="str">
        <f>HYPERLINK("https://ca.linkedin.com/jobs/view/data-analyst-at-agilus-work-solutions-3358673093?refId=0flizULGnJjXMgE1UPXpjg%3D%3D&amp;trackingId=lc%2FEZtg2PMgtcNNGOD%2BKgg%3D%3D&amp;position=10&amp;pageNum=0&amp;trk=public_jobs_jserp-result_search-card", "Job Link")</f>
        <v>Job Link</v>
      </c>
      <c r="H2709" t="s">
        <v>477</v>
      </c>
      <c r="I2709" t="s">
        <v>483</v>
      </c>
      <c r="J2709" t="s">
        <v>486</v>
      </c>
      <c r="K2709" t="s">
        <v>518</v>
      </c>
      <c r="L2709" t="s">
        <v>582</v>
      </c>
      <c r="M2709" t="s">
        <v>588</v>
      </c>
      <c r="N2709" t="s">
        <v>601</v>
      </c>
    </row>
    <row r="2710" spans="1:14" x14ac:dyDescent="0.25">
      <c r="A2710" t="s">
        <v>14</v>
      </c>
      <c r="B2710" t="s">
        <v>214</v>
      </c>
      <c r="C2710" t="s">
        <v>372</v>
      </c>
      <c r="D2710" t="s">
        <v>426</v>
      </c>
      <c r="F2710" t="s">
        <v>432</v>
      </c>
      <c r="G2710" t="str">
        <f>HYPERLINK("https://ca.linkedin.com/jobs/view/data-analyst-at-goeasy-ltd-3358677253?refId=0flizULGnJjXMgE1UPXpjg%3D%3D&amp;trackingId=i0VFij5Q3aoNUAAGDsKgPw%3D%3D&amp;position=11&amp;pageNum=0&amp;trk=public_jobs_jserp-result_search-card", "Job Link")</f>
        <v>Job Link</v>
      </c>
      <c r="H2710" t="s">
        <v>476</v>
      </c>
      <c r="I2710" t="s">
        <v>481</v>
      </c>
      <c r="J2710" t="s">
        <v>486</v>
      </c>
      <c r="K2710" t="s">
        <v>550</v>
      </c>
      <c r="L2710" t="s">
        <v>584</v>
      </c>
      <c r="M2710" t="s">
        <v>588</v>
      </c>
      <c r="N2710" t="s">
        <v>601</v>
      </c>
    </row>
    <row r="2711" spans="1:14" x14ac:dyDescent="0.25">
      <c r="A2711" t="s">
        <v>14</v>
      </c>
      <c r="B2711" t="s">
        <v>213</v>
      </c>
      <c r="C2711" t="s">
        <v>371</v>
      </c>
      <c r="D2711" t="s">
        <v>426</v>
      </c>
      <c r="F2711" t="s">
        <v>472</v>
      </c>
      <c r="G2711" t="str">
        <f>HYPERLINK("https://ca.linkedin.com/jobs/view/data-analyst-at-linkus-group-3345817125?refId=0flizULGnJjXMgE1UPXpjg%3D%3D&amp;trackingId=jRU%2BBRM7vWR9%2BsQARdC1Jg%3D%3D&amp;position=12&amp;pageNum=0&amp;trk=public_jobs_jserp-result_search-card", "Job Link")</f>
        <v>Job Link</v>
      </c>
      <c r="H2711" t="s">
        <v>476</v>
      </c>
      <c r="I2711" t="s">
        <v>481</v>
      </c>
      <c r="J2711" t="s">
        <v>486</v>
      </c>
      <c r="K2711" t="s">
        <v>518</v>
      </c>
      <c r="L2711" t="s">
        <v>588</v>
      </c>
      <c r="M2711" t="s">
        <v>601</v>
      </c>
    </row>
    <row r="2712" spans="1:14" x14ac:dyDescent="0.25">
      <c r="A2712" t="s">
        <v>83</v>
      </c>
      <c r="B2712" t="s">
        <v>215</v>
      </c>
      <c r="C2712" t="s">
        <v>373</v>
      </c>
      <c r="D2712" t="s">
        <v>426</v>
      </c>
      <c r="F2712" t="s">
        <v>462</v>
      </c>
      <c r="G2712">
        <v>0</v>
      </c>
      <c r="H2712" t="s">
        <v>478</v>
      </c>
      <c r="I2712" t="s">
        <v>483</v>
      </c>
      <c r="J2712" t="s">
        <v>509</v>
      </c>
      <c r="K2712" t="s">
        <v>550</v>
      </c>
      <c r="L2712" t="s">
        <v>584</v>
      </c>
      <c r="M2712" t="s">
        <v>588</v>
      </c>
      <c r="N2712" t="s">
        <v>601</v>
      </c>
    </row>
    <row r="2713" spans="1:14" x14ac:dyDescent="0.25">
      <c r="A2713" t="s">
        <v>91</v>
      </c>
      <c r="B2713" t="s">
        <v>224</v>
      </c>
      <c r="C2713" t="s">
        <v>384</v>
      </c>
      <c r="D2713" t="s">
        <v>426</v>
      </c>
      <c r="F2713" t="s">
        <v>431</v>
      </c>
      <c r="G2713" t="str">
        <f>HYPERLINK("https://ca.linkedin.com/jobs/view/commercial-data-analyst-at-organigram-inc-3367177254?refId=0flizULGnJjXMgE1UPXpjg%3D%3D&amp;trackingId=FJULpn3b5gpKeMrilsaL1Q%3D%3D&amp;position=14&amp;pageNum=0&amp;trk=public_jobs_jserp-result_search-card", "Job Link")</f>
        <v>Job Link</v>
      </c>
      <c r="I2713" t="s">
        <v>481</v>
      </c>
      <c r="L2713" t="s">
        <v>582</v>
      </c>
      <c r="M2713" t="s">
        <v>588</v>
      </c>
      <c r="N2713" t="s">
        <v>601</v>
      </c>
    </row>
    <row r="2714" spans="1:14" x14ac:dyDescent="0.25">
      <c r="A2714" t="s">
        <v>20</v>
      </c>
      <c r="B2714" t="s">
        <v>207</v>
      </c>
      <c r="C2714" t="s">
        <v>374</v>
      </c>
      <c r="D2714" t="s">
        <v>426</v>
      </c>
      <c r="F2714" t="s">
        <v>463</v>
      </c>
      <c r="G2714" t="str">
        <f>HYPERLINK("https://ca.linkedin.com/jobs/view/senior-data-analyst-at-onlia-3320897882?refId=0flizULGnJjXMgE1UPXpjg%3D%3D&amp;trackingId=0glz%2BAtSZHrc0H2G4br6Eg%3D%3D&amp;position=15&amp;pageNum=0&amp;trk=public_jobs_jserp-result_search-card", "Job Link")</f>
        <v>Job Link</v>
      </c>
      <c r="H2714" t="s">
        <v>477</v>
      </c>
      <c r="I2714" t="s">
        <v>481</v>
      </c>
      <c r="J2714" t="s">
        <v>486</v>
      </c>
      <c r="K2714" t="s">
        <v>523</v>
      </c>
      <c r="L2714" t="s">
        <v>582</v>
      </c>
      <c r="M2714" t="s">
        <v>588</v>
      </c>
      <c r="N2714" t="s">
        <v>601</v>
      </c>
    </row>
    <row r="2715" spans="1:14" x14ac:dyDescent="0.25">
      <c r="A2715" t="s">
        <v>84</v>
      </c>
      <c r="B2715" t="s">
        <v>216</v>
      </c>
      <c r="C2715" t="s">
        <v>375</v>
      </c>
      <c r="D2715" t="s">
        <v>426</v>
      </c>
      <c r="F2715" t="s">
        <v>452</v>
      </c>
      <c r="G2715" t="str">
        <f>HYPERLINK("https://ca.linkedin.com/jobs/view/data-analyst-hybrid-at-xylem-3335088701?refId=0flizULGnJjXMgE1UPXpjg%3D%3D&amp;trackingId=4PMw%2BgakF4ZSYSSQN0B8wg%3D%3D&amp;position=16&amp;pageNum=0&amp;trk=public_jobs_jserp-result_search-card", "Job Link")</f>
        <v>Job Link</v>
      </c>
      <c r="H2715" t="s">
        <v>476</v>
      </c>
      <c r="I2715" t="s">
        <v>481</v>
      </c>
      <c r="J2715" t="s">
        <v>486</v>
      </c>
      <c r="K2715" t="s">
        <v>564</v>
      </c>
      <c r="L2715" t="s">
        <v>584</v>
      </c>
      <c r="M2715" t="s">
        <v>588</v>
      </c>
      <c r="N2715" t="s">
        <v>601</v>
      </c>
    </row>
    <row r="2716" spans="1:14" x14ac:dyDescent="0.25">
      <c r="A2716" t="s">
        <v>85</v>
      </c>
      <c r="B2716" t="s">
        <v>217</v>
      </c>
      <c r="C2716" t="s">
        <v>376</v>
      </c>
      <c r="D2716" t="s">
        <v>426</v>
      </c>
      <c r="F2716" t="s">
        <v>473</v>
      </c>
      <c r="G2716" t="str">
        <f>HYPERLINK("https://ca.linkedin.com/jobs/view/data-analyst-python-sql-at-geotab-3341823745?refId=0flizULGnJjXMgE1UPXpjg%3D%3D&amp;trackingId=3UszGOZC7CGCbxymiEiUWg%3D%3D&amp;position=17&amp;pageNum=0&amp;trk=public_jobs_jserp-result_search-card", "Job Link")</f>
        <v>Job Link</v>
      </c>
      <c r="H2716" t="s">
        <v>479</v>
      </c>
      <c r="I2716" t="s">
        <v>481</v>
      </c>
      <c r="J2716" t="s">
        <v>486</v>
      </c>
      <c r="K2716" t="s">
        <v>521</v>
      </c>
      <c r="L2716" t="s">
        <v>612</v>
      </c>
      <c r="M2716" t="s">
        <v>588</v>
      </c>
      <c r="N2716" t="s">
        <v>601</v>
      </c>
    </row>
    <row r="2717" spans="1:14" x14ac:dyDescent="0.25">
      <c r="A2717" t="s">
        <v>86</v>
      </c>
      <c r="B2717" t="s">
        <v>167</v>
      </c>
      <c r="C2717" t="s">
        <v>377</v>
      </c>
      <c r="D2717" t="s">
        <v>426</v>
      </c>
      <c r="F2717" t="s">
        <v>454</v>
      </c>
      <c r="G2717" t="str">
        <f>HYPERLINK("https://ca.linkedin.com/jobs/view/data-analyst-reporting-at-thescore-3345941286?refId=0flizULGnJjXMgE1UPXpjg%3D%3D&amp;trackingId=j9ihZCAz%2FiM0Ljhu5xGNgg%3D%3D&amp;position=18&amp;pageNum=0&amp;trk=public_jobs_jserp-result_search-card", "Job Link")</f>
        <v>Job Link</v>
      </c>
      <c r="H2717" t="s">
        <v>476</v>
      </c>
      <c r="I2717" t="s">
        <v>481</v>
      </c>
      <c r="J2717" t="s">
        <v>486</v>
      </c>
      <c r="K2717" t="s">
        <v>545</v>
      </c>
      <c r="L2717" t="s">
        <v>582</v>
      </c>
      <c r="M2717" t="s">
        <v>588</v>
      </c>
      <c r="N2717" t="s">
        <v>601</v>
      </c>
    </row>
    <row r="2718" spans="1:14" x14ac:dyDescent="0.25">
      <c r="A2718" t="s">
        <v>87</v>
      </c>
      <c r="B2718" t="s">
        <v>218</v>
      </c>
      <c r="C2718" t="s">
        <v>378</v>
      </c>
      <c r="D2718" t="s">
        <v>426</v>
      </c>
      <c r="F2718" t="s">
        <v>432</v>
      </c>
      <c r="G2718">
        <v>0</v>
      </c>
      <c r="H2718" t="s">
        <v>478</v>
      </c>
      <c r="I2718" t="s">
        <v>483</v>
      </c>
      <c r="J2718" t="s">
        <v>486</v>
      </c>
      <c r="K2718" t="s">
        <v>521</v>
      </c>
      <c r="L2718" t="s">
        <v>582</v>
      </c>
      <c r="M2718" t="s">
        <v>588</v>
      </c>
      <c r="N2718" t="s">
        <v>601</v>
      </c>
    </row>
    <row r="2719" spans="1:14" x14ac:dyDescent="0.25">
      <c r="A2719" t="s">
        <v>90</v>
      </c>
      <c r="B2719" t="s">
        <v>223</v>
      </c>
      <c r="C2719" t="s">
        <v>383</v>
      </c>
      <c r="D2719" t="s">
        <v>426</v>
      </c>
      <c r="F2719" t="s">
        <v>443</v>
      </c>
      <c r="G2719" t="str">
        <f>HYPERLINK("https://ca.linkedin.com/jobs/view/data-administrator-data-analyst-at-hays-3369576413?refId=0flizULGnJjXMgE1UPXpjg%3D%3D&amp;trackingId=Ihb74gv9Tl4VLH6MI%2FoGWw%3D%3D&amp;position=20&amp;pageNum=0&amp;trk=public_jobs_jserp-result_search-card", "Job Link")</f>
        <v>Job Link</v>
      </c>
      <c r="H2719" t="s">
        <v>478</v>
      </c>
      <c r="I2719" t="s">
        <v>481</v>
      </c>
      <c r="J2719" t="s">
        <v>486</v>
      </c>
      <c r="K2719" t="s">
        <v>518</v>
      </c>
      <c r="L2719" t="s">
        <v>583</v>
      </c>
      <c r="M2719" t="s">
        <v>610</v>
      </c>
      <c r="N2719" t="s">
        <v>601</v>
      </c>
    </row>
    <row r="2720" spans="1:14" x14ac:dyDescent="0.25">
      <c r="A2720" t="s">
        <v>88</v>
      </c>
      <c r="B2720" t="s">
        <v>219</v>
      </c>
      <c r="C2720" t="s">
        <v>379</v>
      </c>
      <c r="D2720" t="s">
        <v>426</v>
      </c>
      <c r="F2720" t="s">
        <v>454</v>
      </c>
      <c r="G2720" t="str">
        <f>HYPERLINK("https://ca.linkedin.com/jobs/view/data-analyst-flight-pricing-optimization-at-priceline-3345993633?refId=0flizULGnJjXMgE1UPXpjg%3D%3D&amp;trackingId=W81RrmeO7tH8fTLKuhU64A%3D%3D&amp;position=21&amp;pageNum=0&amp;trk=public_jobs_jserp-result_search-card", "Job Link")</f>
        <v>Job Link</v>
      </c>
      <c r="H2720" t="s">
        <v>476</v>
      </c>
      <c r="I2720" t="s">
        <v>481</v>
      </c>
      <c r="J2720" t="s">
        <v>486</v>
      </c>
      <c r="K2720" t="s">
        <v>565</v>
      </c>
      <c r="L2720" t="s">
        <v>582</v>
      </c>
      <c r="M2720" t="s">
        <v>588</v>
      </c>
      <c r="N2720" t="s">
        <v>601</v>
      </c>
    </row>
    <row r="2721" spans="1:14" x14ac:dyDescent="0.25">
      <c r="A2721" t="s">
        <v>89</v>
      </c>
      <c r="B2721" t="s">
        <v>221</v>
      </c>
      <c r="C2721" t="s">
        <v>381</v>
      </c>
      <c r="D2721" t="s">
        <v>426</v>
      </c>
      <c r="F2721" t="s">
        <v>461</v>
      </c>
      <c r="G2721">
        <v>0</v>
      </c>
      <c r="H2721" t="s">
        <v>476</v>
      </c>
      <c r="I2721" t="s">
        <v>481</v>
      </c>
      <c r="J2721" t="s">
        <v>488</v>
      </c>
      <c r="K2721" t="s">
        <v>566</v>
      </c>
      <c r="L2721" t="s">
        <v>582</v>
      </c>
      <c r="M2721" t="s">
        <v>588</v>
      </c>
      <c r="N2721" t="s">
        <v>601</v>
      </c>
    </row>
    <row r="2722" spans="1:14" x14ac:dyDescent="0.25">
      <c r="A2722" t="s">
        <v>14</v>
      </c>
      <c r="B2722" t="s">
        <v>222</v>
      </c>
      <c r="C2722" t="s">
        <v>382</v>
      </c>
      <c r="D2722" t="s">
        <v>426</v>
      </c>
      <c r="F2722" t="s">
        <v>431</v>
      </c>
      <c r="G2722" t="str">
        <f>HYPERLINK("https://ca.linkedin.com/jobs/view/data-analyst-at-circle-k-3367192655?refId=0flizULGnJjXMgE1UPXpjg%3D%3D&amp;trackingId=Ed3pvssP%2Fzd5SwOJHwtFOA%3D%3D&amp;position=23&amp;pageNum=0&amp;trk=public_jobs_jserp-result_search-card", "Job Link")</f>
        <v>Job Link</v>
      </c>
      <c r="H2722" t="s">
        <v>476</v>
      </c>
      <c r="I2722" t="s">
        <v>481</v>
      </c>
      <c r="J2722" t="s">
        <v>486</v>
      </c>
      <c r="K2722" t="s">
        <v>567</v>
      </c>
      <c r="L2722" t="s">
        <v>582</v>
      </c>
      <c r="M2722" t="s">
        <v>588</v>
      </c>
      <c r="N2722" t="s">
        <v>601</v>
      </c>
    </row>
    <row r="2723" spans="1:14" x14ac:dyDescent="0.25">
      <c r="A2723" t="s">
        <v>14</v>
      </c>
      <c r="B2723" t="s">
        <v>225</v>
      </c>
      <c r="C2723" t="s">
        <v>385</v>
      </c>
      <c r="D2723" t="s">
        <v>426</v>
      </c>
      <c r="F2723" t="s">
        <v>463</v>
      </c>
      <c r="G2723" t="str">
        <f>HYPERLINK("https://ca.linkedin.com/jobs/view/data-analyst-at-vector-institute-3325395506?refId=0flizULGnJjXMgE1UPXpjg%3D%3D&amp;trackingId=u5XnUJO1LWoCm5cQiYfFMQ%3D%3D&amp;position=24&amp;pageNum=0&amp;trk=public_jobs_jserp-result_search-card", "Job Link")</f>
        <v>Job Link</v>
      </c>
      <c r="H2723" t="s">
        <v>478</v>
      </c>
      <c r="I2723" t="s">
        <v>481</v>
      </c>
      <c r="J2723" t="s">
        <v>486</v>
      </c>
      <c r="K2723" t="s">
        <v>520</v>
      </c>
      <c r="L2723" t="s">
        <v>582</v>
      </c>
      <c r="M2723" t="s">
        <v>588</v>
      </c>
      <c r="N2723" t="s">
        <v>601</v>
      </c>
    </row>
    <row r="2724" spans="1:14" x14ac:dyDescent="0.25">
      <c r="A2724" t="s">
        <v>14</v>
      </c>
      <c r="B2724" t="s">
        <v>226</v>
      </c>
      <c r="C2724" t="s">
        <v>386</v>
      </c>
      <c r="D2724" t="s">
        <v>426</v>
      </c>
      <c r="F2724" t="s">
        <v>474</v>
      </c>
      <c r="G2724" t="str">
        <f>HYPERLINK("https://ca.linkedin.com/jobs/view/data-analyst-at-gsl-group-3334387645?refId=0flizULGnJjXMgE1UPXpjg%3D%3D&amp;trackingId=get0cVD8q0G%2FbJAySVtu9g%3D%3D&amp;position=25&amp;pageNum=0&amp;trk=public_jobs_jserp-result_search-card", "Job Link")</f>
        <v>Job Link</v>
      </c>
      <c r="H2724" t="s">
        <v>476</v>
      </c>
      <c r="I2724" t="s">
        <v>481</v>
      </c>
      <c r="J2724" t="s">
        <v>486</v>
      </c>
      <c r="K2724" t="s">
        <v>568</v>
      </c>
      <c r="L2724" t="s">
        <v>590</v>
      </c>
      <c r="M2724" t="s">
        <v>618</v>
      </c>
      <c r="N2724" t="s">
        <v>601</v>
      </c>
    </row>
    <row r="2725" spans="1:14" x14ac:dyDescent="0.25">
      <c r="A2725" t="s">
        <v>14</v>
      </c>
      <c r="B2725" t="s">
        <v>207</v>
      </c>
      <c r="C2725" t="s">
        <v>362</v>
      </c>
      <c r="D2725" t="s">
        <v>426</v>
      </c>
      <c r="F2725" t="s">
        <v>463</v>
      </c>
      <c r="G2725" t="str">
        <f>HYPERLINK("https://ca.linkedin.com/jobs/view/data-analyst-at-onlia-3320897897?refId=R9wLYtYEK%2Bm4Qx%2BdxIdPEg%3D%3D&amp;trackingId=o2H6ksa%2FWfexdKpiO7pOGg%3D%3D&amp;position=1&amp;pageNum=0&amp;trk=public_jobs_jserp-result_search-card", "Job Link")</f>
        <v>Job Link</v>
      </c>
      <c r="H2725" t="s">
        <v>477</v>
      </c>
      <c r="I2725" t="s">
        <v>481</v>
      </c>
      <c r="J2725" t="s">
        <v>486</v>
      </c>
      <c r="K2725" t="s">
        <v>523</v>
      </c>
      <c r="L2725" t="s">
        <v>582</v>
      </c>
      <c r="M2725" t="s">
        <v>588</v>
      </c>
      <c r="N2725" t="s">
        <v>601</v>
      </c>
    </row>
    <row r="2726" spans="1:14" x14ac:dyDescent="0.25">
      <c r="A2726" t="s">
        <v>14</v>
      </c>
      <c r="B2726" t="s">
        <v>208</v>
      </c>
      <c r="C2726" t="s">
        <v>363</v>
      </c>
      <c r="D2726" t="s">
        <v>426</v>
      </c>
      <c r="F2726" t="s">
        <v>445</v>
      </c>
      <c r="G2726" t="str">
        <f>HYPERLINK("https://ca.linkedin.com/jobs/view/data-analyst-at-electronic-arts-ea-3325611825?refId=R9wLYtYEK%2Bm4Qx%2BdxIdPEg%3D%3D&amp;trackingId=%2Fax4zK5dW%2F3d%2F42vHlLC9Q%3D%3D&amp;position=2&amp;pageNum=0&amp;trk=public_jobs_jserp-result_search-card", "Job Link")</f>
        <v>Job Link</v>
      </c>
      <c r="H2726" t="s">
        <v>479</v>
      </c>
      <c r="I2726" t="s">
        <v>481</v>
      </c>
      <c r="J2726" t="s">
        <v>507</v>
      </c>
      <c r="K2726" t="s">
        <v>559</v>
      </c>
      <c r="L2726" t="s">
        <v>582</v>
      </c>
      <c r="M2726" t="s">
        <v>588</v>
      </c>
      <c r="N2726" t="s">
        <v>601</v>
      </c>
    </row>
    <row r="2727" spans="1:14" x14ac:dyDescent="0.25">
      <c r="A2727" t="s">
        <v>14</v>
      </c>
      <c r="B2727" t="s">
        <v>209</v>
      </c>
      <c r="C2727" t="s">
        <v>364</v>
      </c>
      <c r="D2727" t="s">
        <v>426</v>
      </c>
      <c r="F2727" t="s">
        <v>440</v>
      </c>
      <c r="G2727" t="str">
        <f>HYPERLINK("https://ca.linkedin.com/jobs/view/data-analyst-at-frostbite-3370111856?refId=R9wLYtYEK%2Bm4Qx%2BdxIdPEg%3D%3D&amp;trackingId=XTXwI3h6OOLNqkb55F4RVQ%3D%3D&amp;position=3&amp;pageNum=0&amp;trk=public_jobs_jserp-result_search-card", "Job Link")</f>
        <v>Job Link</v>
      </c>
      <c r="H2727" t="s">
        <v>479</v>
      </c>
      <c r="I2727" t="s">
        <v>481</v>
      </c>
      <c r="J2727" t="s">
        <v>507</v>
      </c>
      <c r="K2727" t="s">
        <v>559</v>
      </c>
      <c r="L2727" t="s">
        <v>590</v>
      </c>
      <c r="M2727" t="s">
        <v>618</v>
      </c>
      <c r="N2727" t="s">
        <v>601</v>
      </c>
    </row>
    <row r="2728" spans="1:14" x14ac:dyDescent="0.25">
      <c r="A2728" t="s">
        <v>81</v>
      </c>
      <c r="B2728" t="s">
        <v>210</v>
      </c>
      <c r="C2728" t="s">
        <v>365</v>
      </c>
      <c r="D2728" t="s">
        <v>426</v>
      </c>
      <c r="F2728" t="s">
        <v>436</v>
      </c>
      <c r="G2728" t="str">
        <f>HYPERLINK("https://ca.linkedin.com/jobs/view/data-analyst-c117-at-mitsubishi-motor-sales-of-canada-inc-3344852931?refId=R9wLYtYEK%2Bm4Qx%2BdxIdPEg%3D%3D&amp;trackingId=MK4cJHuL6lwpbGTwXxycYQ%3D%3D&amp;position=4&amp;pageNum=0&amp;trk=public_jobs_jserp-result_search-card", "Job Link")</f>
        <v>Job Link</v>
      </c>
      <c r="H2728" t="s">
        <v>477</v>
      </c>
      <c r="I2728" t="s">
        <v>481</v>
      </c>
      <c r="J2728" t="s">
        <v>508</v>
      </c>
      <c r="K2728" t="s">
        <v>561</v>
      </c>
      <c r="L2728" t="s">
        <v>584</v>
      </c>
      <c r="M2728" t="s">
        <v>588</v>
      </c>
      <c r="N2728" t="s">
        <v>601</v>
      </c>
    </row>
    <row r="2729" spans="1:14" x14ac:dyDescent="0.25">
      <c r="A2729" t="s">
        <v>14</v>
      </c>
      <c r="B2729" t="s">
        <v>211</v>
      </c>
      <c r="C2729" t="s">
        <v>366</v>
      </c>
      <c r="D2729" t="s">
        <v>426</v>
      </c>
      <c r="F2729" t="s">
        <v>443</v>
      </c>
      <c r="G2729" t="str">
        <f>HYPERLINK("https://ca.linkedin.com/jobs/view/data-analyst-at-mphasis-3363428246?refId=R9wLYtYEK%2Bm4Qx%2BdxIdPEg%3D%3D&amp;trackingId=lVWgLPLr5F1WGRC94ri%2Brg%3D%3D&amp;position=5&amp;pageNum=0&amp;trk=public_jobs_jserp-result_search-card", "Job Link")</f>
        <v>Job Link</v>
      </c>
      <c r="H2729" t="s">
        <v>477</v>
      </c>
      <c r="I2729" t="s">
        <v>481</v>
      </c>
      <c r="J2729" t="s">
        <v>486</v>
      </c>
      <c r="K2729" t="s">
        <v>521</v>
      </c>
      <c r="L2729" t="s">
        <v>609</v>
      </c>
      <c r="M2729" t="s">
        <v>610</v>
      </c>
      <c r="N2729" t="s">
        <v>601</v>
      </c>
    </row>
    <row r="2730" spans="1:14" x14ac:dyDescent="0.25">
      <c r="A2730" t="s">
        <v>14</v>
      </c>
      <c r="B2730" t="s">
        <v>150</v>
      </c>
      <c r="C2730" t="s">
        <v>367</v>
      </c>
      <c r="D2730" t="s">
        <v>426</v>
      </c>
      <c r="F2730" t="s">
        <v>433</v>
      </c>
      <c r="G2730" t="str">
        <f>HYPERLINK("https://ca.linkedin.com/jobs/view/data-analyst-at-synechron-3348329085?refId=R9wLYtYEK%2Bm4Qx%2BdxIdPEg%3D%3D&amp;trackingId=9m%2Fq%2FKqO5l2FozqHNNngBQ%3D%3D&amp;position=6&amp;pageNum=0&amp;trk=public_jobs_jserp-result_search-card", "Job Link")</f>
        <v>Job Link</v>
      </c>
      <c r="H2730" t="s">
        <v>478</v>
      </c>
      <c r="I2730" t="s">
        <v>481</v>
      </c>
      <c r="J2730" t="s">
        <v>486</v>
      </c>
      <c r="K2730" t="s">
        <v>562</v>
      </c>
      <c r="L2730" t="s">
        <v>584</v>
      </c>
      <c r="M2730" t="s">
        <v>588</v>
      </c>
      <c r="N2730" t="s">
        <v>601</v>
      </c>
    </row>
    <row r="2731" spans="1:14" x14ac:dyDescent="0.25">
      <c r="A2731" t="s">
        <v>82</v>
      </c>
      <c r="B2731" t="s">
        <v>179</v>
      </c>
      <c r="C2731" t="s">
        <v>368</v>
      </c>
      <c r="D2731" t="s">
        <v>426</v>
      </c>
      <c r="F2731" t="s">
        <v>471</v>
      </c>
      <c r="G2731" t="str">
        <f>HYPERLINK("https://ca.linkedin.com/jobs/view/business-data-analyst-at-capgemini-3327624663?refId=R9wLYtYEK%2Bm4Qx%2BdxIdPEg%3D%3D&amp;trackingId=wCO9zv4zcnY2rKFbluLlWA%3D%3D&amp;position=7&amp;pageNum=0&amp;trk=public_jobs_jserp-result_search-card", "Job Link")</f>
        <v>Job Link</v>
      </c>
      <c r="H2731" t="s">
        <v>478</v>
      </c>
      <c r="I2731" t="s">
        <v>481</v>
      </c>
      <c r="J2731" t="s">
        <v>486</v>
      </c>
      <c r="K2731" t="s">
        <v>521</v>
      </c>
      <c r="L2731" t="s">
        <v>611</v>
      </c>
      <c r="M2731" t="s">
        <v>601</v>
      </c>
    </row>
    <row r="2732" spans="1:14" x14ac:dyDescent="0.25">
      <c r="A2732" t="s">
        <v>14</v>
      </c>
      <c r="B2732" t="s">
        <v>150</v>
      </c>
      <c r="C2732" t="s">
        <v>369</v>
      </c>
      <c r="D2732" t="s">
        <v>426</v>
      </c>
      <c r="F2732" t="s">
        <v>460</v>
      </c>
      <c r="G2732" t="str">
        <f>HYPERLINK("https://ca.linkedin.com/jobs/view/data-analyst-at-synechron-3364863079?refId=R9wLYtYEK%2Bm4Qx%2BdxIdPEg%3D%3D&amp;trackingId=zzK8SFpZmwxR7GMspmZifA%3D%3D&amp;position=8&amp;pageNum=0&amp;trk=public_jobs_jserp-result_search-card", "Job Link")</f>
        <v>Job Link</v>
      </c>
      <c r="H2732" t="s">
        <v>478</v>
      </c>
      <c r="I2732" t="s">
        <v>481</v>
      </c>
      <c r="J2732" t="s">
        <v>486</v>
      </c>
      <c r="K2732" t="s">
        <v>563</v>
      </c>
      <c r="L2732" t="s">
        <v>584</v>
      </c>
      <c r="M2732" t="s">
        <v>588</v>
      </c>
      <c r="N2732" t="s">
        <v>601</v>
      </c>
    </row>
    <row r="2733" spans="1:14" x14ac:dyDescent="0.25">
      <c r="A2733" t="s">
        <v>14</v>
      </c>
      <c r="B2733" t="s">
        <v>150</v>
      </c>
      <c r="C2733" t="s">
        <v>367</v>
      </c>
      <c r="D2733" t="s">
        <v>426</v>
      </c>
      <c r="F2733" t="s">
        <v>460</v>
      </c>
      <c r="G2733" t="str">
        <f>HYPERLINK("https://ca.linkedin.com/jobs/view/data-analyst-at-synechron-3361756851?refId=R9wLYtYEK%2Bm4Qx%2BdxIdPEg%3D%3D&amp;trackingId=MhSvvTDP7k8%2FbiOQ%2F6s9zA%3D%3D&amp;position=9&amp;pageNum=0&amp;trk=public_jobs_jserp-result_search-card", "Job Link")</f>
        <v>Job Link</v>
      </c>
      <c r="H2733" t="s">
        <v>478</v>
      </c>
      <c r="I2733" t="s">
        <v>481</v>
      </c>
      <c r="J2733" t="s">
        <v>486</v>
      </c>
      <c r="K2733" t="s">
        <v>562</v>
      </c>
      <c r="L2733" t="s">
        <v>584</v>
      </c>
      <c r="M2733" t="s">
        <v>588</v>
      </c>
      <c r="N2733" t="s">
        <v>601</v>
      </c>
    </row>
    <row r="2734" spans="1:14" x14ac:dyDescent="0.25">
      <c r="A2734" t="s">
        <v>14</v>
      </c>
      <c r="B2734" t="s">
        <v>212</v>
      </c>
      <c r="C2734" t="s">
        <v>370</v>
      </c>
      <c r="D2734" t="s">
        <v>426</v>
      </c>
      <c r="F2734" t="s">
        <v>432</v>
      </c>
      <c r="G2734" t="str">
        <f>HYPERLINK("https://ca.linkedin.com/jobs/view/data-analyst-at-agilus-work-solutions-3358673093?refId=R9wLYtYEK%2Bm4Qx%2BdxIdPEg%3D%3D&amp;trackingId=JJ9Al70cQrP7jsCnSNw6ug%3D%3D&amp;position=10&amp;pageNum=0&amp;trk=public_jobs_jserp-result_search-card", "Job Link")</f>
        <v>Job Link</v>
      </c>
      <c r="H2734" t="s">
        <v>477</v>
      </c>
      <c r="I2734" t="s">
        <v>483</v>
      </c>
      <c r="J2734" t="s">
        <v>486</v>
      </c>
      <c r="K2734" t="s">
        <v>518</v>
      </c>
      <c r="L2734" t="s">
        <v>582</v>
      </c>
      <c r="M2734" t="s">
        <v>588</v>
      </c>
      <c r="N2734" t="s">
        <v>601</v>
      </c>
    </row>
    <row r="2735" spans="1:14" x14ac:dyDescent="0.25">
      <c r="A2735" t="s">
        <v>14</v>
      </c>
      <c r="B2735" t="s">
        <v>213</v>
      </c>
      <c r="C2735" t="s">
        <v>371</v>
      </c>
      <c r="D2735" t="s">
        <v>426</v>
      </c>
      <c r="F2735" t="s">
        <v>472</v>
      </c>
      <c r="G2735" t="str">
        <f>HYPERLINK("https://ca.linkedin.com/jobs/view/data-analyst-at-linkus-group-3345817125?refId=R9wLYtYEK%2Bm4Qx%2BdxIdPEg%3D%3D&amp;trackingId=slOqcM%2BwDGGF2eQ3kNdrKQ%3D%3D&amp;position=11&amp;pageNum=0&amp;trk=public_jobs_jserp-result_search-card", "Job Link")</f>
        <v>Job Link</v>
      </c>
      <c r="H2735" t="s">
        <v>476</v>
      </c>
      <c r="I2735" t="s">
        <v>481</v>
      </c>
      <c r="J2735" t="s">
        <v>486</v>
      </c>
      <c r="K2735" t="s">
        <v>518</v>
      </c>
      <c r="L2735" t="s">
        <v>588</v>
      </c>
      <c r="M2735" t="s">
        <v>601</v>
      </c>
    </row>
    <row r="2736" spans="1:14" x14ac:dyDescent="0.25">
      <c r="A2736" t="s">
        <v>14</v>
      </c>
      <c r="B2736" t="s">
        <v>214</v>
      </c>
      <c r="C2736" t="s">
        <v>372</v>
      </c>
      <c r="D2736" t="s">
        <v>426</v>
      </c>
      <c r="F2736" t="s">
        <v>432</v>
      </c>
      <c r="G2736" t="str">
        <f>HYPERLINK("https://ca.linkedin.com/jobs/view/data-analyst-at-goeasy-ltd-3358677253?refId=R9wLYtYEK%2Bm4Qx%2BdxIdPEg%3D%3D&amp;trackingId=YMU9mUhx%2BPZEhbMXsRNJBA%3D%3D&amp;position=12&amp;pageNum=0&amp;trk=public_jobs_jserp-result_search-card", "Job Link")</f>
        <v>Job Link</v>
      </c>
      <c r="H2736" t="s">
        <v>476</v>
      </c>
      <c r="I2736" t="s">
        <v>481</v>
      </c>
      <c r="J2736" t="s">
        <v>486</v>
      </c>
      <c r="K2736" t="s">
        <v>550</v>
      </c>
      <c r="L2736" t="s">
        <v>584</v>
      </c>
      <c r="M2736" t="s">
        <v>588</v>
      </c>
      <c r="N2736" t="s">
        <v>601</v>
      </c>
    </row>
    <row r="2737" spans="1:14" x14ac:dyDescent="0.25">
      <c r="A2737" t="s">
        <v>83</v>
      </c>
      <c r="B2737" t="s">
        <v>215</v>
      </c>
      <c r="C2737" t="s">
        <v>373</v>
      </c>
      <c r="D2737" t="s">
        <v>426</v>
      </c>
      <c r="F2737" t="s">
        <v>462</v>
      </c>
      <c r="G2737">
        <v>0</v>
      </c>
      <c r="H2737" t="s">
        <v>478</v>
      </c>
      <c r="I2737" t="s">
        <v>483</v>
      </c>
      <c r="J2737" t="s">
        <v>509</v>
      </c>
      <c r="K2737" t="s">
        <v>550</v>
      </c>
      <c r="L2737" t="s">
        <v>584</v>
      </c>
      <c r="M2737" t="s">
        <v>588</v>
      </c>
      <c r="N2737" t="s">
        <v>601</v>
      </c>
    </row>
    <row r="2738" spans="1:14" x14ac:dyDescent="0.25">
      <c r="A2738" t="s">
        <v>20</v>
      </c>
      <c r="B2738" t="s">
        <v>207</v>
      </c>
      <c r="C2738" t="s">
        <v>374</v>
      </c>
      <c r="D2738" t="s">
        <v>426</v>
      </c>
      <c r="F2738" t="s">
        <v>463</v>
      </c>
      <c r="G2738" t="str">
        <f>HYPERLINK("https://ca.linkedin.com/jobs/view/senior-data-analyst-at-onlia-3320897882?refId=R9wLYtYEK%2Bm4Qx%2BdxIdPEg%3D%3D&amp;trackingId=wgkB74wMrkrgZG1%2FyApocA%3D%3D&amp;position=14&amp;pageNum=0&amp;trk=public_jobs_jserp-result_search-card", "Job Link")</f>
        <v>Job Link</v>
      </c>
      <c r="H2738" t="s">
        <v>477</v>
      </c>
      <c r="I2738" t="s">
        <v>481</v>
      </c>
      <c r="J2738" t="s">
        <v>486</v>
      </c>
      <c r="K2738" t="s">
        <v>523</v>
      </c>
      <c r="L2738" t="s">
        <v>582</v>
      </c>
      <c r="M2738" t="s">
        <v>588</v>
      </c>
      <c r="N2738" t="s">
        <v>601</v>
      </c>
    </row>
    <row r="2739" spans="1:14" x14ac:dyDescent="0.25">
      <c r="A2739" t="s">
        <v>84</v>
      </c>
      <c r="B2739" t="s">
        <v>216</v>
      </c>
      <c r="C2739" t="s">
        <v>375</v>
      </c>
      <c r="D2739" t="s">
        <v>426</v>
      </c>
      <c r="F2739" t="s">
        <v>452</v>
      </c>
      <c r="G2739" t="str">
        <f>HYPERLINK("https://ca.linkedin.com/jobs/view/data-analyst-hybrid-at-xylem-3335088701?refId=R9wLYtYEK%2Bm4Qx%2BdxIdPEg%3D%3D&amp;trackingId=uYabD5Lbd%2FOWsRcid%2B2NEA%3D%3D&amp;position=15&amp;pageNum=0&amp;trk=public_jobs_jserp-result_search-card", "Job Link")</f>
        <v>Job Link</v>
      </c>
      <c r="H2739" t="s">
        <v>476</v>
      </c>
      <c r="I2739" t="s">
        <v>481</v>
      </c>
      <c r="J2739" t="s">
        <v>486</v>
      </c>
      <c r="K2739" t="s">
        <v>564</v>
      </c>
      <c r="L2739" t="s">
        <v>584</v>
      </c>
      <c r="M2739" t="s">
        <v>588</v>
      </c>
      <c r="N2739" t="s">
        <v>601</v>
      </c>
    </row>
    <row r="2740" spans="1:14" x14ac:dyDescent="0.25">
      <c r="A2740" t="s">
        <v>85</v>
      </c>
      <c r="B2740" t="s">
        <v>217</v>
      </c>
      <c r="C2740" t="s">
        <v>376</v>
      </c>
      <c r="D2740" t="s">
        <v>426</v>
      </c>
      <c r="F2740" t="s">
        <v>473</v>
      </c>
      <c r="G2740" t="str">
        <f>HYPERLINK("https://ca.linkedin.com/jobs/view/data-analyst-python-sql-at-geotab-3341823745?refId=R9wLYtYEK%2Bm4Qx%2BdxIdPEg%3D%3D&amp;trackingId=NMlJsVc7PrNCEoEIU8vKHQ%3D%3D&amp;position=16&amp;pageNum=0&amp;trk=public_jobs_jserp-result_search-card", "Job Link")</f>
        <v>Job Link</v>
      </c>
      <c r="H2740" t="s">
        <v>479</v>
      </c>
      <c r="I2740" t="s">
        <v>481</v>
      </c>
      <c r="J2740" t="s">
        <v>486</v>
      </c>
      <c r="K2740" t="s">
        <v>521</v>
      </c>
      <c r="L2740" t="s">
        <v>612</v>
      </c>
      <c r="M2740" t="s">
        <v>588</v>
      </c>
      <c r="N2740" t="s">
        <v>601</v>
      </c>
    </row>
    <row r="2741" spans="1:14" x14ac:dyDescent="0.25">
      <c r="A2741" t="s">
        <v>86</v>
      </c>
      <c r="B2741" t="s">
        <v>167</v>
      </c>
      <c r="C2741" t="s">
        <v>377</v>
      </c>
      <c r="D2741" t="s">
        <v>426</v>
      </c>
      <c r="F2741" t="s">
        <v>454</v>
      </c>
      <c r="G2741" t="str">
        <f>HYPERLINK("https://ca.linkedin.com/jobs/view/data-analyst-reporting-at-thescore-3345941286?refId=R9wLYtYEK%2Bm4Qx%2BdxIdPEg%3D%3D&amp;trackingId=%2F5sTrjKXEdbSHeHaO%2FYm8A%3D%3D&amp;position=17&amp;pageNum=0&amp;trk=public_jobs_jserp-result_search-card", "Job Link")</f>
        <v>Job Link</v>
      </c>
      <c r="H2741" t="s">
        <v>476</v>
      </c>
      <c r="I2741" t="s">
        <v>481</v>
      </c>
      <c r="J2741" t="s">
        <v>486</v>
      </c>
      <c r="K2741" t="s">
        <v>545</v>
      </c>
      <c r="L2741" t="s">
        <v>582</v>
      </c>
      <c r="M2741" t="s">
        <v>588</v>
      </c>
      <c r="N2741" t="s">
        <v>601</v>
      </c>
    </row>
    <row r="2742" spans="1:14" x14ac:dyDescent="0.25">
      <c r="A2742" t="s">
        <v>87</v>
      </c>
      <c r="B2742" t="s">
        <v>218</v>
      </c>
      <c r="C2742" t="s">
        <v>378</v>
      </c>
      <c r="D2742" t="s">
        <v>426</v>
      </c>
      <c r="F2742" t="s">
        <v>432</v>
      </c>
      <c r="G2742">
        <v>0</v>
      </c>
      <c r="H2742" t="s">
        <v>478</v>
      </c>
      <c r="I2742" t="s">
        <v>483</v>
      </c>
      <c r="J2742" t="s">
        <v>486</v>
      </c>
      <c r="K2742" t="s">
        <v>521</v>
      </c>
      <c r="L2742" t="s">
        <v>582</v>
      </c>
      <c r="M2742" t="s">
        <v>588</v>
      </c>
      <c r="N2742" t="s">
        <v>601</v>
      </c>
    </row>
    <row r="2743" spans="1:14" x14ac:dyDescent="0.25">
      <c r="A2743" t="s">
        <v>88</v>
      </c>
      <c r="B2743" t="s">
        <v>219</v>
      </c>
      <c r="C2743" t="s">
        <v>379</v>
      </c>
      <c r="D2743" t="s">
        <v>426</v>
      </c>
      <c r="F2743" t="s">
        <v>454</v>
      </c>
      <c r="G2743" t="str">
        <f>HYPERLINK("https://ca.linkedin.com/jobs/view/data-analyst-flight-pricing-optimization-at-priceline-3345993633?refId=R9wLYtYEK%2Bm4Qx%2BdxIdPEg%3D%3D&amp;trackingId=TYqZ8tQXf2kB6z0r8BLheg%3D%3D&amp;position=19&amp;pageNum=0&amp;trk=public_jobs_jserp-result_search-card", "Job Link")</f>
        <v>Job Link</v>
      </c>
      <c r="H2743" t="s">
        <v>476</v>
      </c>
      <c r="I2743" t="s">
        <v>481</v>
      </c>
      <c r="J2743" t="s">
        <v>486</v>
      </c>
      <c r="K2743" t="s">
        <v>565</v>
      </c>
      <c r="L2743" t="s">
        <v>582</v>
      </c>
      <c r="M2743" t="s">
        <v>588</v>
      </c>
      <c r="N2743" t="s">
        <v>601</v>
      </c>
    </row>
    <row r="2744" spans="1:14" x14ac:dyDescent="0.25">
      <c r="A2744" t="s">
        <v>27</v>
      </c>
      <c r="B2744" t="s">
        <v>220</v>
      </c>
      <c r="C2744" t="s">
        <v>380</v>
      </c>
      <c r="D2744" t="s">
        <v>426</v>
      </c>
      <c r="F2744" t="s">
        <v>434</v>
      </c>
      <c r="G2744" t="str">
        <f>HYPERLINK("https://ca.linkedin.com/jobs/view/sr-data-analyst-at-randstad-canada-3354999789?refId=R9wLYtYEK%2Bm4Qx%2BdxIdPEg%3D%3D&amp;trackingId=B6FcubkMR2iVqjM5osqG%2BA%3D%3D&amp;position=20&amp;pageNum=0&amp;trk=public_jobs_jserp-result_search-card", "Job Link")</f>
        <v>Job Link</v>
      </c>
      <c r="H2744" t="s">
        <v>478</v>
      </c>
      <c r="I2744" t="s">
        <v>483</v>
      </c>
      <c r="J2744" t="s">
        <v>486</v>
      </c>
      <c r="K2744" t="s">
        <v>518</v>
      </c>
      <c r="L2744" t="s">
        <v>584</v>
      </c>
      <c r="M2744" t="s">
        <v>588</v>
      </c>
      <c r="N2744" t="s">
        <v>601</v>
      </c>
    </row>
    <row r="2745" spans="1:14" x14ac:dyDescent="0.25">
      <c r="A2745" t="s">
        <v>89</v>
      </c>
      <c r="B2745" t="s">
        <v>221</v>
      </c>
      <c r="C2745" t="s">
        <v>381</v>
      </c>
      <c r="D2745" t="s">
        <v>426</v>
      </c>
      <c r="F2745" t="s">
        <v>461</v>
      </c>
      <c r="G2745">
        <v>0</v>
      </c>
      <c r="H2745" t="s">
        <v>476</v>
      </c>
      <c r="I2745" t="s">
        <v>481</v>
      </c>
      <c r="J2745" t="s">
        <v>488</v>
      </c>
      <c r="K2745" t="s">
        <v>566</v>
      </c>
      <c r="L2745" t="s">
        <v>582</v>
      </c>
      <c r="M2745" t="s">
        <v>588</v>
      </c>
      <c r="N2745" t="s">
        <v>601</v>
      </c>
    </row>
    <row r="2746" spans="1:14" x14ac:dyDescent="0.25">
      <c r="A2746" t="s">
        <v>14</v>
      </c>
      <c r="B2746" t="s">
        <v>222</v>
      </c>
      <c r="C2746" t="s">
        <v>382</v>
      </c>
      <c r="D2746" t="s">
        <v>426</v>
      </c>
      <c r="F2746" t="s">
        <v>431</v>
      </c>
      <c r="G2746" t="str">
        <f>HYPERLINK("https://ca.linkedin.com/jobs/view/data-analyst-at-circle-k-3367192655?refId=R9wLYtYEK%2Bm4Qx%2BdxIdPEg%3D%3D&amp;trackingId=fh0AGZpLW8I2dljWT2OExg%3D%3D&amp;position=22&amp;pageNum=0&amp;trk=public_jobs_jserp-result_search-card", "Job Link")</f>
        <v>Job Link</v>
      </c>
      <c r="H2746" t="s">
        <v>476</v>
      </c>
      <c r="I2746" t="s">
        <v>481</v>
      </c>
      <c r="J2746" t="s">
        <v>486</v>
      </c>
      <c r="K2746" t="s">
        <v>567</v>
      </c>
      <c r="L2746" t="s">
        <v>582</v>
      </c>
      <c r="M2746" t="s">
        <v>588</v>
      </c>
      <c r="N2746" t="s">
        <v>601</v>
      </c>
    </row>
    <row r="2747" spans="1:14" x14ac:dyDescent="0.25">
      <c r="A2747" t="s">
        <v>90</v>
      </c>
      <c r="B2747" t="s">
        <v>223</v>
      </c>
      <c r="C2747" t="s">
        <v>383</v>
      </c>
      <c r="D2747" t="s">
        <v>426</v>
      </c>
      <c r="F2747" t="s">
        <v>443</v>
      </c>
      <c r="G2747" t="str">
        <f>HYPERLINK("https://ca.linkedin.com/jobs/view/data-administrator-data-analyst-at-hays-3369576413?refId=R9wLYtYEK%2Bm4Qx%2BdxIdPEg%3D%3D&amp;trackingId=sLuiZYj784LoF%2BAEAHjtfA%3D%3D&amp;position=23&amp;pageNum=0&amp;trk=public_jobs_jserp-result_search-card", "Job Link")</f>
        <v>Job Link</v>
      </c>
      <c r="H2747" t="s">
        <v>478</v>
      </c>
      <c r="I2747" t="s">
        <v>481</v>
      </c>
      <c r="J2747" t="s">
        <v>486</v>
      </c>
      <c r="K2747" t="s">
        <v>518</v>
      </c>
      <c r="L2747" t="s">
        <v>583</v>
      </c>
      <c r="M2747" t="s">
        <v>610</v>
      </c>
      <c r="N2747" t="s">
        <v>601</v>
      </c>
    </row>
    <row r="2748" spans="1:14" x14ac:dyDescent="0.25">
      <c r="A2748" t="s">
        <v>91</v>
      </c>
      <c r="B2748" t="s">
        <v>224</v>
      </c>
      <c r="C2748" t="s">
        <v>384</v>
      </c>
      <c r="D2748" t="s">
        <v>426</v>
      </c>
      <c r="F2748" t="s">
        <v>431</v>
      </c>
      <c r="G2748" t="str">
        <f>HYPERLINK("https://ca.linkedin.com/jobs/view/commercial-data-analyst-at-organigram-inc-3367177254?refId=R9wLYtYEK%2Bm4Qx%2BdxIdPEg%3D%3D&amp;trackingId=H3qoRHiXMsPH6C%2BdVaZB6w%3D%3D&amp;position=24&amp;pageNum=0&amp;trk=public_jobs_jserp-result_search-card", "Job Link")</f>
        <v>Job Link</v>
      </c>
      <c r="I2748" t="s">
        <v>481</v>
      </c>
      <c r="L2748" t="s">
        <v>582</v>
      </c>
      <c r="M2748" t="s">
        <v>588</v>
      </c>
      <c r="N2748" t="s">
        <v>601</v>
      </c>
    </row>
    <row r="2749" spans="1:14" x14ac:dyDescent="0.25">
      <c r="A2749" t="s">
        <v>14</v>
      </c>
      <c r="B2749" t="s">
        <v>225</v>
      </c>
      <c r="C2749" t="s">
        <v>385</v>
      </c>
      <c r="D2749" t="s">
        <v>426</v>
      </c>
      <c r="F2749" t="s">
        <v>463</v>
      </c>
      <c r="G2749" t="str">
        <f>HYPERLINK("https://ca.linkedin.com/jobs/view/data-analyst-at-vector-institute-3325395506?refId=R9wLYtYEK%2Bm4Qx%2BdxIdPEg%3D%3D&amp;trackingId=hEXi3SY06CsZD%2BVeOZTwZA%3D%3D&amp;position=25&amp;pageNum=0&amp;trk=public_jobs_jserp-result_search-card", "Job Link")</f>
        <v>Job Link</v>
      </c>
      <c r="H2749" t="s">
        <v>478</v>
      </c>
      <c r="I2749" t="s">
        <v>481</v>
      </c>
      <c r="J2749" t="s">
        <v>486</v>
      </c>
      <c r="K2749" t="s">
        <v>520</v>
      </c>
      <c r="L2749" t="s">
        <v>582</v>
      </c>
      <c r="M2749" t="s">
        <v>588</v>
      </c>
      <c r="N2749" t="s">
        <v>601</v>
      </c>
    </row>
    <row r="2750" spans="1:14" x14ac:dyDescent="0.25">
      <c r="A2750" t="s">
        <v>14</v>
      </c>
      <c r="B2750" t="s">
        <v>207</v>
      </c>
      <c r="C2750" t="s">
        <v>362</v>
      </c>
      <c r="D2750" t="s">
        <v>426</v>
      </c>
      <c r="F2750" t="s">
        <v>463</v>
      </c>
      <c r="G2750" t="str">
        <f>HYPERLINK("https://ca.linkedin.com/jobs/view/data-analyst-at-onlia-3320897897?refId=pUWqc%2Blix4%2FozRdOLyMsrQ%3D%3D&amp;trackingId=1vrvNR2%2BdoJuO4MvDipjJQ%3D%3D&amp;position=1&amp;pageNum=0&amp;trk=public_jobs_jserp-result_search-card", "Job Link")</f>
        <v>Job Link</v>
      </c>
      <c r="H2750" t="s">
        <v>477</v>
      </c>
      <c r="I2750" t="s">
        <v>481</v>
      </c>
      <c r="J2750" t="s">
        <v>486</v>
      </c>
      <c r="K2750" t="s">
        <v>523</v>
      </c>
      <c r="L2750" t="s">
        <v>582</v>
      </c>
      <c r="M2750" t="s">
        <v>588</v>
      </c>
      <c r="N2750" t="s">
        <v>601</v>
      </c>
    </row>
    <row r="2751" spans="1:14" x14ac:dyDescent="0.25">
      <c r="A2751" t="s">
        <v>14</v>
      </c>
      <c r="B2751" t="s">
        <v>208</v>
      </c>
      <c r="C2751" t="s">
        <v>363</v>
      </c>
      <c r="D2751" t="s">
        <v>426</v>
      </c>
      <c r="F2751" t="s">
        <v>445</v>
      </c>
      <c r="G2751" t="str">
        <f>HYPERLINK("https://ca.linkedin.com/jobs/view/data-analyst-at-electronic-arts-ea-3325611825?refId=pUWqc%2Blix4%2FozRdOLyMsrQ%3D%3D&amp;trackingId=ZgCQswjXRrXKp3SfsXrV7w%3D%3D&amp;position=2&amp;pageNum=0&amp;trk=public_jobs_jserp-result_search-card", "Job Link")</f>
        <v>Job Link</v>
      </c>
      <c r="H2751" t="s">
        <v>479</v>
      </c>
      <c r="I2751" t="s">
        <v>481</v>
      </c>
      <c r="J2751" t="s">
        <v>507</v>
      </c>
      <c r="K2751" t="s">
        <v>559</v>
      </c>
      <c r="L2751" t="s">
        <v>582</v>
      </c>
      <c r="M2751" t="s">
        <v>588</v>
      </c>
      <c r="N2751" t="s">
        <v>601</v>
      </c>
    </row>
    <row r="2752" spans="1:14" x14ac:dyDescent="0.25">
      <c r="A2752" t="s">
        <v>14</v>
      </c>
      <c r="B2752" t="s">
        <v>209</v>
      </c>
      <c r="C2752" t="s">
        <v>364</v>
      </c>
      <c r="D2752" t="s">
        <v>426</v>
      </c>
      <c r="F2752" t="s">
        <v>440</v>
      </c>
      <c r="G2752" t="str">
        <f>HYPERLINK("https://ca.linkedin.com/jobs/view/data-analyst-at-frostbite-3370111856?refId=pUWqc%2Blix4%2FozRdOLyMsrQ%3D%3D&amp;trackingId=wypRyC1momBHR1DZkptKLQ%3D%3D&amp;position=3&amp;pageNum=0&amp;trk=public_jobs_jserp-result_search-card", "Job Link")</f>
        <v>Job Link</v>
      </c>
      <c r="H2752" t="s">
        <v>479</v>
      </c>
      <c r="I2752" t="s">
        <v>481</v>
      </c>
      <c r="J2752" t="s">
        <v>507</v>
      </c>
      <c r="K2752" t="s">
        <v>559</v>
      </c>
      <c r="L2752" t="s">
        <v>590</v>
      </c>
      <c r="M2752" t="s">
        <v>618</v>
      </c>
      <c r="N2752" t="s">
        <v>601</v>
      </c>
    </row>
    <row r="2753" spans="1:14" x14ac:dyDescent="0.25">
      <c r="A2753" t="s">
        <v>14</v>
      </c>
      <c r="B2753" t="s">
        <v>211</v>
      </c>
      <c r="C2753" t="s">
        <v>366</v>
      </c>
      <c r="D2753" t="s">
        <v>426</v>
      </c>
      <c r="F2753" t="s">
        <v>443</v>
      </c>
      <c r="G2753" t="str">
        <f>HYPERLINK("https://ca.linkedin.com/jobs/view/data-analyst-at-mphasis-3363428246?refId=pUWqc%2Blix4%2FozRdOLyMsrQ%3D%3D&amp;trackingId=KXbs1HdLESU0KLEG5EVGiw%3D%3D&amp;position=4&amp;pageNum=0&amp;trk=public_jobs_jserp-result_search-card", "Job Link")</f>
        <v>Job Link</v>
      </c>
      <c r="H2753" t="s">
        <v>477</v>
      </c>
      <c r="I2753" t="s">
        <v>481</v>
      </c>
      <c r="J2753" t="s">
        <v>486</v>
      </c>
      <c r="K2753" t="s">
        <v>521</v>
      </c>
      <c r="L2753" t="s">
        <v>609</v>
      </c>
      <c r="M2753" t="s">
        <v>610</v>
      </c>
      <c r="N2753" t="s">
        <v>601</v>
      </c>
    </row>
    <row r="2754" spans="1:14" x14ac:dyDescent="0.25">
      <c r="A2754" t="s">
        <v>81</v>
      </c>
      <c r="B2754" t="s">
        <v>210</v>
      </c>
      <c r="C2754" t="s">
        <v>365</v>
      </c>
      <c r="D2754" t="s">
        <v>426</v>
      </c>
      <c r="F2754" t="s">
        <v>436</v>
      </c>
      <c r="G2754" t="str">
        <f>HYPERLINK("https://ca.linkedin.com/jobs/view/data-analyst-c117-at-mitsubishi-motor-sales-of-canada-inc-3344852931?refId=pUWqc%2Blix4%2FozRdOLyMsrQ%3D%3D&amp;trackingId=8xsbc7xCZxi258%2BYRlMVTg%3D%3D&amp;position=5&amp;pageNum=0&amp;trk=public_jobs_jserp-result_search-card", "Job Link")</f>
        <v>Job Link</v>
      </c>
      <c r="H2754" t="s">
        <v>477</v>
      </c>
      <c r="I2754" t="s">
        <v>481</v>
      </c>
      <c r="J2754" t="s">
        <v>508</v>
      </c>
      <c r="K2754" t="s">
        <v>561</v>
      </c>
      <c r="L2754" t="s">
        <v>584</v>
      </c>
      <c r="M2754" t="s">
        <v>588</v>
      </c>
      <c r="N2754" t="s">
        <v>601</v>
      </c>
    </row>
    <row r="2755" spans="1:14" x14ac:dyDescent="0.25">
      <c r="A2755" t="s">
        <v>14</v>
      </c>
      <c r="B2755" t="s">
        <v>150</v>
      </c>
      <c r="C2755" t="s">
        <v>367</v>
      </c>
      <c r="D2755" t="s">
        <v>426</v>
      </c>
      <c r="F2755" t="s">
        <v>433</v>
      </c>
      <c r="G2755" t="str">
        <f>HYPERLINK("https://ca.linkedin.com/jobs/view/data-analyst-at-synechron-3348329085?refId=pUWqc%2Blix4%2FozRdOLyMsrQ%3D%3D&amp;trackingId=%2FFcfjBZqEDu%2B%2BWJXFa7Paw%3D%3D&amp;position=6&amp;pageNum=0&amp;trk=public_jobs_jserp-result_search-card", "Job Link")</f>
        <v>Job Link</v>
      </c>
      <c r="H2755" t="s">
        <v>478</v>
      </c>
      <c r="I2755" t="s">
        <v>481</v>
      </c>
      <c r="J2755" t="s">
        <v>486</v>
      </c>
      <c r="K2755" t="s">
        <v>562</v>
      </c>
      <c r="L2755" t="s">
        <v>584</v>
      </c>
      <c r="M2755" t="s">
        <v>588</v>
      </c>
      <c r="N2755" t="s">
        <v>601</v>
      </c>
    </row>
    <row r="2756" spans="1:14" x14ac:dyDescent="0.25">
      <c r="A2756" t="s">
        <v>82</v>
      </c>
      <c r="B2756" t="s">
        <v>179</v>
      </c>
      <c r="C2756" t="s">
        <v>368</v>
      </c>
      <c r="D2756" t="s">
        <v>426</v>
      </c>
      <c r="F2756" t="s">
        <v>471</v>
      </c>
      <c r="G2756" t="str">
        <f>HYPERLINK("https://ca.linkedin.com/jobs/view/business-data-analyst-at-capgemini-3327624663?refId=pUWqc%2Blix4%2FozRdOLyMsrQ%3D%3D&amp;trackingId=lXeogK7sq6cVCrmcAl0Ngg%3D%3D&amp;position=7&amp;pageNum=0&amp;trk=public_jobs_jserp-result_search-card", "Job Link")</f>
        <v>Job Link</v>
      </c>
      <c r="H2756" t="s">
        <v>478</v>
      </c>
      <c r="I2756" t="s">
        <v>481</v>
      </c>
      <c r="J2756" t="s">
        <v>486</v>
      </c>
      <c r="K2756" t="s">
        <v>521</v>
      </c>
      <c r="L2756" t="s">
        <v>611</v>
      </c>
      <c r="M2756" t="s">
        <v>601</v>
      </c>
    </row>
    <row r="2757" spans="1:14" x14ac:dyDescent="0.25">
      <c r="A2757" t="s">
        <v>14</v>
      </c>
      <c r="B2757" t="s">
        <v>150</v>
      </c>
      <c r="C2757" t="s">
        <v>369</v>
      </c>
      <c r="D2757" t="s">
        <v>426</v>
      </c>
      <c r="F2757" t="s">
        <v>460</v>
      </c>
      <c r="G2757" t="str">
        <f>HYPERLINK("https://ca.linkedin.com/jobs/view/data-analyst-at-synechron-3364863079?refId=pUWqc%2Blix4%2FozRdOLyMsrQ%3D%3D&amp;trackingId=T8nCB2rrCGeHadLKFQMZog%3D%3D&amp;position=8&amp;pageNum=0&amp;trk=public_jobs_jserp-result_search-card", "Job Link")</f>
        <v>Job Link</v>
      </c>
      <c r="H2757" t="s">
        <v>478</v>
      </c>
      <c r="I2757" t="s">
        <v>481</v>
      </c>
      <c r="J2757" t="s">
        <v>486</v>
      </c>
      <c r="K2757" t="s">
        <v>563</v>
      </c>
      <c r="L2757" t="s">
        <v>584</v>
      </c>
      <c r="M2757" t="s">
        <v>588</v>
      </c>
      <c r="N2757" t="s">
        <v>601</v>
      </c>
    </row>
    <row r="2758" spans="1:14" x14ac:dyDescent="0.25">
      <c r="A2758" t="s">
        <v>14</v>
      </c>
      <c r="B2758" t="s">
        <v>150</v>
      </c>
      <c r="C2758" t="s">
        <v>367</v>
      </c>
      <c r="D2758" t="s">
        <v>426</v>
      </c>
      <c r="F2758" t="s">
        <v>460</v>
      </c>
      <c r="G2758" t="str">
        <f>HYPERLINK("https://ca.linkedin.com/jobs/view/data-analyst-at-synechron-3361756851?refId=pUWqc%2Blix4%2FozRdOLyMsrQ%3D%3D&amp;trackingId=XiwKhOUXU%2FS%2FdRKWNzzQUg%3D%3D&amp;position=9&amp;pageNum=0&amp;trk=public_jobs_jserp-result_search-card", "Job Link")</f>
        <v>Job Link</v>
      </c>
      <c r="H2758" t="s">
        <v>478</v>
      </c>
      <c r="I2758" t="s">
        <v>481</v>
      </c>
      <c r="J2758" t="s">
        <v>486</v>
      </c>
      <c r="K2758" t="s">
        <v>562</v>
      </c>
      <c r="L2758" t="s">
        <v>584</v>
      </c>
      <c r="M2758" t="s">
        <v>588</v>
      </c>
      <c r="N2758" t="s">
        <v>601</v>
      </c>
    </row>
    <row r="2759" spans="1:14" x14ac:dyDescent="0.25">
      <c r="A2759" t="s">
        <v>14</v>
      </c>
      <c r="B2759" t="s">
        <v>212</v>
      </c>
      <c r="C2759" t="s">
        <v>370</v>
      </c>
      <c r="D2759" t="s">
        <v>426</v>
      </c>
      <c r="F2759" t="s">
        <v>432</v>
      </c>
      <c r="G2759" t="str">
        <f>HYPERLINK("https://ca.linkedin.com/jobs/view/data-analyst-at-agilus-work-solutions-3358673093?refId=pUWqc%2Blix4%2FozRdOLyMsrQ%3D%3D&amp;trackingId=8nxKmbVIgalBZAyXhBF70A%3D%3D&amp;position=10&amp;pageNum=0&amp;trk=public_jobs_jserp-result_search-card", "Job Link")</f>
        <v>Job Link</v>
      </c>
      <c r="H2759" t="s">
        <v>477</v>
      </c>
      <c r="I2759" t="s">
        <v>483</v>
      </c>
      <c r="J2759" t="s">
        <v>486</v>
      </c>
      <c r="K2759" t="s">
        <v>518</v>
      </c>
      <c r="L2759" t="s">
        <v>582</v>
      </c>
      <c r="M2759" t="s">
        <v>588</v>
      </c>
      <c r="N2759" t="s">
        <v>601</v>
      </c>
    </row>
    <row r="2760" spans="1:14" x14ac:dyDescent="0.25">
      <c r="A2760" t="s">
        <v>14</v>
      </c>
      <c r="B2760" t="s">
        <v>214</v>
      </c>
      <c r="C2760" t="s">
        <v>372</v>
      </c>
      <c r="D2760" t="s">
        <v>426</v>
      </c>
      <c r="F2760" t="s">
        <v>432</v>
      </c>
      <c r="G2760" t="str">
        <f>HYPERLINK("https://ca.linkedin.com/jobs/view/data-analyst-at-goeasy-ltd-3358677253?refId=pUWqc%2Blix4%2FozRdOLyMsrQ%3D%3D&amp;trackingId=3s8VyCmMVffoqUPvNrk4qw%3D%3D&amp;position=11&amp;pageNum=0&amp;trk=public_jobs_jserp-result_search-card", "Job Link")</f>
        <v>Job Link</v>
      </c>
      <c r="H2760" t="s">
        <v>476</v>
      </c>
      <c r="I2760" t="s">
        <v>481</v>
      </c>
      <c r="J2760" t="s">
        <v>486</v>
      </c>
      <c r="K2760" t="s">
        <v>550</v>
      </c>
      <c r="L2760" t="s">
        <v>584</v>
      </c>
      <c r="M2760" t="s">
        <v>588</v>
      </c>
      <c r="N2760" t="s">
        <v>601</v>
      </c>
    </row>
    <row r="2761" spans="1:14" x14ac:dyDescent="0.25">
      <c r="A2761" t="s">
        <v>14</v>
      </c>
      <c r="B2761" t="s">
        <v>213</v>
      </c>
      <c r="C2761" t="s">
        <v>371</v>
      </c>
      <c r="D2761" t="s">
        <v>426</v>
      </c>
      <c r="F2761" t="s">
        <v>472</v>
      </c>
      <c r="G2761" t="str">
        <f>HYPERLINK("https://ca.linkedin.com/jobs/view/data-analyst-at-linkus-group-3345817125?refId=pUWqc%2Blix4%2FozRdOLyMsrQ%3D%3D&amp;trackingId=Vu3WXaH28wkZYJ405%2BmxIw%3D%3D&amp;position=12&amp;pageNum=0&amp;trk=public_jobs_jserp-result_search-card", "Job Link")</f>
        <v>Job Link</v>
      </c>
      <c r="H2761" t="s">
        <v>476</v>
      </c>
      <c r="I2761" t="s">
        <v>481</v>
      </c>
      <c r="J2761" t="s">
        <v>486</v>
      </c>
      <c r="K2761" t="s">
        <v>518</v>
      </c>
      <c r="L2761" t="s">
        <v>588</v>
      </c>
      <c r="M2761" t="s">
        <v>601</v>
      </c>
    </row>
    <row r="2762" spans="1:14" x14ac:dyDescent="0.25">
      <c r="A2762" t="s">
        <v>83</v>
      </c>
      <c r="B2762" t="s">
        <v>215</v>
      </c>
      <c r="C2762" t="s">
        <v>373</v>
      </c>
      <c r="D2762" t="s">
        <v>426</v>
      </c>
      <c r="F2762" t="s">
        <v>462</v>
      </c>
      <c r="G2762">
        <v>0</v>
      </c>
      <c r="H2762" t="s">
        <v>478</v>
      </c>
      <c r="I2762" t="s">
        <v>483</v>
      </c>
      <c r="J2762" t="s">
        <v>509</v>
      </c>
      <c r="K2762" t="s">
        <v>550</v>
      </c>
      <c r="L2762" t="s">
        <v>584</v>
      </c>
      <c r="M2762" t="s">
        <v>588</v>
      </c>
      <c r="N2762" t="s">
        <v>601</v>
      </c>
    </row>
    <row r="2763" spans="1:14" x14ac:dyDescent="0.25">
      <c r="A2763" t="s">
        <v>91</v>
      </c>
      <c r="B2763" t="s">
        <v>224</v>
      </c>
      <c r="C2763" t="s">
        <v>384</v>
      </c>
      <c r="D2763" t="s">
        <v>426</v>
      </c>
      <c r="F2763" t="s">
        <v>431</v>
      </c>
      <c r="G2763" t="str">
        <f>HYPERLINK("https://ca.linkedin.com/jobs/view/commercial-data-analyst-at-organigram-inc-3367177254?refId=pUWqc%2Blix4%2FozRdOLyMsrQ%3D%3D&amp;trackingId=Kwxw%2B9hPNJrQ9E%2F8crnOhA%3D%3D&amp;position=14&amp;pageNum=0&amp;trk=public_jobs_jserp-result_search-card", "Job Link")</f>
        <v>Job Link</v>
      </c>
      <c r="I2763" t="s">
        <v>481</v>
      </c>
      <c r="L2763" t="s">
        <v>582</v>
      </c>
      <c r="M2763" t="s">
        <v>588</v>
      </c>
      <c r="N2763" t="s">
        <v>601</v>
      </c>
    </row>
    <row r="2764" spans="1:14" x14ac:dyDescent="0.25">
      <c r="A2764" t="s">
        <v>20</v>
      </c>
      <c r="B2764" t="s">
        <v>207</v>
      </c>
      <c r="C2764" t="s">
        <v>374</v>
      </c>
      <c r="D2764" t="s">
        <v>426</v>
      </c>
      <c r="F2764" t="s">
        <v>463</v>
      </c>
      <c r="G2764" t="str">
        <f>HYPERLINK("https://ca.linkedin.com/jobs/view/senior-data-analyst-at-onlia-3320897882?refId=pUWqc%2Blix4%2FozRdOLyMsrQ%3D%3D&amp;trackingId=LfSbtUhMthZMeB4hB7jrMQ%3D%3D&amp;position=15&amp;pageNum=0&amp;trk=public_jobs_jserp-result_search-card", "Job Link")</f>
        <v>Job Link</v>
      </c>
      <c r="H2764" t="s">
        <v>477</v>
      </c>
      <c r="I2764" t="s">
        <v>481</v>
      </c>
      <c r="J2764" t="s">
        <v>486</v>
      </c>
      <c r="K2764" t="s">
        <v>523</v>
      </c>
      <c r="L2764" t="s">
        <v>582</v>
      </c>
      <c r="M2764" t="s">
        <v>588</v>
      </c>
      <c r="N2764" t="s">
        <v>601</v>
      </c>
    </row>
    <row r="2765" spans="1:14" x14ac:dyDescent="0.25">
      <c r="A2765" t="s">
        <v>84</v>
      </c>
      <c r="B2765" t="s">
        <v>216</v>
      </c>
      <c r="C2765" t="s">
        <v>375</v>
      </c>
      <c r="D2765" t="s">
        <v>426</v>
      </c>
      <c r="F2765" t="s">
        <v>452</v>
      </c>
      <c r="G2765" t="str">
        <f>HYPERLINK("https://ca.linkedin.com/jobs/view/data-analyst-hybrid-at-xylem-3335088701?refId=pUWqc%2Blix4%2FozRdOLyMsrQ%3D%3D&amp;trackingId=aYRTr2WjbyynmmMK5zWLvQ%3D%3D&amp;position=16&amp;pageNum=0&amp;trk=public_jobs_jserp-result_search-card", "Job Link")</f>
        <v>Job Link</v>
      </c>
      <c r="H2765" t="s">
        <v>476</v>
      </c>
      <c r="I2765" t="s">
        <v>481</v>
      </c>
      <c r="J2765" t="s">
        <v>486</v>
      </c>
      <c r="K2765" t="s">
        <v>564</v>
      </c>
      <c r="L2765" t="s">
        <v>584</v>
      </c>
      <c r="M2765" t="s">
        <v>588</v>
      </c>
      <c r="N2765" t="s">
        <v>601</v>
      </c>
    </row>
    <row r="2766" spans="1:14" x14ac:dyDescent="0.25">
      <c r="A2766" t="s">
        <v>85</v>
      </c>
      <c r="B2766" t="s">
        <v>217</v>
      </c>
      <c r="C2766" t="s">
        <v>376</v>
      </c>
      <c r="D2766" t="s">
        <v>426</v>
      </c>
      <c r="F2766" t="s">
        <v>473</v>
      </c>
      <c r="G2766" t="str">
        <f>HYPERLINK("https://ca.linkedin.com/jobs/view/data-analyst-python-sql-at-geotab-3341823745?refId=pUWqc%2Blix4%2FozRdOLyMsrQ%3D%3D&amp;trackingId=5a0nfGXD2hGPh2rIXEFjRw%3D%3D&amp;position=17&amp;pageNum=0&amp;trk=public_jobs_jserp-result_search-card", "Job Link")</f>
        <v>Job Link</v>
      </c>
      <c r="H2766" t="s">
        <v>479</v>
      </c>
      <c r="I2766" t="s">
        <v>481</v>
      </c>
      <c r="J2766" t="s">
        <v>486</v>
      </c>
      <c r="K2766" t="s">
        <v>521</v>
      </c>
      <c r="L2766" t="s">
        <v>612</v>
      </c>
      <c r="M2766" t="s">
        <v>588</v>
      </c>
      <c r="N2766" t="s">
        <v>601</v>
      </c>
    </row>
    <row r="2767" spans="1:14" x14ac:dyDescent="0.25">
      <c r="A2767" t="s">
        <v>86</v>
      </c>
      <c r="B2767" t="s">
        <v>167</v>
      </c>
      <c r="C2767" t="s">
        <v>377</v>
      </c>
      <c r="D2767" t="s">
        <v>426</v>
      </c>
      <c r="F2767" t="s">
        <v>454</v>
      </c>
      <c r="G2767" t="str">
        <f>HYPERLINK("https://ca.linkedin.com/jobs/view/data-analyst-reporting-at-thescore-3345941286?refId=pUWqc%2Blix4%2FozRdOLyMsrQ%3D%3D&amp;trackingId=PXZN%2Bv94Ox3s5Sm3UL2NrQ%3D%3D&amp;position=18&amp;pageNum=0&amp;trk=public_jobs_jserp-result_search-card", "Job Link")</f>
        <v>Job Link</v>
      </c>
      <c r="H2767" t="s">
        <v>476</v>
      </c>
      <c r="I2767" t="s">
        <v>481</v>
      </c>
      <c r="J2767" t="s">
        <v>486</v>
      </c>
      <c r="K2767" t="s">
        <v>545</v>
      </c>
      <c r="L2767" t="s">
        <v>582</v>
      </c>
      <c r="M2767" t="s">
        <v>588</v>
      </c>
      <c r="N2767" t="s">
        <v>601</v>
      </c>
    </row>
    <row r="2768" spans="1:14" x14ac:dyDescent="0.25">
      <c r="A2768" t="s">
        <v>87</v>
      </c>
      <c r="B2768" t="s">
        <v>218</v>
      </c>
      <c r="C2768" t="s">
        <v>378</v>
      </c>
      <c r="D2768" t="s">
        <v>426</v>
      </c>
      <c r="F2768" t="s">
        <v>432</v>
      </c>
      <c r="G2768">
        <v>0</v>
      </c>
      <c r="H2768" t="s">
        <v>478</v>
      </c>
      <c r="I2768" t="s">
        <v>483</v>
      </c>
      <c r="J2768" t="s">
        <v>486</v>
      </c>
      <c r="K2768" t="s">
        <v>521</v>
      </c>
      <c r="L2768" t="s">
        <v>582</v>
      </c>
      <c r="M2768" t="s">
        <v>588</v>
      </c>
      <c r="N2768" t="s">
        <v>601</v>
      </c>
    </row>
    <row r="2769" spans="1:14" x14ac:dyDescent="0.25">
      <c r="A2769" t="s">
        <v>90</v>
      </c>
      <c r="B2769" t="s">
        <v>223</v>
      </c>
      <c r="C2769" t="s">
        <v>383</v>
      </c>
      <c r="D2769" t="s">
        <v>426</v>
      </c>
      <c r="F2769" t="s">
        <v>443</v>
      </c>
      <c r="G2769" t="str">
        <f>HYPERLINK("https://ca.linkedin.com/jobs/view/data-administrator-data-analyst-at-hays-3369576413?refId=pUWqc%2Blix4%2FozRdOLyMsrQ%3D%3D&amp;trackingId=eFgbDxrJaP2xyNP8OVJXmQ%3D%3D&amp;position=20&amp;pageNum=0&amp;trk=public_jobs_jserp-result_search-card", "Job Link")</f>
        <v>Job Link</v>
      </c>
      <c r="H2769" t="s">
        <v>478</v>
      </c>
      <c r="I2769" t="s">
        <v>481</v>
      </c>
      <c r="J2769" t="s">
        <v>486</v>
      </c>
      <c r="K2769" t="s">
        <v>518</v>
      </c>
      <c r="L2769" t="s">
        <v>583</v>
      </c>
      <c r="M2769" t="s">
        <v>610</v>
      </c>
      <c r="N2769" t="s">
        <v>601</v>
      </c>
    </row>
    <row r="2770" spans="1:14" x14ac:dyDescent="0.25">
      <c r="A2770" t="s">
        <v>88</v>
      </c>
      <c r="B2770" t="s">
        <v>219</v>
      </c>
      <c r="C2770" t="s">
        <v>379</v>
      </c>
      <c r="D2770" t="s">
        <v>426</v>
      </c>
      <c r="F2770" t="s">
        <v>454</v>
      </c>
      <c r="G2770" t="str">
        <f>HYPERLINK("https://ca.linkedin.com/jobs/view/data-analyst-flight-pricing-optimization-at-priceline-3345993633?refId=pUWqc%2Blix4%2FozRdOLyMsrQ%3D%3D&amp;trackingId=A3aw9jj%2FTXjjms4BUDFkTg%3D%3D&amp;position=21&amp;pageNum=0&amp;trk=public_jobs_jserp-result_search-card", "Job Link")</f>
        <v>Job Link</v>
      </c>
      <c r="H2770" t="s">
        <v>476</v>
      </c>
      <c r="I2770" t="s">
        <v>481</v>
      </c>
      <c r="J2770" t="s">
        <v>486</v>
      </c>
      <c r="K2770" t="s">
        <v>565</v>
      </c>
      <c r="L2770" t="s">
        <v>582</v>
      </c>
      <c r="M2770" t="s">
        <v>588</v>
      </c>
      <c r="N2770" t="s">
        <v>601</v>
      </c>
    </row>
    <row r="2771" spans="1:14" x14ac:dyDescent="0.25">
      <c r="A2771" t="s">
        <v>89</v>
      </c>
      <c r="B2771" t="s">
        <v>221</v>
      </c>
      <c r="C2771" t="s">
        <v>381</v>
      </c>
      <c r="D2771" t="s">
        <v>426</v>
      </c>
      <c r="F2771" t="s">
        <v>461</v>
      </c>
      <c r="G2771">
        <v>0</v>
      </c>
      <c r="H2771" t="s">
        <v>476</v>
      </c>
      <c r="I2771" t="s">
        <v>481</v>
      </c>
      <c r="J2771" t="s">
        <v>488</v>
      </c>
      <c r="K2771" t="s">
        <v>566</v>
      </c>
      <c r="L2771" t="s">
        <v>582</v>
      </c>
      <c r="M2771" t="s">
        <v>588</v>
      </c>
      <c r="N2771" t="s">
        <v>601</v>
      </c>
    </row>
    <row r="2772" spans="1:14" x14ac:dyDescent="0.25">
      <c r="A2772" t="s">
        <v>14</v>
      </c>
      <c r="B2772" t="s">
        <v>222</v>
      </c>
      <c r="C2772" t="s">
        <v>382</v>
      </c>
      <c r="D2772" t="s">
        <v>426</v>
      </c>
      <c r="F2772" t="s">
        <v>431</v>
      </c>
      <c r="G2772" t="str">
        <f>HYPERLINK("https://ca.linkedin.com/jobs/view/data-analyst-at-circle-k-3367192655?refId=pUWqc%2Blix4%2FozRdOLyMsrQ%3D%3D&amp;trackingId=wY6kaBuMo0w592WbP04Rhw%3D%3D&amp;position=23&amp;pageNum=0&amp;trk=public_jobs_jserp-result_search-card", "Job Link")</f>
        <v>Job Link</v>
      </c>
      <c r="H2772" t="s">
        <v>476</v>
      </c>
      <c r="I2772" t="s">
        <v>481</v>
      </c>
      <c r="J2772" t="s">
        <v>486</v>
      </c>
      <c r="K2772" t="s">
        <v>567</v>
      </c>
      <c r="L2772" t="s">
        <v>582</v>
      </c>
      <c r="M2772" t="s">
        <v>588</v>
      </c>
      <c r="N2772" t="s">
        <v>601</v>
      </c>
    </row>
    <row r="2773" spans="1:14" x14ac:dyDescent="0.25">
      <c r="A2773" t="s">
        <v>14</v>
      </c>
      <c r="B2773" t="s">
        <v>225</v>
      </c>
      <c r="C2773" t="s">
        <v>385</v>
      </c>
      <c r="D2773" t="s">
        <v>426</v>
      </c>
      <c r="F2773" t="s">
        <v>463</v>
      </c>
      <c r="G2773" t="str">
        <f>HYPERLINK("https://ca.linkedin.com/jobs/view/data-analyst-at-vector-institute-3325395506?refId=pUWqc%2Blix4%2FozRdOLyMsrQ%3D%3D&amp;trackingId=WW%2FlAk4LPg0Yt4cXJ%2F1jTg%3D%3D&amp;position=24&amp;pageNum=0&amp;trk=public_jobs_jserp-result_search-card", "Job Link")</f>
        <v>Job Link</v>
      </c>
      <c r="H2773" t="s">
        <v>478</v>
      </c>
      <c r="I2773" t="s">
        <v>481</v>
      </c>
      <c r="J2773" t="s">
        <v>486</v>
      </c>
      <c r="K2773" t="s">
        <v>520</v>
      </c>
      <c r="L2773" t="s">
        <v>582</v>
      </c>
      <c r="M2773" t="s">
        <v>588</v>
      </c>
      <c r="N2773" t="s">
        <v>601</v>
      </c>
    </row>
    <row r="2774" spans="1:14" x14ac:dyDescent="0.25">
      <c r="A2774" t="s">
        <v>14</v>
      </c>
      <c r="B2774" t="s">
        <v>226</v>
      </c>
      <c r="C2774" t="s">
        <v>386</v>
      </c>
      <c r="D2774" t="s">
        <v>426</v>
      </c>
      <c r="F2774" t="s">
        <v>474</v>
      </c>
      <c r="G2774" t="str">
        <f>HYPERLINK("https://ca.linkedin.com/jobs/view/data-analyst-at-gsl-group-3334387645?refId=pUWqc%2Blix4%2FozRdOLyMsrQ%3D%3D&amp;trackingId=UEjwJZ5cjwq%2BbLRfYCk%2F%2FA%3D%3D&amp;position=25&amp;pageNum=0&amp;trk=public_jobs_jserp-result_search-card", "Job Link")</f>
        <v>Job Link</v>
      </c>
      <c r="H2774" t="s">
        <v>476</v>
      </c>
      <c r="I2774" t="s">
        <v>481</v>
      </c>
      <c r="J2774" t="s">
        <v>486</v>
      </c>
      <c r="K2774" t="s">
        <v>568</v>
      </c>
      <c r="L2774" t="s">
        <v>590</v>
      </c>
      <c r="M2774" t="s">
        <v>618</v>
      </c>
      <c r="N2774" t="s">
        <v>601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2025-04-20T15:20:21Z</dcterms:created>
  <dcterms:modified xsi:type="dcterms:W3CDTF">2025-04-20T15:24:46Z</dcterms:modified>
</cp:coreProperties>
</file>