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53222"/>
  <mc:AlternateContent xmlns:mc="http://schemas.openxmlformats.org/markup-compatibility/2006">
    <mc:Choice Requires="x15">
      <x15ac:absPath xmlns:x15ac="http://schemas.microsoft.com/office/spreadsheetml/2010/11/ac" url="\\FE02FS22.de.bosch.com\CMPE_Praktikanten$\Widmann\Tool_Optimization\000_Tools\02_MP_Manufacturing_Planning\01_Manufacturing_Planning\"/>
    </mc:Choice>
  </mc:AlternateContent>
  <bookViews>
    <workbookView xWindow="0" yWindow="0" windowWidth="24000" windowHeight="9135"/>
  </bookViews>
  <sheets>
    <sheet name="Overview" sheetId="7" r:id="rId1"/>
    <sheet name="Cover-Pre-Acceptance" sheetId="3" r:id="rId2"/>
    <sheet name="Cover-Final Acceptance" sheetId="4" r:id="rId3"/>
    <sheet name="Acceptance Protocoll" sheetId="1" r:id="rId4"/>
    <sheet name="History" sheetId="6" r:id="rId5"/>
  </sheets>
  <externalReferences>
    <externalReference r:id="rId6"/>
    <externalReference r:id="rId7"/>
  </externalReferences>
  <definedNames>
    <definedName name="Bottomer">OPLR16C1:'[1]OPL'!$R$26</definedName>
    <definedName name="cCustomer">Overview!#REF!</definedName>
    <definedName name="cfgProjectName">'[2]#-Settings'!$C$9</definedName>
    <definedName name="ChooseLogo" localSheetId="0">Overview!$M$31</definedName>
    <definedName name="CountDone">[1]OPL!$O$20</definedName>
    <definedName name="CountOpen">[1]OPL!$O$21</definedName>
    <definedName name="CountOverdue">[1]OPL!$O$22</definedName>
    <definedName name="cProject">Overview!$F$12</definedName>
    <definedName name="_xlnm.Print_Area" localSheetId="3">'Acceptance Protocoll'!$A$1:$H$887</definedName>
    <definedName name="_xlnm.Print_Area" localSheetId="2">'Cover-Final Acceptance'!$A$1:$F$43</definedName>
    <definedName name="_xlnm.Print_Area" localSheetId="1">'Cover-Pre-Acceptance'!$A$1:$G$48</definedName>
    <definedName name="_xlnm.Print_Area" localSheetId="4">History!$A$1:$D$161</definedName>
    <definedName name="L">Overview!$F$13</definedName>
    <definedName name="refDateLastUpdateOn" localSheetId="0">Overview!$N$34</definedName>
    <definedName name="refLastUser" localSheetId="0">Overview!$N$33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31" i="1" l="1"/>
  <c r="B330" i="1" l="1"/>
  <c r="B329" i="1"/>
  <c r="B332" i="1"/>
  <c r="C829" i="1" l="1"/>
  <c r="C823" i="1"/>
  <c r="C813" i="1"/>
  <c r="B811" i="1"/>
  <c r="C836" i="1"/>
  <c r="B771" i="1"/>
  <c r="B770" i="1"/>
  <c r="B769" i="1"/>
  <c r="B766" i="1"/>
  <c r="B768" i="1"/>
  <c r="C599" i="1"/>
  <c r="G619" i="1"/>
  <c r="G673" i="1"/>
  <c r="G308" i="1"/>
  <c r="G326" i="1"/>
  <c r="B326" i="1"/>
  <c r="B325" i="1"/>
  <c r="C206" i="1"/>
  <c r="G129" i="1"/>
  <c r="C28" i="1"/>
  <c r="C14" i="1"/>
  <c r="C13" i="1"/>
  <c r="C12" i="1"/>
  <c r="C11" i="1"/>
  <c r="C10" i="1"/>
  <c r="C9" i="1"/>
  <c r="M12" i="7" l="1"/>
  <c r="M13" i="7"/>
  <c r="K14" i="7"/>
  <c r="B338" i="1" l="1"/>
  <c r="B28" i="3"/>
  <c r="D28" i="3"/>
  <c r="F28" i="3"/>
  <c r="D31" i="4"/>
  <c r="F31" i="4"/>
  <c r="A22" i="4"/>
  <c r="B1" i="4"/>
  <c r="H132" i="1" l="1"/>
  <c r="G132" i="1"/>
  <c r="B48" i="1"/>
  <c r="B47" i="1"/>
  <c r="B46" i="1"/>
  <c r="C287" i="1"/>
  <c r="C286" i="1"/>
  <c r="C285" i="1"/>
  <c r="C284" i="1"/>
  <c r="C283" i="1"/>
  <c r="C282" i="1"/>
  <c r="C281" i="1"/>
  <c r="D222" i="1"/>
  <c r="C272" i="1"/>
  <c r="C271" i="1"/>
  <c r="C270" i="1"/>
  <c r="C269" i="1"/>
  <c r="C268" i="1"/>
  <c r="C267" i="1"/>
  <c r="C266" i="1"/>
  <c r="C253" i="1"/>
  <c r="C254" i="1"/>
  <c r="C255" i="1"/>
  <c r="C249" i="1"/>
  <c r="C246" i="1"/>
  <c r="C244" i="1"/>
  <c r="C245" i="1"/>
  <c r="C247" i="1"/>
  <c r="C243" i="1"/>
  <c r="B219" i="1"/>
  <c r="B218" i="1"/>
  <c r="B217" i="1"/>
  <c r="B216" i="1"/>
  <c r="C321" i="1" l="1"/>
  <c r="C630" i="1"/>
  <c r="C184" i="1" l="1"/>
  <c r="C163" i="1"/>
  <c r="C77" i="1" l="1"/>
  <c r="C76" i="1"/>
  <c r="C75" i="1"/>
  <c r="C72" i="1"/>
  <c r="G97" i="1"/>
  <c r="G92" i="1"/>
  <c r="C886" i="1"/>
  <c r="C885" i="1"/>
  <c r="C884" i="1"/>
  <c r="C883" i="1"/>
  <c r="C882" i="1"/>
  <c r="C881" i="1"/>
  <c r="C880" i="1"/>
  <c r="C879" i="1"/>
  <c r="C878" i="1"/>
  <c r="C877" i="1"/>
  <c r="C876" i="1"/>
  <c r="C875" i="1"/>
  <c r="C874" i="1"/>
  <c r="C873" i="1"/>
  <c r="C872" i="1"/>
  <c r="C871" i="1"/>
  <c r="C866" i="1"/>
  <c r="C865" i="1"/>
  <c r="C864" i="1"/>
  <c r="C863" i="1"/>
  <c r="C862" i="1"/>
  <c r="C861" i="1"/>
  <c r="C860" i="1"/>
  <c r="C859" i="1"/>
  <c r="C858" i="1"/>
  <c r="C857" i="1"/>
  <c r="C856" i="1"/>
  <c r="C855" i="1"/>
  <c r="C854" i="1"/>
  <c r="C853" i="1"/>
  <c r="C852" i="1"/>
  <c r="C851" i="1"/>
  <c r="C850" i="1"/>
  <c r="C849" i="1"/>
  <c r="C848" i="1"/>
  <c r="C847" i="1"/>
  <c r="C845" i="1"/>
  <c r="C846" i="1"/>
  <c r="C844" i="1"/>
  <c r="C843" i="1"/>
  <c r="C842" i="1"/>
  <c r="C841" i="1"/>
  <c r="C840" i="1"/>
  <c r="C839" i="1"/>
  <c r="C838" i="1"/>
  <c r="C837" i="1"/>
  <c r="C835" i="1"/>
  <c r="C834" i="1"/>
  <c r="C833" i="1"/>
  <c r="C832" i="1"/>
  <c r="C831" i="1"/>
  <c r="C830" i="1"/>
  <c r="C828" i="1"/>
  <c r="C827" i="1"/>
  <c r="C826" i="1"/>
  <c r="C825" i="1"/>
  <c r="C824" i="1"/>
  <c r="C822" i="1"/>
  <c r="C821" i="1"/>
  <c r="C820" i="1"/>
  <c r="C819" i="1"/>
  <c r="C818" i="1"/>
  <c r="C817" i="1"/>
  <c r="C816" i="1"/>
  <c r="C815" i="1"/>
  <c r="C814" i="1"/>
  <c r="C490" i="1"/>
  <c r="C489" i="1"/>
  <c r="C488" i="1"/>
  <c r="B487" i="1"/>
  <c r="B486" i="1"/>
  <c r="C485" i="1"/>
  <c r="C484" i="1"/>
  <c r="C483" i="1"/>
  <c r="C482" i="1"/>
  <c r="C481" i="1"/>
  <c r="C480" i="1"/>
  <c r="B479" i="1"/>
  <c r="C477" i="1"/>
  <c r="B476" i="1"/>
  <c r="C475" i="1"/>
  <c r="C474" i="1"/>
  <c r="C473" i="1"/>
  <c r="C472" i="1"/>
  <c r="B471" i="1"/>
  <c r="B470" i="1"/>
  <c r="B469" i="1"/>
  <c r="C467" i="1"/>
  <c r="C466" i="1"/>
  <c r="C465" i="1"/>
  <c r="C464" i="1"/>
  <c r="C463" i="1"/>
  <c r="B462" i="1"/>
  <c r="C460" i="1"/>
  <c r="B459" i="1"/>
  <c r="C448" i="1"/>
  <c r="B447" i="1"/>
  <c r="C445" i="1"/>
  <c r="C444" i="1"/>
  <c r="C443" i="1"/>
  <c r="B442" i="1"/>
  <c r="C441" i="1"/>
  <c r="B440" i="1"/>
  <c r="C439" i="1"/>
  <c r="B438" i="1"/>
  <c r="B437" i="1"/>
  <c r="C435" i="1"/>
  <c r="C434" i="1"/>
  <c r="B433" i="1"/>
  <c r="C432" i="1"/>
  <c r="B431" i="1"/>
  <c r="C430" i="1"/>
  <c r="B429" i="1"/>
  <c r="C427" i="1"/>
  <c r="C426" i="1"/>
  <c r="C425" i="1"/>
  <c r="C424" i="1"/>
  <c r="C423" i="1"/>
  <c r="C422" i="1"/>
  <c r="C421" i="1"/>
  <c r="B420" i="1"/>
  <c r="B419" i="1"/>
  <c r="C417" i="1"/>
  <c r="C416" i="1"/>
  <c r="B415" i="1"/>
  <c r="C406" i="1"/>
  <c r="C405" i="1"/>
  <c r="C404" i="1"/>
  <c r="C403" i="1"/>
  <c r="C402" i="1"/>
  <c r="B401" i="1"/>
  <c r="C399" i="1"/>
  <c r="C398" i="1"/>
  <c r="B396" i="1"/>
  <c r="C395" i="1"/>
  <c r="C394" i="1"/>
  <c r="C393" i="1"/>
  <c r="C392" i="1"/>
  <c r="C391" i="1"/>
  <c r="B390" i="1"/>
  <c r="C389" i="1"/>
  <c r="C388" i="1"/>
  <c r="C387" i="1"/>
  <c r="C386" i="1"/>
  <c r="B385" i="1"/>
  <c r="C384" i="1"/>
  <c r="C383" i="1"/>
  <c r="B382" i="1"/>
  <c r="C381" i="1"/>
  <c r="B380" i="1"/>
  <c r="C370" i="1"/>
  <c r="C369" i="1"/>
  <c r="C368" i="1"/>
  <c r="C367" i="1"/>
  <c r="B366" i="1"/>
  <c r="C365" i="1"/>
  <c r="C364" i="1"/>
  <c r="B363" i="1"/>
  <c r="C362" i="1"/>
  <c r="B361" i="1"/>
  <c r="C360" i="1"/>
  <c r="B359" i="1"/>
  <c r="C357" i="1"/>
  <c r="B356" i="1"/>
  <c r="C354" i="1"/>
  <c r="B353" i="1"/>
  <c r="C351" i="1"/>
  <c r="B350" i="1"/>
  <c r="C348" i="1"/>
  <c r="B347" i="1"/>
  <c r="B346" i="1"/>
  <c r="C344" i="1"/>
  <c r="C343" i="1"/>
  <c r="B342" i="1"/>
  <c r="C340" i="1"/>
  <c r="C339" i="1"/>
  <c r="G869" i="1" l="1"/>
  <c r="G809" i="1"/>
  <c r="G753" i="1"/>
  <c r="G704" i="1"/>
  <c r="G654" i="1"/>
  <c r="G616" i="1"/>
  <c r="G579" i="1"/>
  <c r="G538" i="1"/>
  <c r="G497" i="1"/>
  <c r="G457" i="1"/>
  <c r="G413" i="1"/>
  <c r="G378" i="1"/>
  <c r="G336" i="1"/>
  <c r="G294" i="1"/>
  <c r="G238" i="1"/>
  <c r="G202" i="1"/>
  <c r="G158" i="1"/>
  <c r="G118" i="1"/>
  <c r="G84" i="1"/>
  <c r="G44" i="1"/>
  <c r="B869" i="1"/>
  <c r="B809" i="1"/>
  <c r="B753" i="1"/>
  <c r="B704" i="1"/>
  <c r="B654" i="1"/>
  <c r="B616" i="1"/>
  <c r="B579" i="1"/>
  <c r="B538" i="1"/>
  <c r="B497" i="1"/>
  <c r="B457" i="1"/>
  <c r="B413" i="1"/>
  <c r="B378" i="1"/>
  <c r="B336" i="1"/>
  <c r="B294" i="1"/>
  <c r="B238" i="1"/>
  <c r="B202" i="1"/>
  <c r="B158" i="1"/>
  <c r="B118" i="1"/>
  <c r="B84" i="1"/>
  <c r="B44" i="1"/>
  <c r="A869" i="1"/>
  <c r="A809" i="1"/>
  <c r="A753" i="1"/>
  <c r="A704" i="1"/>
  <c r="A654" i="1"/>
  <c r="A616" i="1"/>
  <c r="A579" i="1"/>
  <c r="A538" i="1"/>
  <c r="A497" i="1"/>
  <c r="A457" i="1"/>
  <c r="A413" i="1"/>
  <c r="A378" i="1"/>
  <c r="A336" i="1"/>
  <c r="A294" i="1"/>
  <c r="A238" i="1"/>
  <c r="A202" i="1"/>
  <c r="A158" i="1"/>
  <c r="A118" i="1"/>
  <c r="A84" i="1"/>
  <c r="A44" i="1"/>
  <c r="C867" i="1"/>
  <c r="C807" i="1"/>
  <c r="C751" i="1"/>
  <c r="C702" i="1"/>
  <c r="C652" i="1"/>
  <c r="C614" i="1"/>
  <c r="C577" i="1"/>
  <c r="C536" i="1"/>
  <c r="C495" i="1"/>
  <c r="C455" i="1"/>
  <c r="C411" i="1"/>
  <c r="C376" i="1"/>
  <c r="C334" i="1"/>
  <c r="C292" i="1"/>
  <c r="C236" i="1"/>
  <c r="C200" i="1"/>
  <c r="C156" i="1"/>
  <c r="C116" i="1"/>
  <c r="C82" i="1"/>
  <c r="C42" i="1"/>
  <c r="C1" i="1"/>
  <c r="H867" i="1"/>
  <c r="H807" i="1"/>
  <c r="H751" i="1"/>
  <c r="H702" i="1"/>
  <c r="H652" i="1"/>
  <c r="H614" i="1"/>
  <c r="H577" i="1"/>
  <c r="H536" i="1"/>
  <c r="H495" i="1"/>
  <c r="H455" i="1"/>
  <c r="H411" i="1"/>
  <c r="H376" i="1"/>
  <c r="H334" i="1"/>
  <c r="H292" i="1"/>
  <c r="H236" i="1"/>
  <c r="H200" i="1"/>
  <c r="H156" i="1"/>
  <c r="H116" i="1"/>
  <c r="H82" i="1"/>
  <c r="H42" i="1"/>
  <c r="G867" i="1"/>
  <c r="G807" i="1"/>
  <c r="G751" i="1"/>
  <c r="G702" i="1"/>
  <c r="G652" i="1"/>
  <c r="G614" i="1"/>
  <c r="G577" i="1"/>
  <c r="G536" i="1"/>
  <c r="G495" i="1"/>
  <c r="G455" i="1"/>
  <c r="G411" i="1"/>
  <c r="G376" i="1"/>
  <c r="G334" i="1"/>
  <c r="G292" i="1"/>
  <c r="G236" i="1"/>
  <c r="G200" i="1"/>
  <c r="G156" i="1"/>
  <c r="G116" i="1"/>
  <c r="G82" i="1"/>
  <c r="G42" i="1"/>
  <c r="G685" i="1"/>
  <c r="G676" i="1"/>
  <c r="H1" i="1"/>
  <c r="G3" i="1"/>
  <c r="A22" i="1"/>
  <c r="A6" i="1"/>
  <c r="A3" i="1"/>
  <c r="G1" i="1"/>
  <c r="F3" i="3"/>
  <c r="F1" i="3"/>
  <c r="A3" i="3"/>
  <c r="F3" i="4"/>
  <c r="F1" i="4"/>
  <c r="A3" i="4"/>
  <c r="C527" i="1"/>
  <c r="C525" i="1"/>
  <c r="C524" i="1"/>
  <c r="C523" i="1"/>
  <c r="C522" i="1"/>
  <c r="B521" i="1"/>
  <c r="B520" i="1"/>
  <c r="C519" i="1"/>
  <c r="C518" i="1"/>
  <c r="C517" i="1"/>
  <c r="C516" i="1"/>
  <c r="B515" i="1"/>
  <c r="C514" i="1"/>
  <c r="C513" i="1"/>
  <c r="C512" i="1"/>
  <c r="C511" i="1"/>
  <c r="B510" i="1"/>
  <c r="C509" i="1"/>
  <c r="B508" i="1"/>
  <c r="C507" i="1"/>
  <c r="C506" i="1"/>
  <c r="B505" i="1"/>
  <c r="C503" i="1"/>
  <c r="B502" i="1"/>
  <c r="C500" i="1"/>
  <c r="B499" i="1"/>
  <c r="C571" i="1"/>
  <c r="C570" i="1"/>
  <c r="C569" i="1"/>
  <c r="C567" i="1"/>
  <c r="C566" i="1"/>
  <c r="C565" i="1"/>
  <c r="C564" i="1"/>
  <c r="B563" i="1"/>
  <c r="C561" i="1"/>
  <c r="B560" i="1"/>
  <c r="C559" i="1"/>
  <c r="B558" i="1"/>
  <c r="C557" i="1"/>
  <c r="B556" i="1"/>
  <c r="C555" i="1"/>
  <c r="B554" i="1"/>
  <c r="C552" i="1"/>
  <c r="B551" i="1"/>
  <c r="B549" i="1"/>
  <c r="B547" i="1"/>
  <c r="C544" i="1"/>
  <c r="C543" i="1"/>
  <c r="C542" i="1"/>
  <c r="C541" i="1"/>
  <c r="B540" i="1"/>
  <c r="C598" i="1"/>
  <c r="C597" i="1"/>
  <c r="C596" i="1"/>
  <c r="C595" i="1"/>
  <c r="B594" i="1"/>
  <c r="C593" i="1"/>
  <c r="C592" i="1"/>
  <c r="C591" i="1"/>
  <c r="C590" i="1"/>
  <c r="C589" i="1"/>
  <c r="B588" i="1"/>
  <c r="C587" i="1"/>
  <c r="C586" i="1"/>
  <c r="C585" i="1"/>
  <c r="C584" i="1"/>
  <c r="C583" i="1"/>
  <c r="C582" i="1"/>
  <c r="B581" i="1"/>
  <c r="B678" i="1"/>
  <c r="C686" i="1"/>
  <c r="C685" i="1"/>
  <c r="B684" i="1"/>
  <c r="C676" i="1"/>
  <c r="B675" i="1"/>
  <c r="B673" i="1"/>
  <c r="B672" i="1"/>
  <c r="C668" i="1"/>
  <c r="B667" i="1"/>
  <c r="C665" i="1"/>
  <c r="B664" i="1"/>
  <c r="B663" i="1"/>
  <c r="C661" i="1"/>
  <c r="C660" i="1"/>
  <c r="B659" i="1"/>
  <c r="C657" i="1"/>
  <c r="B656" i="1"/>
  <c r="C646" i="1"/>
  <c r="C645" i="1"/>
  <c r="B644" i="1"/>
  <c r="C643" i="1"/>
  <c r="C642" i="1"/>
  <c r="C641" i="1"/>
  <c r="C640" i="1"/>
  <c r="C639" i="1"/>
  <c r="C638" i="1"/>
  <c r="B637" i="1"/>
  <c r="C635" i="1"/>
  <c r="B634" i="1"/>
  <c r="C632" i="1"/>
  <c r="C631" i="1"/>
  <c r="B629" i="1"/>
  <c r="C627" i="1"/>
  <c r="C626" i="1"/>
  <c r="B625" i="1"/>
  <c r="C623" i="1"/>
  <c r="B622" i="1"/>
  <c r="B619" i="1"/>
  <c r="B745" i="1"/>
  <c r="B743" i="1"/>
  <c r="B742" i="1"/>
  <c r="B741" i="1"/>
  <c r="C735" i="1"/>
  <c r="C729" i="1"/>
  <c r="C727" i="1"/>
  <c r="C726" i="1"/>
  <c r="C725" i="1"/>
  <c r="C723" i="1"/>
  <c r="C722" i="1"/>
  <c r="C721" i="1"/>
  <c r="C720" i="1"/>
  <c r="C718" i="1"/>
  <c r="C717" i="1"/>
  <c r="C716" i="1"/>
  <c r="C714" i="1"/>
  <c r="C713" i="1"/>
  <c r="C712" i="1"/>
  <c r="C711" i="1"/>
  <c r="C710" i="1"/>
  <c r="B708" i="1"/>
  <c r="B707" i="1"/>
  <c r="B706" i="1"/>
  <c r="B792" i="1"/>
  <c r="C790" i="1"/>
  <c r="C789" i="1"/>
  <c r="B786" i="1"/>
  <c r="C784" i="1"/>
  <c r="C783" i="1"/>
  <c r="C782" i="1"/>
  <c r="C781" i="1"/>
  <c r="B777" i="1"/>
  <c r="B774" i="1"/>
  <c r="B772" i="1"/>
  <c r="B767" i="1"/>
  <c r="B764" i="1"/>
  <c r="B763" i="1"/>
  <c r="C761" i="1"/>
  <c r="C760" i="1"/>
  <c r="C759" i="1"/>
  <c r="C758" i="1"/>
  <c r="B757" i="1"/>
  <c r="B755" i="1"/>
  <c r="C323" i="1"/>
  <c r="C322" i="1"/>
  <c r="B320" i="1"/>
  <c r="B318" i="1"/>
  <c r="C317" i="1"/>
  <c r="B316" i="1"/>
  <c r="C314" i="1"/>
  <c r="B313" i="1"/>
  <c r="B311" i="1"/>
  <c r="B308" i="1"/>
  <c r="B307" i="1"/>
  <c r="C306" i="1"/>
  <c r="C305" i="1"/>
  <c r="B304" i="1"/>
  <c r="C302" i="1"/>
  <c r="C301" i="1"/>
  <c r="C300" i="1"/>
  <c r="C299" i="1"/>
  <c r="C298" i="1"/>
  <c r="C297" i="1"/>
  <c r="B296" i="1"/>
  <c r="B280" i="1"/>
  <c r="C279" i="1"/>
  <c r="C278" i="1"/>
  <c r="C276" i="1"/>
  <c r="C275" i="1"/>
  <c r="C262" i="1"/>
  <c r="B260" i="1"/>
  <c r="C257" i="1"/>
  <c r="B256" i="1"/>
  <c r="B252" i="1"/>
  <c r="B248" i="1"/>
  <c r="B242" i="1"/>
  <c r="C241" i="1"/>
  <c r="C240" i="1"/>
  <c r="G150" i="1" l="1"/>
  <c r="C233" i="1"/>
  <c r="C232" i="1"/>
  <c r="C230" i="1"/>
  <c r="C229" i="1"/>
  <c r="D228" i="1"/>
  <c r="C228" i="1"/>
  <c r="C227" i="1"/>
  <c r="D226" i="1"/>
  <c r="C226" i="1"/>
  <c r="C225" i="1"/>
  <c r="D224" i="1"/>
  <c r="C224" i="1"/>
  <c r="C223" i="1"/>
  <c r="C222" i="1"/>
  <c r="C221" i="1"/>
  <c r="B220" i="1"/>
  <c r="B215" i="1"/>
  <c r="C213" i="1"/>
  <c r="B212" i="1"/>
  <c r="C210" i="1"/>
  <c r="C209" i="1"/>
  <c r="B208" i="1"/>
  <c r="B204" i="1"/>
  <c r="C194" i="1"/>
  <c r="B192" i="1"/>
  <c r="C190" i="1"/>
  <c r="C189" i="1"/>
  <c r="C188" i="1"/>
  <c r="B186" i="1"/>
  <c r="C183" i="1"/>
  <c r="B181" i="1"/>
  <c r="C179" i="1"/>
  <c r="B177" i="1"/>
  <c r="C175" i="1"/>
  <c r="B173" i="1"/>
  <c r="C171" i="1"/>
  <c r="B169" i="1"/>
  <c r="C167" i="1"/>
  <c r="C166" i="1"/>
  <c r="B165" i="1"/>
  <c r="G163" i="1"/>
  <c r="G162" i="1"/>
  <c r="C162" i="1"/>
  <c r="C161" i="1"/>
  <c r="B160" i="1"/>
  <c r="C151" i="1"/>
  <c r="C150" i="1"/>
  <c r="C149" i="1"/>
  <c r="C148" i="1"/>
  <c r="C147" i="1"/>
  <c r="C146" i="1"/>
  <c r="C145" i="1"/>
  <c r="C144" i="1"/>
  <c r="C143" i="1"/>
  <c r="C142" i="1"/>
  <c r="B141" i="1"/>
  <c r="B137" i="1"/>
  <c r="C136" i="1"/>
  <c r="C135" i="1"/>
  <c r="C134" i="1"/>
  <c r="C133" i="1"/>
  <c r="C131" i="1"/>
  <c r="B130" i="1"/>
  <c r="C129" i="1"/>
  <c r="B128" i="1"/>
  <c r="C127" i="1"/>
  <c r="C126" i="1"/>
  <c r="B125" i="1"/>
  <c r="B124" i="1"/>
  <c r="C122" i="1"/>
  <c r="C121" i="1"/>
  <c r="B120" i="1"/>
  <c r="C111" i="1"/>
  <c r="B110" i="1"/>
  <c r="C108" i="1"/>
  <c r="C107" i="1"/>
  <c r="C106" i="1"/>
  <c r="C105" i="1"/>
  <c r="C104" i="1"/>
  <c r="B103" i="1"/>
  <c r="C102" i="1"/>
  <c r="C101" i="1"/>
  <c r="C100" i="1"/>
  <c r="B99" i="1"/>
  <c r="C96" i="1"/>
  <c r="C95" i="1"/>
  <c r="B94" i="1"/>
  <c r="B93" i="1"/>
  <c r="C92" i="1"/>
  <c r="C91" i="1"/>
  <c r="B90" i="1"/>
  <c r="G87" i="1"/>
  <c r="B87" i="1"/>
  <c r="C74" i="1"/>
  <c r="C73" i="1"/>
  <c r="B71" i="1"/>
  <c r="G52" i="1"/>
  <c r="C52" i="1"/>
  <c r="B52" i="1"/>
  <c r="C50" i="1"/>
  <c r="C35" i="1"/>
  <c r="C34" i="1"/>
  <c r="C33" i="1"/>
  <c r="C32" i="1"/>
  <c r="C31" i="1"/>
  <c r="C30" i="1"/>
  <c r="C29" i="1"/>
  <c r="C27" i="1"/>
  <c r="C26" i="1"/>
  <c r="C25" i="1"/>
  <c r="C24" i="1"/>
  <c r="C20" i="1"/>
  <c r="C19" i="1"/>
  <c r="C18" i="1"/>
  <c r="C17" i="1"/>
  <c r="C16" i="1"/>
  <c r="C15" i="1"/>
  <c r="C8" i="1"/>
  <c r="B1" i="3"/>
  <c r="F28" i="4" l="1"/>
  <c r="D28" i="4"/>
  <c r="B39" i="4"/>
  <c r="B38" i="4"/>
  <c r="B37" i="4"/>
  <c r="B36" i="4"/>
  <c r="A35" i="4"/>
  <c r="A34" i="4"/>
  <c r="B34" i="4"/>
  <c r="A31" i="4"/>
  <c r="A37" i="4"/>
  <c r="A36" i="4"/>
  <c r="A40" i="4"/>
  <c r="D40" i="4"/>
  <c r="B40" i="4"/>
  <c r="A43" i="4"/>
  <c r="A42" i="4"/>
  <c r="A28" i="4"/>
  <c r="A26" i="4"/>
  <c r="A25" i="4"/>
  <c r="B25" i="4"/>
  <c r="B22" i="4"/>
  <c r="F25" i="4"/>
  <c r="F22" i="4"/>
  <c r="F19" i="4"/>
  <c r="D25" i="4"/>
  <c r="D22" i="4"/>
  <c r="D19" i="4"/>
  <c r="B20" i="4"/>
  <c r="B19" i="4"/>
  <c r="A19" i="4"/>
  <c r="D14" i="4"/>
  <c r="D13" i="4"/>
  <c r="D12" i="4"/>
  <c r="D11" i="4"/>
  <c r="D10" i="4"/>
  <c r="D9" i="4"/>
  <c r="A15" i="4"/>
  <c r="A14" i="4"/>
  <c r="A13" i="4"/>
  <c r="A12" i="4"/>
  <c r="A11" i="4"/>
  <c r="A9" i="4"/>
  <c r="A7" i="4"/>
  <c r="A41" i="3"/>
  <c r="A40" i="3"/>
  <c r="D36" i="3"/>
  <c r="B36" i="3"/>
  <c r="F41" i="3"/>
  <c r="D41" i="3"/>
  <c r="B41" i="3"/>
  <c r="B40" i="3"/>
  <c r="A39" i="3"/>
  <c r="B43" i="3"/>
  <c r="B42" i="3"/>
  <c r="F43" i="3"/>
  <c r="D43" i="3"/>
  <c r="B44" i="3"/>
  <c r="F45" i="3"/>
  <c r="D47" i="3"/>
  <c r="D48" i="3"/>
  <c r="A36" i="3"/>
  <c r="B35" i="3"/>
  <c r="B34" i="3"/>
  <c r="B33" i="3"/>
  <c r="B32" i="3"/>
  <c r="B31" i="3"/>
  <c r="A32" i="3"/>
  <c r="A31" i="3"/>
  <c r="A28" i="3"/>
  <c r="B26" i="3"/>
  <c r="A26" i="3"/>
  <c r="A24" i="3"/>
  <c r="A23" i="3"/>
  <c r="A20" i="3"/>
  <c r="B23" i="3"/>
  <c r="B20" i="3"/>
  <c r="F23" i="3"/>
  <c r="F20" i="3"/>
  <c r="F17" i="3"/>
  <c r="D23" i="3"/>
  <c r="D20" i="3"/>
  <c r="D17" i="3"/>
  <c r="B18" i="3"/>
  <c r="B17" i="3"/>
  <c r="A17" i="3"/>
  <c r="D13" i="3"/>
  <c r="D12" i="3"/>
  <c r="D11" i="3"/>
  <c r="D10" i="3"/>
  <c r="D9" i="3"/>
  <c r="D8" i="3"/>
  <c r="A14" i="3"/>
  <c r="A13" i="3"/>
  <c r="A12" i="3"/>
  <c r="A11" i="3"/>
  <c r="A10" i="3"/>
  <c r="A9" i="3"/>
  <c r="A8" i="3"/>
  <c r="A6" i="3"/>
  <c r="P31" i="7" l="1"/>
  <c r="D790" i="1" l="1"/>
  <c r="G725" i="1"/>
  <c r="G712" i="1"/>
  <c r="G714" i="1" s="1"/>
  <c r="G727" i="1" s="1"/>
  <c r="E136" i="1"/>
  <c r="D136" i="1"/>
  <c r="E135" i="1"/>
  <c r="D135" i="1"/>
  <c r="D133" i="1"/>
  <c r="C20" i="3" l="1"/>
  <c r="C22" i="4"/>
  <c r="E133" i="1"/>
  <c r="D134" i="1"/>
  <c r="E134" i="1"/>
  <c r="G718" i="1"/>
  <c r="C25" i="4" l="1"/>
  <c r="C23" i="3"/>
  <c r="E25" i="4"/>
  <c r="E23" i="3"/>
  <c r="E20" i="3"/>
  <c r="E22" i="4"/>
</calcChain>
</file>

<file path=xl/sharedStrings.xml><?xml version="1.0" encoding="utf-8"?>
<sst xmlns="http://schemas.openxmlformats.org/spreadsheetml/2006/main" count="589" uniqueCount="436">
  <si>
    <t xml:space="preserve">Invest. Nr. : </t>
  </si>
  <si>
    <t>Responsible:</t>
  </si>
  <si>
    <t>FL-X……..</t>
  </si>
  <si>
    <t xml:space="preserve">C/MPE - </t>
  </si>
  <si>
    <t>1.</t>
  </si>
  <si>
    <t>2.</t>
  </si>
  <si>
    <t>3.</t>
  </si>
  <si>
    <t>4.</t>
  </si>
  <si>
    <t>5.</t>
  </si>
  <si>
    <t>6.</t>
  </si>
  <si>
    <t>7.</t>
  </si>
  <si>
    <t>8.</t>
  </si>
  <si>
    <t>9.</t>
  </si>
  <si>
    <t>10.</t>
  </si>
  <si>
    <t>11.</t>
  </si>
  <si>
    <t>12.</t>
  </si>
  <si>
    <t>13.</t>
  </si>
  <si>
    <t>ok</t>
  </si>
  <si>
    <t>nok</t>
  </si>
  <si>
    <t>n/a</t>
  </si>
  <si>
    <t>1.1</t>
  </si>
  <si>
    <t>1.2</t>
  </si>
  <si>
    <t xml:space="preserve">cm  </t>
  </si>
  <si>
    <t xml:space="preserve">kg  </t>
  </si>
  <si>
    <t>Extract from N51M M20</t>
  </si>
  <si>
    <t>2.1</t>
  </si>
  <si>
    <t>2.2</t>
  </si>
  <si>
    <t>2.2.1</t>
  </si>
  <si>
    <t>Link</t>
  </si>
  <si>
    <t>2.2.2</t>
  </si>
  <si>
    <t>2.2.3</t>
  </si>
  <si>
    <t>2.3</t>
  </si>
  <si>
    <t>2.4</t>
  </si>
  <si>
    <t>2.5</t>
  </si>
  <si>
    <t>2.5.1</t>
  </si>
  <si>
    <t>2.5.2</t>
  </si>
  <si>
    <t>2.5.3</t>
  </si>
  <si>
    <t>2.5.4</t>
  </si>
  <si>
    <t>2.5.5</t>
  </si>
  <si>
    <t>2.5.6</t>
  </si>
  <si>
    <t>2.5.7</t>
  </si>
  <si>
    <t>2.5.7.1</t>
  </si>
  <si>
    <t>2.5.7.2</t>
  </si>
  <si>
    <t>2.5.7.3</t>
  </si>
  <si>
    <t>2.5.7.4</t>
  </si>
  <si>
    <t>2.5.7.5</t>
  </si>
  <si>
    <t>2.5.7.6</t>
  </si>
  <si>
    <t>2.5.7.7</t>
  </si>
  <si>
    <t>yes</t>
  </si>
  <si>
    <t>no</t>
  </si>
  <si>
    <t>na</t>
  </si>
  <si>
    <t>DS-MAE-Checkliste</t>
  </si>
  <si>
    <t>2.6</t>
  </si>
  <si>
    <t>2.7</t>
  </si>
  <si>
    <t>2.7.1</t>
  </si>
  <si>
    <t xml:space="preserve">
- Safety data sheet
- Scope of delivery documentation</t>
  </si>
  <si>
    <t>2.7.2</t>
  </si>
  <si>
    <t>2.7.3</t>
  </si>
  <si>
    <t>2.7.4</t>
  </si>
  <si>
    <t>2.7.5</t>
  </si>
  <si>
    <t>2.7.6</t>
  </si>
  <si>
    <t>Hardware</t>
  </si>
  <si>
    <t>Software</t>
  </si>
  <si>
    <t>2.7.7</t>
  </si>
  <si>
    <t>2.8</t>
  </si>
  <si>
    <t>3.1</t>
  </si>
  <si>
    <t>3.2</t>
  </si>
  <si>
    <t>3.3</t>
  </si>
  <si>
    <t>---</t>
  </si>
  <si>
    <t>3.4</t>
  </si>
  <si>
    <t>4.1</t>
  </si>
  <si>
    <t>4.2</t>
  </si>
  <si>
    <t>4.3</t>
  </si>
  <si>
    <t>4.3.1</t>
  </si>
  <si>
    <t>4.3.2</t>
  </si>
  <si>
    <t>4.3.3</t>
  </si>
  <si>
    <t>4.3.4</t>
  </si>
  <si>
    <t>4.4.5</t>
  </si>
  <si>
    <t>4.3.6</t>
  </si>
  <si>
    <t>4.3.7</t>
  </si>
  <si>
    <t>4.3.8</t>
  </si>
  <si>
    <t>4.3.9</t>
  </si>
  <si>
    <t>4.3.10</t>
  </si>
  <si>
    <t>4.3.11</t>
  </si>
  <si>
    <t>4.3.12</t>
  </si>
  <si>
    <t>4.3.13</t>
  </si>
  <si>
    <t>4.3.14</t>
  </si>
  <si>
    <t>4.3.15</t>
  </si>
  <si>
    <t>4.3.16</t>
  </si>
  <si>
    <t>4.3.16.1</t>
  </si>
  <si>
    <t>4.3.16.2</t>
  </si>
  <si>
    <t>4.3.16.3</t>
  </si>
  <si>
    <t>4.3.16.4</t>
  </si>
  <si>
    <t>4.4</t>
  </si>
  <si>
    <t>4.4.1</t>
  </si>
  <si>
    <t>4.4.2</t>
  </si>
  <si>
    <t>4.4.3</t>
  </si>
  <si>
    <t>4.4.4</t>
  </si>
  <si>
    <t>4.4.6</t>
  </si>
  <si>
    <t>4.5</t>
  </si>
  <si>
    <t>4.5.1</t>
  </si>
  <si>
    <t>4.5.1.1</t>
  </si>
  <si>
    <t>4.5.1.2</t>
  </si>
  <si>
    <t>4.5.1.3</t>
  </si>
  <si>
    <t>4.5.2</t>
  </si>
  <si>
    <t>4.5.2.1</t>
  </si>
  <si>
    <t>4.5.2.2</t>
  </si>
  <si>
    <t>4.5.2.3</t>
  </si>
  <si>
    <t>4.5.2.4</t>
  </si>
  <si>
    <t>4.5.2.5</t>
  </si>
  <si>
    <t>4.5.3</t>
  </si>
  <si>
    <t>4.5.4</t>
  </si>
  <si>
    <t>4.6</t>
  </si>
  <si>
    <t>4.6.1</t>
  </si>
  <si>
    <t>4.6.2</t>
  </si>
  <si>
    <t>Auszug aus N51M M25</t>
  </si>
  <si>
    <t>Issue 07/2011</t>
  </si>
  <si>
    <t>5.1</t>
  </si>
  <si>
    <t>5.2</t>
  </si>
  <si>
    <t>5.3</t>
  </si>
  <si>
    <t>5.4</t>
  </si>
  <si>
    <t>5.5</t>
  </si>
  <si>
    <t>5.6</t>
  </si>
  <si>
    <t>5.7</t>
  </si>
  <si>
    <t>Filters</t>
  </si>
  <si>
    <t>5.8</t>
  </si>
  <si>
    <t>5.9</t>
  </si>
  <si>
    <t>5.10</t>
  </si>
  <si>
    <t>a)</t>
  </si>
  <si>
    <t>Auszug aus N51M M26</t>
  </si>
  <si>
    <t>6.1</t>
  </si>
  <si>
    <t>6.2</t>
  </si>
  <si>
    <t>6.3</t>
  </si>
  <si>
    <t>6.4</t>
  </si>
  <si>
    <t>6.5</t>
  </si>
  <si>
    <t>6.6</t>
  </si>
  <si>
    <t>6.7</t>
  </si>
  <si>
    <t>6.8</t>
  </si>
  <si>
    <t>6.9</t>
  </si>
  <si>
    <t>6.9.1</t>
  </si>
  <si>
    <t>6.9.2</t>
  </si>
  <si>
    <t>7.1</t>
  </si>
  <si>
    <t>7.1.1</t>
  </si>
  <si>
    <t>7.2</t>
  </si>
  <si>
    <t>7.2.1</t>
  </si>
  <si>
    <t xml:space="preserve">Acceptance </t>
  </si>
  <si>
    <t>date</t>
  </si>
  <si>
    <t>min</t>
  </si>
  <si>
    <r>
      <t>T</t>
    </r>
    <r>
      <rPr>
        <b/>
        <vertAlign val="subscript"/>
        <sz val="10"/>
        <rFont val="Arial"/>
        <family val="2"/>
      </rPr>
      <t>B</t>
    </r>
  </si>
  <si>
    <t>=</t>
  </si>
  <si>
    <r>
      <t>T</t>
    </r>
    <r>
      <rPr>
        <vertAlign val="subscript"/>
        <sz val="10"/>
        <rFont val="Arial"/>
        <family val="2"/>
      </rPr>
      <t>O</t>
    </r>
  </si>
  <si>
    <r>
      <t>T</t>
    </r>
    <r>
      <rPr>
        <vertAlign val="subscript"/>
        <sz val="10"/>
        <rFont val="Arial"/>
        <family val="2"/>
      </rPr>
      <t>R</t>
    </r>
  </si>
  <si>
    <r>
      <t>T</t>
    </r>
    <r>
      <rPr>
        <b/>
        <vertAlign val="subscript"/>
        <sz val="10"/>
        <rFont val="Arial"/>
        <family val="2"/>
      </rPr>
      <t>E</t>
    </r>
  </si>
  <si>
    <r>
      <t>T</t>
    </r>
    <r>
      <rPr>
        <vertAlign val="subscript"/>
        <sz val="10"/>
        <rFont val="Arial"/>
        <family val="2"/>
      </rPr>
      <t>A</t>
    </r>
  </si>
  <si>
    <t>m</t>
  </si>
  <si>
    <t>Stück</t>
  </si>
  <si>
    <r>
      <t>g</t>
    </r>
    <r>
      <rPr>
        <vertAlign val="subscript"/>
        <sz val="10"/>
        <rFont val="Arial"/>
        <family val="2"/>
      </rPr>
      <t>ZZ</t>
    </r>
  </si>
  <si>
    <t>sek.</t>
  </si>
  <si>
    <r>
      <t>IST</t>
    </r>
    <r>
      <rPr>
        <vertAlign val="subscript"/>
        <sz val="10"/>
        <rFont val="Arial"/>
        <family val="2"/>
      </rPr>
      <t>ZZ</t>
    </r>
  </si>
  <si>
    <t>*)</t>
  </si>
  <si>
    <r>
      <t>T</t>
    </r>
    <r>
      <rPr>
        <b/>
        <vertAlign val="subscript"/>
        <sz val="10"/>
        <rFont val="Arial"/>
        <family val="2"/>
      </rPr>
      <t>VER(Plan)</t>
    </r>
  </si>
  <si>
    <t>%</t>
  </si>
  <si>
    <r>
      <t>T</t>
    </r>
    <r>
      <rPr>
        <b/>
        <vertAlign val="subscript"/>
        <sz val="10"/>
        <rFont val="Arial"/>
        <family val="2"/>
      </rPr>
      <t>VER</t>
    </r>
  </si>
  <si>
    <r>
      <t>T</t>
    </r>
    <r>
      <rPr>
        <b/>
        <vertAlign val="subscript"/>
        <sz val="10"/>
        <rFont val="Arial"/>
        <family val="2"/>
      </rPr>
      <t>VER(Ist)</t>
    </r>
  </si>
  <si>
    <t>formula:</t>
  </si>
  <si>
    <t xml:space="preserve">   MTBF</t>
  </si>
  <si>
    <t xml:space="preserve">   MTTR</t>
  </si>
  <si>
    <t>www.bosch.de -&gt; Einkauf und Logistik -&gt; Liefervorschrift für Maschinen (zip) -&gt; Verpackungsrichtlinie</t>
  </si>
  <si>
    <t>Link:</t>
  </si>
  <si>
    <t>http://purchasing.bosch.com/de/start/Allgemeines/Download/index.htm</t>
  </si>
  <si>
    <t>Tel.: +49 (0) 711 811 - …</t>
  </si>
  <si>
    <t>Norm</t>
  </si>
  <si>
    <t>DIN 24340-2</t>
  </si>
  <si>
    <t>DIN EN 60848
IEC 60848</t>
  </si>
  <si>
    <t>DIN 4844-1</t>
  </si>
  <si>
    <t>DIN 4844-2</t>
  </si>
  <si>
    <t>DIN 8659-1</t>
  </si>
  <si>
    <t>DIN 8659-2</t>
  </si>
  <si>
    <t>DIN EN ISO 4413</t>
  </si>
  <si>
    <t>DIN EN ISO 4414</t>
  </si>
  <si>
    <t>DIN ISO230-1</t>
  </si>
  <si>
    <t>DIN ISO 1219-1,-2</t>
  </si>
  <si>
    <t>DIN ISO 7368</t>
  </si>
  <si>
    <t>DIN VDE 0293-1</t>
  </si>
  <si>
    <t>DIN EN 50191</t>
  </si>
  <si>
    <t>DIN EN 50334</t>
  </si>
  <si>
    <t>DIN EN 60073</t>
  </si>
  <si>
    <t>DIN EN 60204-1</t>
  </si>
  <si>
    <t>DIN EN 60447</t>
  </si>
  <si>
    <t>DIN EN 60529</t>
  </si>
  <si>
    <t>DIN EN 61310-1</t>
  </si>
  <si>
    <t>DIN EN 61310-2</t>
  </si>
  <si>
    <t>DIN EN 61310-3</t>
  </si>
  <si>
    <t>N42AP 030</t>
  </si>
  <si>
    <t>N51M M20</t>
  </si>
  <si>
    <t>N51M M23</t>
  </si>
  <si>
    <t>N51M M24</t>
  </si>
  <si>
    <t>N51M M25</t>
  </si>
  <si>
    <t>N51M M26</t>
  </si>
  <si>
    <t>N54 D6</t>
  </si>
  <si>
    <t>N62A</t>
  </si>
  <si>
    <t>N93 I3.9.4</t>
  </si>
  <si>
    <t>N2588</t>
  </si>
  <si>
    <t>VDI/DGQ 3441</t>
  </si>
  <si>
    <t>VDI/DGQ 3442</t>
  </si>
  <si>
    <t>VDI/DGQ 3443</t>
  </si>
  <si>
    <t>VDI/DGQ 3444</t>
  </si>
  <si>
    <t>VDI/DGQ 3445 
Blatt 1</t>
  </si>
  <si>
    <t>VDI/DGQ 3445 
Blatt 2</t>
  </si>
  <si>
    <t>VDI/DGQ 3445 
Blatt 3</t>
  </si>
  <si>
    <t>VDI/DGQ 3445 
Blatt 4</t>
  </si>
  <si>
    <t>VDI/DGQ 3445 
Blatt 5</t>
  </si>
  <si>
    <t>DIN EN ISO 12100</t>
  </si>
  <si>
    <t>DIN EN 294</t>
  </si>
  <si>
    <t>DIN EN 349</t>
  </si>
  <si>
    <t>DIN EN ISO 13850</t>
  </si>
  <si>
    <t>DIN EN ISO 7731</t>
  </si>
  <si>
    <t>DIN EN ISO 13732-1</t>
  </si>
  <si>
    <t>DIN EN 614-1</t>
  </si>
  <si>
    <t>DIN EN 626-1</t>
  </si>
  <si>
    <t>DIN EN ISO 10218-1</t>
  </si>
  <si>
    <t>DIN EN ISO 13849-1</t>
  </si>
  <si>
    <t>DIN EN 1037</t>
  </si>
  <si>
    <t>DIN EN 1088</t>
  </si>
  <si>
    <t>DIN EN 60034-30</t>
  </si>
  <si>
    <t>DIN EN 81346-2</t>
  </si>
  <si>
    <t>DIN EN ISO 13849-2</t>
  </si>
  <si>
    <t>DIN EN 10305-1</t>
  </si>
  <si>
    <t>DIN 2353</t>
  </si>
  <si>
    <t>DIN EN ISO 8434-1</t>
  </si>
  <si>
    <t>ISO 4401</t>
  </si>
  <si>
    <t>ISO 6264</t>
  </si>
  <si>
    <t>ISO 6263</t>
  </si>
  <si>
    <t>ISO 5781</t>
  </si>
  <si>
    <t>ISO 4400</t>
  </si>
  <si>
    <t>ISO 8573-1</t>
  </si>
  <si>
    <t>BGR 237</t>
  </si>
  <si>
    <t>LärmVibrationsArbSchV</t>
  </si>
  <si>
    <t>Verordnung zur Umsetzung der EG-Richtlinien 2002/44/EG und 2003/10/EG zum Schutz der Beschäftigten vor Gefährdungen durch Lärm und Vibrationen (Artikel 1 Verordnung zum Schutz der Beschäftigten vor Gefährdungen durch Lärm und Vibration (Lärm- und Vibrations-Arbeitsschutzverordnung - LärmVibrationsArbSchV))</t>
  </si>
  <si>
    <t>Status:</t>
  </si>
  <si>
    <t>C/MPE</t>
  </si>
  <si>
    <t>Name:</t>
  </si>
  <si>
    <t>Date:</t>
  </si>
  <si>
    <t>Machine-Nr:</t>
  </si>
  <si>
    <t>Changes</t>
  </si>
  <si>
    <t>What was changed?</t>
  </si>
  <si>
    <t>Pkt. 10. / Verpackungsrichtlinien in Stand 4/98 geändert</t>
  </si>
  <si>
    <r>
      <t>16.06.1998</t>
    </r>
    <r>
      <rPr>
        <sz val="9"/>
        <rFont val="Times New Roman"/>
        <family val="1"/>
      </rPr>
      <t>             </t>
    </r>
  </si>
  <si>
    <t>Pkt. 5.2 / Datumswechsel „Jahr 2000“ berücksichtigen.</t>
  </si>
  <si>
    <r>
      <t>25.08.1998</t>
    </r>
    <r>
      <rPr>
        <sz val="9"/>
        <rFont val="Times New Roman"/>
        <family val="1"/>
      </rPr>
      <t>             </t>
    </r>
  </si>
  <si>
    <t>Pkt.10 neu eingefügt. Pkt.10(alt) und Pkt.11(alt) wurden zu Pkt.11 und Pkt.12</t>
  </si>
  <si>
    <r>
      <t>08.03.2001</t>
    </r>
    <r>
      <rPr>
        <sz val="9"/>
        <rFont val="Times New Roman"/>
        <family val="1"/>
      </rPr>
      <t>             </t>
    </r>
  </si>
  <si>
    <t>Pkt. 12 Änderung verantwortl. Kaufleute/ Telefonnummern</t>
  </si>
  <si>
    <r>
      <t>08.03.2002</t>
    </r>
    <r>
      <rPr>
        <sz val="9"/>
        <rFont val="Times New Roman"/>
        <family val="1"/>
      </rPr>
      <t>             </t>
    </r>
  </si>
  <si>
    <t>Pkt 2.8 Änderung SM&lt;12% (siehe Heft 10)</t>
  </si>
  <si>
    <t>Pkt. 1.2 Aufnahme Verpackung</t>
  </si>
  <si>
    <t>Pkt. 1.4 Neuaufnahme Pkt. 1.4</t>
  </si>
  <si>
    <t>Pkt. 2.8 Änderung cgmk in cgk</t>
  </si>
  <si>
    <t>Pkt. 3 Aktualisierung Ausgabestand N51M M20</t>
  </si>
  <si>
    <t>Pkt. 5 Aktualisierung Ausgabestand N51M M23</t>
  </si>
  <si>
    <t>Pkt. 5.2 Datumswechsel “Jahr 2000” gelöscht</t>
  </si>
  <si>
    <t>Pkt. 6 Aktualisierung Ausgabestand N51M M25</t>
  </si>
  <si>
    <t>Pkt. 7 Aktualisierung Ausgabestand N51M M26</t>
  </si>
  <si>
    <t>Ptk. 10 Änderung Termin für Verpackung</t>
  </si>
  <si>
    <t xml:space="preserve">  </t>
  </si>
  <si>
    <t>Pkt. 10 Gelöscht: “Bei Verpackung nicht durch den Lieferant”</t>
  </si>
  <si>
    <t>Pkt. 10 Aufnahme: “...Vorbereitung der Verpackung....”</t>
  </si>
  <si>
    <t>Pkt. 11 Änderung Punkt “Bei Verpackung durch den Lieferer”; zusätzl. Aufnahme von 12.</t>
  </si>
  <si>
    <t>Pkt. 12 Löschen: Punkt “Bei Verpackung durch den Lieferer”</t>
  </si>
  <si>
    <t>Pkt. 12 Telefon/Faxnummern geändert</t>
  </si>
  <si>
    <t>Pkt. 12 Investitionsnummer in Bestellnummer geändert</t>
  </si>
  <si>
    <t>Pkt. 13 Neuaufnahme Übersicht aller Normen; Aktualisierung Inhaltsangabe Seite 1</t>
  </si>
  <si>
    <r>
      <t>03.11.2004</t>
    </r>
    <r>
      <rPr>
        <sz val="9"/>
        <rFont val="Times New Roman"/>
        <family val="1"/>
      </rPr>
      <t xml:space="preserve">                 </t>
    </r>
  </si>
  <si>
    <t>Pkt. 2.8 Änderung %GRR&lt;10% (siehe Heft 10)</t>
  </si>
  <si>
    <t>Pkt. 12 Bestellnr. Ohne BVE/ZEI-Zusatz</t>
  </si>
  <si>
    <t>Pkt. 13 Neuaufnahme DIN ISO 1219</t>
  </si>
  <si>
    <t>Pkt. 13 Neuaufnahme N2588</t>
  </si>
  <si>
    <t>Änderung FEK in C/MGE</t>
  </si>
  <si>
    <t>Layout angepasst (Kopfzeile)</t>
  </si>
  <si>
    <t>Pkt. 1.3  Gefahrgut überarbeitet</t>
  </si>
  <si>
    <t>Deckblatt, Kopien an C/MGE4 auf Blatt 17 und 18 erweitert</t>
  </si>
  <si>
    <t>Kap. 9. Abfrage zur Einhaltung der Liefervorschriften</t>
  </si>
  <si>
    <r>
      <t>09.03.2005</t>
    </r>
    <r>
      <rPr>
        <sz val="9"/>
        <rFont val="Times New Roman"/>
        <family val="1"/>
      </rPr>
      <t>             </t>
    </r>
  </si>
  <si>
    <t>Kap. 10 Verpacker geändert; Adressangabe hinzugefügt</t>
  </si>
  <si>
    <t>Kap. 3.4 Lärmpegel auf 75dB(A) geändert, DIN hinzugefügt</t>
  </si>
  <si>
    <t>Deckblatt hinzugefügt; Kap. 9 nur noch mit Hinweis auf OPL</t>
  </si>
  <si>
    <t>Änderung des Deckblattes</t>
  </si>
  <si>
    <t>02.02.2007</t>
  </si>
  <si>
    <t>Komplettüberarbeitung des Abnahmeprotokolls</t>
  </si>
  <si>
    <t>Übertragung von Word --&gt; Excel</t>
  </si>
  <si>
    <t>Überarbeitung der Anlagenübersicht</t>
  </si>
  <si>
    <t>Pkt. 2.6, Automatisierung der Funktionen</t>
  </si>
  <si>
    <t>Pkt. 8, Aktualisierung und Automatisierung der Berechnung</t>
  </si>
  <si>
    <t>Umbenennung C/MGE in C/MPE</t>
  </si>
  <si>
    <t>Pkt. 7, N62 3.3 neu aufgenommen</t>
  </si>
  <si>
    <t>Pkt. 2, "Allgemeines" geändert/übernommen in gleichen Punkt "Auszug aus N51M M20"</t>
  </si>
  <si>
    <t>Pkt. 2, Entfernung der Redundanzen, die durch das CE-Zeichen abgedeckt werden</t>
  </si>
  <si>
    <t>Pkt. 13, Aktualisierung der Normenübersicht</t>
  </si>
  <si>
    <t>06.07.2009</t>
  </si>
  <si>
    <t>Kap.3 Änderung N51 M18 in N51 M23</t>
  </si>
  <si>
    <t>13.12.2011</t>
  </si>
  <si>
    <t>Pkt. 12 Änderung C/MPE4 Mitarbeiter, Ergänzung Emailadresse</t>
  </si>
  <si>
    <t>Schmidt Heiko</t>
  </si>
  <si>
    <t>Deckblatt; Unterschrift PL und AL dazugefügt</t>
  </si>
  <si>
    <t>Pkt. 4.3.5 Nummerierung war: 4.4.5</t>
  </si>
  <si>
    <t>Deckblatt; Ergänzung vor. Termine</t>
  </si>
  <si>
    <t>2.2.1; Verwendung von Stoffen - Link und Verweis auf Checkliste hinzugefügt und aktualisiert
 -&gt; 76/769 EWG historisch -&gt; 1907/06 EGV</t>
  </si>
  <si>
    <t>Deckblatt; Unterschrift ergänzt (Werk, Lieferant, C/MPE)</t>
  </si>
  <si>
    <t>2.5.7 Ergänzung neues Kapitel "Energieeffizienz"</t>
  </si>
  <si>
    <t>Pkt. 13 Ergänzung Link für Bosch Normen auf Bosch Homepage</t>
  </si>
  <si>
    <t>Pkt. 4.4.2 Entfall Not-Aus am Steuerpult</t>
  </si>
  <si>
    <t>Pkt. 5 Bezeichnung aktualisiert</t>
  </si>
  <si>
    <t>Pkt. 5.1 / 6.1 Bezeichnung Bosch-Rexroth aktualisiert</t>
  </si>
  <si>
    <t>Pkt. 4.6.2 Zweihandschaltung; zusätzlicher Prüfpunkt; Bemerkung zu Abstand der Taster;
 Ergänzung (Halt oder Rücklauf)</t>
  </si>
  <si>
    <t>Pkt. 4.6.1 Not-Aus durch Not-Halt ersetzt</t>
  </si>
  <si>
    <t>Pkt. 4.4.4 Bezeichnung Betriebsmittel; Norm aktualisiert</t>
  </si>
  <si>
    <t>Pkt. 4.4.2 Ergänzung fingersicher</t>
  </si>
  <si>
    <t>Pkt. 4.3.16.1 Schutzleiter von fremden Hilfsspannungen ersetzt durch: 
Verkettungsspannung (eingeschleifte Fremdspannung)</t>
  </si>
  <si>
    <t>Pkt. 5 Korrekte Bez.: N51M M25 aktuelle Ausgabe: Juli 2011</t>
  </si>
  <si>
    <t>Pkt. 6 Aktualisierung Ausgabestand N51M M26; 06/2011</t>
  </si>
  <si>
    <t>Pkt. 6.3 Wartungseinheit; Umfang geändert</t>
  </si>
  <si>
    <t>Pkt. 7 Aktualisierung Ausgabestand N62A 3.3 und Angabe der Norm</t>
  </si>
  <si>
    <t>Pkt. 8 Aktualisierung Ausgabestand VDI-Richtlinie 3423 und Bosch-Norm N62C 7.1</t>
  </si>
  <si>
    <t>Pkt. 13 Korrektur N51N -&gt; N51M</t>
  </si>
  <si>
    <t>Aktualisierung DIN 40719-6 -&gt; DIN EN 60848 bzw. IEC 60848</t>
  </si>
  <si>
    <t>Aktualisierung DIN 4844-2 05/2005</t>
  </si>
  <si>
    <t>Aktualisierung DIN EN 982 -&gt; DIN EN ISO 4413</t>
  </si>
  <si>
    <t xml:space="preserve">Aktualisierung DIN EN 983 -&gt; DIN EN ISO 4414 </t>
  </si>
  <si>
    <t>Aktualisierung DIN ISO 1219-1,-2 -&gt; 12/2007, 10/2009</t>
  </si>
  <si>
    <t>Aktualisierung DIN EN 50191 -&gt;10/2011</t>
  </si>
  <si>
    <t xml:space="preserve">Änderung Bemerkung DIN EN 60073 </t>
  </si>
  <si>
    <t>Aktualisierung DIN EN 60204-1 -&gt; 06/2007</t>
  </si>
  <si>
    <t>Aktualisierung DIN EN 61310-1 -&gt; 09/2008</t>
  </si>
  <si>
    <t>Aktualisierung DIN EN 61310-2 -&gt; 09/2008</t>
  </si>
  <si>
    <t>Aktualisierung DIN EN 61310-3 -&gt; 09/2008</t>
  </si>
  <si>
    <t>Aktualisierung N42AP 030 -&gt; 02/2008</t>
  </si>
  <si>
    <t>N51M M18 und N51M M19 Ersatzlos gestrichen</t>
  </si>
  <si>
    <t>Aktualisierung N51M M20 -&gt; 03/2011</t>
  </si>
  <si>
    <t>Aktualisierung N51M M23 -&gt; 09/2011</t>
  </si>
  <si>
    <t>Neuaufnahme: N51M M24 Liefervorschriften für ESD-gerechte Fertigungskomponenten</t>
  </si>
  <si>
    <t>Aktualisierung N51M M25 -&gt; 07/2011</t>
  </si>
  <si>
    <t>Aktualisierung N51M M26 -&gt; 06/2011</t>
  </si>
  <si>
    <t xml:space="preserve">N54 D6 -&gt; neu in N51M M20 gelistet </t>
  </si>
  <si>
    <t>Aktualisierung N62A 3.3 -&gt; 03/2011</t>
  </si>
  <si>
    <t>N93 I3.9.4 -&gt; neu in N51M M23 gelistet</t>
  </si>
  <si>
    <t>N62A 4.4.1, N62A 4.4.5 und N62A 4.4.6 Ersatzlos gestrichen</t>
  </si>
  <si>
    <t>Aktualisierung N2588 -&gt; 12/2010</t>
  </si>
  <si>
    <t>Aktualisierung DIN EN 292-1 -&gt; DIN EN ISO 12100 (03/2011)</t>
  </si>
  <si>
    <t>Aktualisierung DIN EN 292-2 -&gt; DIN EN ISO 12100 (03/2011)</t>
  </si>
  <si>
    <t>Aktualisierung DIN EN 294 -&gt; 10/1998</t>
  </si>
  <si>
    <t>Aktualisierung DIN EN 349 -&gt; 09/2008</t>
  </si>
  <si>
    <t>DIN EN 414 Ersatzlos zurückgezogen</t>
  </si>
  <si>
    <t>Aktualisierung DIN EN 418 -&gt; DIN EN ISO 13850</t>
  </si>
  <si>
    <t xml:space="preserve">Aktualisierung DIN EN 457 -&gt; DIN EN ISO 7731 </t>
  </si>
  <si>
    <t>Aktualisierung DIN EN 563 -&gt; DIN EN ISO 13732-1</t>
  </si>
  <si>
    <t>Aktualisierung DIN EN 614-1 -&gt; 06/2009</t>
  </si>
  <si>
    <t>Aktualisierung DIN EN 626-1 -&gt; 09/2008</t>
  </si>
  <si>
    <t>Aktualsierung DIN EN 775 -&gt; DIN EN ISO 10218-1</t>
  </si>
  <si>
    <t>Aktualisierung DIN EN 954-1 -&gt; DIN EN ISO 13849-1</t>
  </si>
  <si>
    <t>Aktualisierung DIN EN 1037 -&gt; 11/2008</t>
  </si>
  <si>
    <t>Aktualisierung DIN EN 1050 -&gt; DIN EN ISO 12100</t>
  </si>
  <si>
    <t>DIN EN 1070 Ersatzlos gestrichen</t>
  </si>
  <si>
    <t>Aktualisierung DIN EN 1088 -&gt; 10/2008</t>
  </si>
  <si>
    <t>Neu in N51M M23 gelistet: DIN EN 60034-30
                                             DIN EN 81346-2</t>
  </si>
  <si>
    <t>Neu in N51M M26 gelistet: DIN EN ISO 13849-2
                                             DIN EN 10305-1
                                             DIN 2353
                                             DIN EN ISO 8434-1
                                             ISO 8573-1</t>
  </si>
  <si>
    <t>Neu in N51M M25 gelistet: ISO 4401
                                             ISO 6264
                                             ISO 6263
                                             ISO 5781
                                             DIN ISO 7368
                                             ISO 4400
                                             BGR 237
                                             LärmVibrationsArbSchV</t>
  </si>
  <si>
    <t>N2588 Ersatzlos gestrichen</t>
  </si>
  <si>
    <t>Pkt. 4.3.14 Erdung Ergänzung zusätzliche Hinweise</t>
  </si>
  <si>
    <t>Pkt. 4.3.12 Hauptschalter 3KV -&gt; 3KW; Not-Aus -&gt; Not-Halt</t>
  </si>
  <si>
    <t>Pkt. 4.3.8 Eingebaute Betriebsmittel DIN 40719T2 -&gt; DIN EN 61346-1 und DIN EN 61346-2</t>
  </si>
  <si>
    <t xml:space="preserve">Pkt. 4.3.7 Einbauhöhe 0.4 - 2m -&gt; 0,6 m - 1,7 m </t>
  </si>
  <si>
    <t>Pkt. 4.3.3 Schutz gegen Medien; IP-Norm bezieht sich nur auf Wasser und Schmutz -&gt; Öl extra aufgeführt</t>
  </si>
  <si>
    <t xml:space="preserve">Kapitel. 4 Änderung N51 M23 in N51M M23 </t>
  </si>
  <si>
    <t>Aktualisierung Ausgabe Dez. 2003 -&gt; 09/2011</t>
  </si>
  <si>
    <t>Kapitel. 3 Änderung N51 M23 in N51M M23</t>
  </si>
  <si>
    <t>Punkt 2.7.7 Prüfbescheinigungen und Zertifikate: Aktualisierung: BGV A3 Prüfprotokoll (für Deutschland) 
-&gt; dafür ist Betreiber zuständig; Prüfprotokoll nach DIN EN 60204 liefert Hersteller</t>
  </si>
  <si>
    <t>Punkt 2.7.4 Zeichnung Mechanik; Aktualisierung Pneumatik, Hydraulik, Kühl Schmiermittelpläne und Schemata</t>
  </si>
  <si>
    <t>Punkt 2.7.1 Ordner Aktualisierung Ordner 7 Anhang; Ordner 2 Ergänzung; Lagerung und Konservierung</t>
  </si>
  <si>
    <t>Punkt 2.6 Ergänzung Hinweis: Kennzeichnung Schwerpunkt</t>
  </si>
  <si>
    <t>Aktualisierung Punkt 2.2.1 Emissionsschalldruckpegel 75dB (A) -&gt; 80 dB (A)</t>
  </si>
  <si>
    <t>Punkt 2. Aktualisierung N51 M20 -&gt; N51M M20</t>
  </si>
  <si>
    <t>Inhaltsverzeichnis Aktualisierung N51 MXX -&gt; N51M MXX</t>
  </si>
  <si>
    <t>Punkt 3.3 Fernmelde techn. Zentralamtes -&gt; Bundesnetzagentur - Entfall dieses Punktes</t>
  </si>
  <si>
    <t>16.04.2012</t>
  </si>
  <si>
    <t>Punkt 10/11 Aktualisierung Verpackungsrichtlinie</t>
  </si>
  <si>
    <t>Änderung des Deckblattes, Ergänzung Abfrage Gefahrgut</t>
  </si>
  <si>
    <t>Siegmund Tobias</t>
  </si>
  <si>
    <t>Punkt 12, Bosch Normen Löschung Spalten "Stand" und "Bemerkung"</t>
  </si>
  <si>
    <t>Punkt 11 "Hinweise zur Verpackung der Einrichtung für den Techniker" gelöscht</t>
  </si>
  <si>
    <t>Punkt 10 Änderungen Hinweis zur Verpackung der Einrichtung für den Techniker zu Hinweise zu Gefahrgut</t>
  </si>
  <si>
    <t>Punkt 1.3 gelöscht, Hinweise Gefahrgut nun auf Deckblatt und unter Punkt 10</t>
  </si>
  <si>
    <t>Punkt 1.4 Abfrage Schwertransport gelöscht</t>
  </si>
  <si>
    <t>Änderungen in der Anforderungsliste Arbeitsplatzgestaltung N62A durch C/MPS; Detailänderungen in den Zeilen: 14, 33, 602, 603, 610, 728</t>
  </si>
  <si>
    <t>03/2016</t>
  </si>
  <si>
    <t>…</t>
  </si>
  <si>
    <t>1 / 21</t>
  </si>
  <si>
    <t>2 / 21</t>
  </si>
  <si>
    <t>3 / 21</t>
  </si>
  <si>
    <t>4 / 21</t>
  </si>
  <si>
    <t>5 / 21</t>
  </si>
  <si>
    <t>6 / 21</t>
  </si>
  <si>
    <t>7 / 21</t>
  </si>
  <si>
    <t>8 / 21</t>
  </si>
  <si>
    <t>9 / 21</t>
  </si>
  <si>
    <t>10 / 21</t>
  </si>
  <si>
    <t>11 / 21</t>
  </si>
  <si>
    <t>12 / 21</t>
  </si>
  <si>
    <t>13 / 21</t>
  </si>
  <si>
    <t>14 / 21</t>
  </si>
  <si>
    <t>15 / 21</t>
  </si>
  <si>
    <t>16 / 21</t>
  </si>
  <si>
    <t>17 / 21</t>
  </si>
  <si>
    <t>18 / 21</t>
  </si>
  <si>
    <t>19 / 21</t>
  </si>
  <si>
    <t>20 / 21</t>
  </si>
  <si>
    <t>21 / 21</t>
  </si>
  <si>
    <t/>
  </si>
  <si>
    <t>N51M M27</t>
  </si>
  <si>
    <t>Formular neu aufgesetzt aufgrund von Druckproblemen mit Office 2010, Verweis auf Norm N51M M27</t>
  </si>
  <si>
    <t>MAE Pre-/Final Acceptance Report</t>
  </si>
  <si>
    <t xml:space="preserve">Project: </t>
  </si>
  <si>
    <t>Example Project</t>
  </si>
  <si>
    <t>Language:</t>
  </si>
  <si>
    <t xml:space="preserve">Author: </t>
  </si>
  <si>
    <t>Last update on:</t>
  </si>
  <si>
    <t>Der Kunde ist für die Verwendung von Materialien verantwortlich, die unter die Regulierung RL 67/548 EWG und RL 1907/06 EGV zur Verfügung stehen</t>
  </si>
  <si>
    <t>There is a maintenance unit comprising of a manual locking valve, a filter with regulator, and a manometer, an electrical controlled main valve, a filling valve, and a distributor with pressure switch. 
Oiling unit and water drain valve regarding the quality of the compressed air and the requirements of the connected machine
Note: Where oil-free pneumatic equipment is used, a lubricator unit may not be installed in the pneumatic inlet-pipe</t>
  </si>
  <si>
    <t>eine Wartungseinheit für BR Stationen bestehend aus: manuellem Absperrventil, Filter mit Druckregler und Manometer, elektrisch gesteuertem Hauptventil, Befüllventil und Verteiler mit Druckschalter ist vorhanden?
Öler und Wasserabscheider je nach Qualität der Druckluft und den Anforderungen der angeschlossenen Maschine.
Achtung: Bei Verwendung von ölfreien Pneumatikelementen darf kein Öler in der Pneumatik-Zuleitungeingebaut sein!</t>
  </si>
  <si>
    <t>MAE Pre/Final Acceptance Report</t>
  </si>
  <si>
    <t>Entspricht der Lieferumfang hinsichtlich Werkzeugausrüstung, Spanneinrichtungen, Zuführungen, Ladegeräte, Anzeigegeräte, Bildschirm, Drucker, Programmiereinrichtung, Kühlung, Schmierung, Späneabfuhr und Schutzeinrichtung der Bestellung  bzw. dem Verkaufsprospekt / Katalog?
Für fehlende Teile Liefertermin vormerken.</t>
  </si>
  <si>
    <t>Does the scope of supply correspond to the equipment, span, feeders, chargers, indicators, screen, printer, programming device, cooling, lubrication, chip removal and protection equipment of the order or sales prospect / catalog?
Please note for missing parts delivery date.</t>
  </si>
  <si>
    <t>EN</t>
  </si>
  <si>
    <t xml:space="preserve">      b)</t>
  </si>
  <si>
    <t>08/2017</t>
  </si>
  <si>
    <t>24.08.2017  (16:22)</t>
  </si>
  <si>
    <t>FIXED-TERM Widmann Nico (C/MPE)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</si>
</sst>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3" formatCode="_-* #,##0.00\ _€_-;\-* #,##0.00\ _€_-;_-* &quot;-&quot;??\ _€_-;_-@_-"/>
  </numFmts>
  <fonts count="54" x14ac:knownFonts="1">
    <font>
      <sz val="10"/>
      <color theme="1"/>
      <name val="Arial"/>
      <family val="2"/>
    </font>
    <font>
      <sz val="10"/>
      <color theme="1"/>
      <name val="Arial"/>
      <family val="2"/>
    </font>
    <font>
      <sz val="9"/>
      <name val="Arial"/>
      <family val="2"/>
    </font>
    <font>
      <b/>
      <sz val="14"/>
      <name val="Arial"/>
      <family val="2"/>
    </font>
    <font>
      <sz val="7"/>
      <name val="Arial"/>
      <family val="2"/>
    </font>
    <font>
      <b/>
      <sz val="10"/>
      <name val="Arial"/>
      <family val="2"/>
    </font>
    <font>
      <b/>
      <sz val="9"/>
      <name val="Arial"/>
      <family val="2"/>
    </font>
    <font>
      <sz val="12"/>
      <name val="Arial"/>
      <family val="2"/>
    </font>
    <font>
      <sz val="9"/>
      <color indexed="8"/>
      <name val="Arial"/>
      <family val="2"/>
    </font>
    <font>
      <b/>
      <sz val="10"/>
      <color indexed="12"/>
      <name val="Arial"/>
      <family val="2"/>
    </font>
    <font>
      <sz val="10"/>
      <name val="Arial"/>
      <family val="2"/>
    </font>
    <font>
      <sz val="10"/>
      <name val="Wingdings"/>
      <charset val="2"/>
    </font>
    <font>
      <sz val="10"/>
      <color indexed="12"/>
      <name val="Arial"/>
      <family val="2"/>
    </font>
    <font>
      <sz val="10"/>
      <color indexed="10"/>
      <name val="Arial"/>
      <family val="2"/>
    </font>
    <font>
      <u/>
      <sz val="10"/>
      <color indexed="12"/>
      <name val="Arial"/>
      <family val="2"/>
    </font>
    <font>
      <u/>
      <sz val="6"/>
      <color indexed="12"/>
      <name val="Arial"/>
      <family val="2"/>
    </font>
    <font>
      <i/>
      <sz val="8"/>
      <name val="Arial"/>
      <family val="2"/>
    </font>
    <font>
      <i/>
      <sz val="8"/>
      <color indexed="62"/>
      <name val="Arial"/>
      <family val="2"/>
    </font>
    <font>
      <i/>
      <sz val="10"/>
      <name val="Arial"/>
      <family val="2"/>
    </font>
    <font>
      <sz val="8"/>
      <name val="Arial"/>
      <family val="2"/>
    </font>
    <font>
      <b/>
      <sz val="8"/>
      <color indexed="12"/>
      <name val="Arial"/>
      <family val="2"/>
    </font>
    <font>
      <sz val="8.5"/>
      <name val="Arial"/>
      <family val="2"/>
    </font>
    <font>
      <sz val="9"/>
      <color indexed="12"/>
      <name val="Arial"/>
      <family val="2"/>
    </font>
    <font>
      <sz val="8"/>
      <color indexed="12"/>
      <name val="Arial"/>
      <family val="2"/>
    </font>
    <font>
      <u/>
      <sz val="10"/>
      <name val="Arial"/>
      <family val="2"/>
    </font>
    <font>
      <b/>
      <vertAlign val="subscript"/>
      <sz val="10"/>
      <name val="Arial"/>
      <family val="2"/>
    </font>
    <font>
      <vertAlign val="subscript"/>
      <sz val="10"/>
      <name val="Arial"/>
      <family val="2"/>
    </font>
    <font>
      <b/>
      <sz val="12"/>
      <name val="Arial"/>
      <family val="2"/>
    </font>
    <font>
      <sz val="10"/>
      <color indexed="8"/>
      <name val="Arial"/>
      <family val="2"/>
    </font>
    <font>
      <b/>
      <sz val="16"/>
      <color indexed="10"/>
      <name val="Arial"/>
      <family val="2"/>
    </font>
    <font>
      <b/>
      <u/>
      <sz val="9"/>
      <name val="Arial"/>
      <family val="2"/>
    </font>
    <font>
      <sz val="9"/>
      <name val="Times New Roman"/>
      <family val="1"/>
    </font>
    <font>
      <sz val="10"/>
      <color theme="0"/>
      <name val="Arial"/>
      <family val="2"/>
    </font>
    <font>
      <b/>
      <sz val="16"/>
      <color rgb="FF1F497D"/>
      <name val="Calibri"/>
      <family val="2"/>
    </font>
    <font>
      <sz val="20"/>
      <color theme="3"/>
      <name val="Arial"/>
      <family val="2"/>
    </font>
    <font>
      <sz val="24"/>
      <color theme="3"/>
      <name val="Arial"/>
      <family val="2"/>
    </font>
    <font>
      <sz val="20"/>
      <color theme="0" tint="-0.499984740745262"/>
      <name val="Arial"/>
      <family val="2"/>
    </font>
    <font>
      <b/>
      <sz val="11"/>
      <color rgb="FF1F497D"/>
      <name val="Arial"/>
      <family val="2"/>
    </font>
    <font>
      <sz val="11"/>
      <name val="Arial"/>
      <family val="2"/>
    </font>
    <font>
      <sz val="11"/>
      <color theme="5" tint="-0.249977111117893"/>
      <name val="Arial"/>
      <family val="2"/>
    </font>
    <font>
      <sz val="11"/>
      <color theme="1"/>
      <name val="Calibri"/>
      <family val="2"/>
      <scheme val="minor"/>
    </font>
    <font>
      <sz val="18"/>
      <color theme="3"/>
      <name val="Lucida Sans"/>
      <family val="2"/>
    </font>
    <font>
      <b/>
      <sz val="16"/>
      <color theme="3"/>
      <name val="Calibri"/>
      <family val="2"/>
      <scheme val="minor"/>
    </font>
    <font>
      <sz val="10"/>
      <name val="Lucida Sans"/>
      <family val="2"/>
    </font>
    <font>
      <b/>
      <sz val="10"/>
      <color rgb="FF1F4B7D"/>
      <name val="Arial"/>
      <family val="2"/>
    </font>
    <font>
      <sz val="9"/>
      <color rgb="FF1F4B7D"/>
      <name val="Wingdings 3"/>
      <family val="1"/>
      <charset val="2"/>
    </font>
    <font>
      <sz val="10"/>
      <color rgb="FF1F4B7D"/>
      <name val="Arial"/>
      <family val="2"/>
    </font>
    <font>
      <sz val="10"/>
      <color theme="3"/>
      <name val="Arial"/>
      <family val="2"/>
    </font>
    <font>
      <sz val="24"/>
      <color theme="4" tint="-0.499984740745262"/>
      <name val="Arial"/>
      <family val="2"/>
    </font>
    <font>
      <sz val="20"/>
      <color theme="4" tint="-0.499984740745262"/>
      <name val="Arial"/>
      <family val="2"/>
    </font>
    <font>
      <b/>
      <sz val="10"/>
      <color theme="4" tint="-0.499984740745262"/>
      <name val="Arial"/>
      <family val="2"/>
    </font>
    <font>
      <sz val="8"/>
      <color theme="1"/>
      <name val="Arial"/>
      <family val="2"/>
    </font>
    <font>
      <sz val="14"/>
      <color theme="1"/>
      <name val="Arial"/>
      <family val="2"/>
    </font>
    <font>
      <sz val="14"/>
      <color theme="2" tint="-0.499984740745262"/>
      <name val="Arial"/>
      <family val="2"/>
    </font>
  </fonts>
  <fills count="12">
    <fill>
      <patternFill patternType="none"/>
    </fill>
    <fill>
      <patternFill patternType="gray125"/>
    </fill>
    <fill>
      <patternFill patternType="solid">
        <fgColor indexed="41"/>
        <bgColor indexed="64"/>
      </patternFill>
    </fill>
    <fill>
      <patternFill patternType="solid">
        <fgColor indexed="44"/>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indexed="9"/>
        <bgColor indexed="64"/>
      </patternFill>
    </fill>
    <fill>
      <patternFill patternType="solid">
        <fgColor rgb="FFCCFFFF"/>
        <bgColor indexed="64"/>
      </patternFill>
    </fill>
    <fill>
      <patternFill patternType="solid">
        <fgColor theme="0"/>
        <bgColor indexed="64"/>
      </patternFill>
    </fill>
    <fill>
      <patternFill patternType="solid">
        <fgColor theme="4" tint="0.79995117038483843"/>
        <bgColor indexed="64"/>
      </patternFill>
    </fill>
    <fill>
      <patternFill patternType="solid">
        <fgColor rgb="FFFFFF00"/>
        <bgColor indexed="64"/>
      </patternFill>
    </fill>
  </fills>
  <borders count="45">
    <border>
      <left/>
      <right/>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medium">
        <color indexed="41"/>
      </left>
      <right style="medium">
        <color indexed="41"/>
      </right>
      <top style="medium">
        <color indexed="41"/>
      </top>
      <bottom style="medium">
        <color indexed="4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thin">
        <color indexed="9"/>
      </left>
      <right style="thin">
        <color indexed="9"/>
      </right>
      <top style="thin">
        <color indexed="9"/>
      </top>
      <bottom style="thin">
        <color indexed="9"/>
      </bottom>
      <diagonal/>
    </border>
    <border>
      <left style="thin">
        <color indexed="9"/>
      </left>
      <right/>
      <top style="thin">
        <color indexed="9"/>
      </top>
      <bottom style="thin">
        <color indexed="9"/>
      </bottom>
      <diagonal/>
    </border>
    <border>
      <left/>
      <right/>
      <top style="thin">
        <color indexed="9"/>
      </top>
      <bottom/>
      <diagonal/>
    </border>
    <border>
      <left/>
      <right/>
      <top style="thin">
        <color indexed="64"/>
      </top>
      <bottom style="medium">
        <color indexed="64"/>
      </bottom>
      <diagonal/>
    </border>
    <border>
      <left/>
      <right/>
      <top/>
      <bottom style="medium">
        <color theme="3"/>
      </bottom>
      <diagonal/>
    </border>
    <border>
      <left/>
      <right/>
      <top style="medium">
        <color theme="3"/>
      </top>
      <bottom/>
      <diagonal/>
    </border>
    <border>
      <left style="thin">
        <color theme="0" tint="-0.14993743705557422"/>
      </left>
      <right/>
      <top/>
      <bottom/>
      <diagonal/>
    </border>
    <border>
      <left/>
      <right style="thin">
        <color theme="0" tint="-0.14993743705557422"/>
      </right>
      <top style="thin">
        <color theme="0" tint="-0.14993743705557422"/>
      </top>
      <bottom style="thin">
        <color theme="0" tint="-0.14993743705557422"/>
      </bottom>
      <diagonal/>
    </border>
    <border diagonalUp="1">
      <left style="thin">
        <color theme="0"/>
      </left>
      <right/>
      <top style="thin">
        <color theme="0"/>
      </top>
      <bottom style="thin">
        <color theme="0"/>
      </bottom>
      <diagonal style="thin">
        <color theme="0"/>
      </diagonal>
    </border>
  </borders>
  <cellStyleXfs count="6">
    <xf numFmtId="0" fontId="0" fillId="0" borderId="0"/>
    <xf numFmtId="43" fontId="1" fillId="0" borderId="0" applyFont="0" applyFill="0" applyBorder="0" applyAlignment="0" applyProtection="0"/>
    <xf numFmtId="0" fontId="14" fillId="0" borderId="0" applyNumberFormat="0" applyFill="0" applyBorder="0" applyAlignment="0" applyProtection="0">
      <alignment vertical="top"/>
      <protection locked="0"/>
    </xf>
    <xf numFmtId="0" fontId="10" fillId="0" borderId="0"/>
    <xf numFmtId="0" fontId="40" fillId="0" borderId="0"/>
    <xf numFmtId="0" fontId="19" fillId="0" borderId="0">
      <alignment vertical="center"/>
    </xf>
  </cellStyleXfs>
  <cellXfs count="515">
    <xf numFmtId="0" fontId="0" fillId="0" borderId="0" xfId="0"/>
    <xf numFmtId="0" fontId="0" fillId="0" borderId="0" xfId="0" applyBorder="1"/>
    <xf numFmtId="0" fontId="10" fillId="0" borderId="0" xfId="0" applyFont="1"/>
    <xf numFmtId="0" fontId="30" fillId="0" borderId="36" xfId="0" applyFont="1" applyBorder="1"/>
    <xf numFmtId="0" fontId="0" fillId="0" borderId="36" xfId="0" applyBorder="1"/>
    <xf numFmtId="0" fontId="0" fillId="0" borderId="36" xfId="0" applyBorder="1" applyAlignment="1">
      <alignment vertical="center" wrapText="1"/>
    </xf>
    <xf numFmtId="0" fontId="2" fillId="0" borderId="36" xfId="0" applyFont="1" applyBorder="1"/>
    <xf numFmtId="0" fontId="2" fillId="0" borderId="36" xfId="0" applyFont="1" applyBorder="1" applyAlignment="1"/>
    <xf numFmtId="0" fontId="2" fillId="0" borderId="36" xfId="0" applyFont="1" applyBorder="1" applyAlignment="1">
      <alignment vertical="center"/>
    </xf>
    <xf numFmtId="0" fontId="2" fillId="0" borderId="36" xfId="0" applyFont="1" applyBorder="1" applyAlignment="1">
      <alignment horizontal="left" vertical="center"/>
    </xf>
    <xf numFmtId="49" fontId="2" fillId="0" borderId="36" xfId="0" applyNumberFormat="1" applyFont="1" applyBorder="1"/>
    <xf numFmtId="49" fontId="6" fillId="0" borderId="36" xfId="0" applyNumberFormat="1" applyFont="1" applyBorder="1"/>
    <xf numFmtId="0" fontId="6" fillId="0" borderId="36" xfId="0" applyFont="1" applyBorder="1" applyAlignment="1">
      <alignment vertical="center"/>
    </xf>
    <xf numFmtId="0" fontId="2" fillId="0" borderId="37" xfId="0" applyFont="1" applyBorder="1" applyAlignment="1">
      <alignment vertical="center" wrapText="1"/>
    </xf>
    <xf numFmtId="49" fontId="2" fillId="0" borderId="36" xfId="0" applyNumberFormat="1" applyFont="1" applyBorder="1" applyAlignment="1">
      <alignment vertical="top"/>
    </xf>
    <xf numFmtId="0" fontId="2" fillId="0" borderId="36" xfId="0" applyFont="1" applyBorder="1" applyAlignment="1">
      <alignment wrapText="1"/>
    </xf>
    <xf numFmtId="0" fontId="2" fillId="0" borderId="36" xfId="0" applyFont="1" applyFill="1" applyBorder="1" applyAlignment="1"/>
    <xf numFmtId="0" fontId="2" fillId="0" borderId="0" xfId="0" applyFont="1" applyFill="1" applyBorder="1" applyAlignment="1">
      <alignment wrapText="1"/>
    </xf>
    <xf numFmtId="14" fontId="0" fillId="0" borderId="0" xfId="0" applyNumberFormat="1" applyAlignment="1">
      <alignment horizontal="left"/>
    </xf>
    <xf numFmtId="0" fontId="10" fillId="0" borderId="0" xfId="0" applyFont="1" applyAlignment="1">
      <alignment wrapText="1"/>
    </xf>
    <xf numFmtId="0" fontId="0" fillId="0" borderId="0" xfId="0" applyAlignment="1">
      <alignment wrapText="1"/>
    </xf>
    <xf numFmtId="0" fontId="10" fillId="9" borderId="0" xfId="3" applyFill="1"/>
    <xf numFmtId="0" fontId="10" fillId="0" borderId="0" xfId="3"/>
    <xf numFmtId="0" fontId="10" fillId="0" borderId="0" xfId="3" applyFont="1"/>
    <xf numFmtId="0" fontId="35" fillId="0" borderId="0" xfId="3" applyFont="1" applyBorder="1" applyAlignment="1">
      <alignment vertical="center"/>
    </xf>
    <xf numFmtId="0" fontId="36" fillId="0" borderId="0" xfId="3" applyFont="1" applyAlignment="1">
      <alignment horizontal="left"/>
    </xf>
    <xf numFmtId="0" fontId="32" fillId="0" borderId="0" xfId="3" applyFont="1"/>
    <xf numFmtId="0" fontId="37" fillId="0" borderId="0" xfId="3" applyFont="1" applyAlignment="1">
      <alignment wrapText="1"/>
    </xf>
    <xf numFmtId="0" fontId="38" fillId="0" borderId="0" xfId="3" applyFont="1"/>
    <xf numFmtId="0" fontId="10" fillId="0" borderId="40" xfId="3" applyBorder="1"/>
    <xf numFmtId="0" fontId="36" fillId="0" borderId="0" xfId="3" applyFont="1" applyAlignment="1">
      <alignment horizontal="left"/>
    </xf>
    <xf numFmtId="0" fontId="39" fillId="0" borderId="0" xfId="3" applyFont="1" applyAlignment="1">
      <alignment horizontal="center"/>
    </xf>
    <xf numFmtId="0" fontId="10" fillId="0" borderId="0" xfId="3" applyAlignment="1">
      <alignment horizontal="left"/>
    </xf>
    <xf numFmtId="0" fontId="39" fillId="0" borderId="0" xfId="3" applyFont="1"/>
    <xf numFmtId="0" fontId="10" fillId="0" borderId="0" xfId="3" applyAlignment="1">
      <alignment horizontal="center"/>
    </xf>
    <xf numFmtId="0" fontId="10" fillId="0" borderId="0" xfId="3" applyFont="1" applyAlignment="1">
      <alignment horizontal="center"/>
    </xf>
    <xf numFmtId="0" fontId="41" fillId="0" borderId="0" xfId="4" applyFont="1" applyAlignment="1">
      <alignment vertical="center"/>
    </xf>
    <xf numFmtId="0" fontId="42" fillId="0" borderId="0" xfId="3" applyFont="1"/>
    <xf numFmtId="14" fontId="42" fillId="0" borderId="0" xfId="3" applyNumberFormat="1" applyFont="1"/>
    <xf numFmtId="0" fontId="19" fillId="0" borderId="0" xfId="4" applyFont="1" applyAlignment="1">
      <alignment vertical="center"/>
    </xf>
    <xf numFmtId="0" fontId="43" fillId="0" borderId="0" xfId="4" applyFont="1" applyAlignment="1">
      <alignment horizontal="left" vertical="center"/>
    </xf>
    <xf numFmtId="0" fontId="43" fillId="0" borderId="0" xfId="4" applyFont="1" applyAlignment="1">
      <alignment vertical="center"/>
    </xf>
    <xf numFmtId="14" fontId="33" fillId="0" borderId="0" xfId="3" applyNumberFormat="1" applyFont="1" applyAlignment="1">
      <alignment horizontal="left"/>
    </xf>
    <xf numFmtId="0" fontId="45" fillId="10" borderId="42" xfId="3" applyFont="1" applyFill="1" applyBorder="1" applyAlignment="1">
      <alignment horizontal="center" vertical="center" shrinkToFit="1"/>
    </xf>
    <xf numFmtId="0" fontId="19" fillId="0" borderId="0" xfId="5" applyAlignment="1"/>
    <xf numFmtId="0" fontId="46" fillId="0" borderId="0" xfId="4" applyFont="1" applyAlignment="1">
      <alignment horizontal="left" vertical="center"/>
    </xf>
    <xf numFmtId="0" fontId="47" fillId="0" borderId="0" xfId="4" applyFont="1" applyFill="1" applyAlignment="1" applyProtection="1">
      <alignment horizontal="left" vertical="center"/>
      <protection locked="0"/>
    </xf>
    <xf numFmtId="0" fontId="45" fillId="0" borderId="42" xfId="3" applyFont="1" applyFill="1" applyBorder="1" applyAlignment="1">
      <alignment horizontal="center" vertical="center" shrinkToFit="1"/>
    </xf>
    <xf numFmtId="14" fontId="46" fillId="0" borderId="0" xfId="3" applyNumberFormat="1" applyFont="1" applyAlignment="1">
      <alignment horizontal="left"/>
    </xf>
    <xf numFmtId="14" fontId="46" fillId="0" borderId="0" xfId="3" applyNumberFormat="1" applyFont="1" applyAlignment="1"/>
    <xf numFmtId="0" fontId="32" fillId="0" borderId="0" xfId="3" applyFont="1" applyAlignment="1">
      <alignment horizontal="center"/>
    </xf>
    <xf numFmtId="0" fontId="10" fillId="0" borderId="0" xfId="3" applyBorder="1"/>
    <xf numFmtId="0" fontId="10" fillId="0" borderId="43" xfId="3" applyBorder="1"/>
    <xf numFmtId="0" fontId="48" fillId="0" borderId="0" xfId="3" applyFont="1" applyBorder="1" applyAlignment="1">
      <alignment vertical="center"/>
    </xf>
    <xf numFmtId="0" fontId="49" fillId="0" borderId="0" xfId="3" applyFont="1"/>
    <xf numFmtId="0" fontId="50" fillId="0" borderId="0" xfId="4" applyFont="1" applyAlignment="1">
      <alignment vertical="center"/>
    </xf>
    <xf numFmtId="0" fontId="4" fillId="0" borderId="0" xfId="0" applyNumberFormat="1" applyFont="1" applyBorder="1" applyAlignment="1">
      <alignment vertical="top" wrapText="1"/>
    </xf>
    <xf numFmtId="0" fontId="0" fillId="0" borderId="0" xfId="0" applyNumberFormat="1" applyBorder="1"/>
    <xf numFmtId="0" fontId="0" fillId="0" borderId="0" xfId="0" applyNumberFormat="1"/>
    <xf numFmtId="0" fontId="2" fillId="0" borderId="0" xfId="0" quotePrefix="1" applyNumberFormat="1" applyFont="1" applyBorder="1" applyAlignment="1">
      <alignment horizontal="center" vertical="top" wrapText="1"/>
    </xf>
    <xf numFmtId="0" fontId="10" fillId="4" borderId="0" xfId="0" applyNumberFormat="1" applyFont="1" applyFill="1" applyBorder="1" applyAlignment="1">
      <alignment horizontal="center" vertical="center" wrapText="1"/>
    </xf>
    <xf numFmtId="0" fontId="6" fillId="0" borderId="1" xfId="0" applyNumberFormat="1" applyFont="1" applyFill="1" applyBorder="1" applyAlignment="1">
      <alignment horizontal="center" vertical="center" wrapText="1"/>
    </xf>
    <xf numFmtId="0" fontId="7" fillId="0" borderId="3" xfId="0" applyNumberFormat="1" applyFont="1" applyFill="1" applyBorder="1" applyAlignment="1">
      <alignment horizontal="left" vertical="center"/>
    </xf>
    <xf numFmtId="0" fontId="0" fillId="0" borderId="3" xfId="0" applyNumberFormat="1" applyBorder="1" applyAlignment="1">
      <alignment vertical="center"/>
    </xf>
    <xf numFmtId="0" fontId="0" fillId="0" borderId="2" xfId="0" applyNumberFormat="1" applyBorder="1" applyAlignment="1">
      <alignment vertical="center"/>
    </xf>
    <xf numFmtId="0" fontId="6" fillId="0" borderId="0" xfId="0" applyNumberFormat="1" applyFont="1" applyFill="1" applyBorder="1" applyAlignment="1">
      <alignment horizontal="center" vertical="center" wrapText="1"/>
    </xf>
    <xf numFmtId="0" fontId="7" fillId="0" borderId="0" xfId="0" applyNumberFormat="1" applyFont="1" applyFill="1" applyBorder="1" applyAlignment="1">
      <alignment horizontal="left" vertical="center"/>
    </xf>
    <xf numFmtId="0" fontId="4" fillId="0" borderId="0" xfId="0" applyNumberFormat="1" applyFont="1" applyFill="1" applyBorder="1" applyAlignment="1">
      <alignment horizontal="left" vertical="top" wrapText="1"/>
    </xf>
    <xf numFmtId="0" fontId="0" fillId="2" borderId="0" xfId="0" applyNumberFormat="1" applyFill="1" applyBorder="1" applyAlignment="1">
      <alignment vertical="center"/>
    </xf>
    <xf numFmtId="0" fontId="0" fillId="0" borderId="8" xfId="0" applyNumberFormat="1" applyBorder="1" applyAlignment="1">
      <alignment vertical="center"/>
    </xf>
    <xf numFmtId="0" fontId="0" fillId="0" borderId="0" xfId="0" applyNumberFormat="1" applyBorder="1" applyAlignment="1">
      <alignment vertical="center"/>
    </xf>
    <xf numFmtId="0" fontId="0" fillId="0" borderId="0" xfId="0" applyNumberFormat="1" applyAlignment="1">
      <alignment vertical="center"/>
    </xf>
    <xf numFmtId="0" fontId="0" fillId="0" borderId="28" xfId="0" applyNumberFormat="1" applyBorder="1" applyAlignment="1">
      <alignment vertical="center"/>
    </xf>
    <xf numFmtId="0" fontId="0" fillId="0" borderId="0" xfId="0" applyNumberFormat="1" applyBorder="1" applyAlignment="1">
      <alignment vertical="center" wrapText="1"/>
    </xf>
    <xf numFmtId="0" fontId="0" fillId="0" borderId="0" xfId="0" applyNumberFormat="1" applyBorder="1" applyAlignment="1">
      <alignment horizontal="left" vertical="center"/>
    </xf>
    <xf numFmtId="0" fontId="5" fillId="0" borderId="28" xfId="0" applyNumberFormat="1" applyFont="1" applyBorder="1" applyAlignment="1">
      <alignment vertical="center"/>
    </xf>
    <xf numFmtId="0" fontId="0" fillId="8" borderId="0" xfId="0" applyNumberFormat="1" applyFill="1" applyBorder="1" applyAlignment="1">
      <alignment horizontal="left" vertical="center" wrapText="1"/>
    </xf>
    <xf numFmtId="0" fontId="5" fillId="0" borderId="0" xfId="0" applyNumberFormat="1" applyFont="1" applyBorder="1" applyAlignment="1">
      <alignment horizontal="left" vertical="center"/>
    </xf>
    <xf numFmtId="0" fontId="0" fillId="2" borderId="0" xfId="0" applyNumberFormat="1" applyFill="1" applyBorder="1" applyAlignment="1">
      <alignment horizontal="left" vertical="center"/>
    </xf>
    <xf numFmtId="0" fontId="5" fillId="0" borderId="0" xfId="0" applyNumberFormat="1" applyFont="1" applyBorder="1" applyAlignment="1">
      <alignment vertical="center"/>
    </xf>
    <xf numFmtId="0" fontId="0" fillId="2" borderId="0" xfId="0" applyNumberFormat="1" applyFill="1" applyBorder="1" applyAlignment="1">
      <alignment vertical="center" wrapText="1"/>
    </xf>
    <xf numFmtId="0" fontId="0" fillId="2" borderId="0" xfId="0" applyNumberFormat="1" applyFill="1" applyBorder="1" applyAlignment="1">
      <alignment horizontal="left" vertical="center" wrapText="1"/>
    </xf>
    <xf numFmtId="0" fontId="5" fillId="0" borderId="30" xfId="0" applyNumberFormat="1" applyFont="1" applyBorder="1" applyAlignment="1">
      <alignment vertical="center" wrapText="1"/>
    </xf>
    <xf numFmtId="0" fontId="0" fillId="0" borderId="14" xfId="0" applyNumberFormat="1" applyBorder="1" applyAlignment="1">
      <alignment vertical="center" wrapText="1"/>
    </xf>
    <xf numFmtId="0" fontId="0" fillId="2" borderId="19" xfId="0" applyNumberFormat="1" applyFill="1" applyBorder="1" applyAlignment="1">
      <alignment horizontal="center" vertical="center" wrapText="1"/>
    </xf>
    <xf numFmtId="0" fontId="0" fillId="0" borderId="14" xfId="0" applyNumberFormat="1" applyBorder="1" applyAlignment="1">
      <alignment horizontal="left" vertical="center"/>
    </xf>
    <xf numFmtId="0" fontId="0" fillId="0" borderId="14" xfId="0" applyNumberFormat="1" applyBorder="1" applyAlignment="1">
      <alignment vertical="center"/>
    </xf>
    <xf numFmtId="0" fontId="5" fillId="0" borderId="0" xfId="0" applyNumberFormat="1" applyFont="1" applyBorder="1" applyAlignment="1">
      <alignment vertical="center" wrapText="1"/>
    </xf>
    <xf numFmtId="0" fontId="0" fillId="2" borderId="0" xfId="0" applyNumberFormat="1" applyFill="1" applyBorder="1" applyAlignment="1">
      <alignment horizontal="center" vertical="center" wrapText="1"/>
    </xf>
    <xf numFmtId="0" fontId="5" fillId="0" borderId="28" xfId="0" applyNumberFormat="1" applyFont="1" applyBorder="1" applyAlignment="1">
      <alignment vertical="center" wrapText="1"/>
    </xf>
    <xf numFmtId="0" fontId="0" fillId="0" borderId="0" xfId="0" applyNumberFormat="1" applyFill="1" applyBorder="1" applyAlignment="1">
      <alignment vertical="center" wrapText="1"/>
    </xf>
    <xf numFmtId="0" fontId="5" fillId="0" borderId="31" xfId="0" applyNumberFormat="1" applyFont="1" applyBorder="1" applyAlignment="1">
      <alignment vertical="center" wrapText="1"/>
    </xf>
    <xf numFmtId="0" fontId="0" fillId="0" borderId="10" xfId="0" applyNumberFormat="1" applyFill="1" applyBorder="1" applyAlignment="1">
      <alignment vertical="center" wrapText="1"/>
    </xf>
    <xf numFmtId="0" fontId="0" fillId="4" borderId="19" xfId="0" applyNumberFormat="1" applyFill="1" applyBorder="1" applyAlignment="1">
      <alignment horizontal="center" vertical="center" wrapText="1"/>
    </xf>
    <xf numFmtId="0" fontId="0" fillId="4" borderId="0" xfId="0" applyNumberFormat="1" applyFill="1" applyBorder="1" applyAlignment="1">
      <alignment horizontal="center" vertical="center" wrapText="1"/>
    </xf>
    <xf numFmtId="0" fontId="24" fillId="0" borderId="0" xfId="0" applyNumberFormat="1" applyFont="1" applyBorder="1" applyAlignment="1">
      <alignment horizontal="left" vertical="center"/>
    </xf>
    <xf numFmtId="0" fontId="0" fillId="0" borderId="10" xfId="0" applyNumberFormat="1" applyBorder="1" applyAlignment="1">
      <alignment horizontal="left" vertical="center"/>
    </xf>
    <xf numFmtId="0" fontId="0" fillId="0" borderId="10" xfId="0" applyNumberFormat="1" applyBorder="1" applyAlignment="1">
      <alignment vertical="center" wrapText="1"/>
    </xf>
    <xf numFmtId="0" fontId="0" fillId="7" borderId="10" xfId="0" applyNumberFormat="1" applyFill="1" applyBorder="1" applyAlignment="1">
      <alignment vertical="center"/>
    </xf>
    <xf numFmtId="0" fontId="0" fillId="0" borderId="29" xfId="0" applyNumberFormat="1" applyBorder="1" applyAlignment="1">
      <alignment vertical="center"/>
    </xf>
    <xf numFmtId="0" fontId="0" fillId="7" borderId="0" xfId="0" applyNumberFormat="1" applyFill="1" applyBorder="1" applyAlignment="1">
      <alignment vertical="center"/>
    </xf>
    <xf numFmtId="0" fontId="0" fillId="2" borderId="19" xfId="0" applyNumberFormat="1" applyFill="1" applyBorder="1" applyAlignment="1">
      <alignment horizontal="left" vertical="center"/>
    </xf>
    <xf numFmtId="0" fontId="0" fillId="2" borderId="0" xfId="0" applyNumberFormat="1" applyFill="1" applyBorder="1" applyAlignment="1">
      <alignment horizontal="center" vertical="center"/>
    </xf>
    <xf numFmtId="0" fontId="5" fillId="0" borderId="32" xfId="0" applyNumberFormat="1" applyFont="1" applyBorder="1" applyAlignment="1">
      <alignment vertical="center" wrapText="1"/>
    </xf>
    <xf numFmtId="0" fontId="0" fillId="0" borderId="14" xfId="0" applyNumberFormat="1" applyBorder="1" applyAlignment="1">
      <alignment horizontal="left" vertical="center" wrapText="1"/>
    </xf>
    <xf numFmtId="0" fontId="0" fillId="2" borderId="14" xfId="0" applyNumberFormat="1" applyFill="1" applyBorder="1" applyAlignment="1">
      <alignment horizontal="left" vertical="center"/>
    </xf>
    <xf numFmtId="0" fontId="0" fillId="0" borderId="0" xfId="0" applyNumberFormat="1" applyBorder="1" applyAlignment="1">
      <alignment horizontal="left" vertical="center" wrapText="1"/>
    </xf>
    <xf numFmtId="0" fontId="5" fillId="0" borderId="33" xfId="0" applyNumberFormat="1" applyFont="1" applyFill="1" applyBorder="1" applyAlignment="1">
      <alignment horizontal="left" vertical="center" wrapText="1"/>
    </xf>
    <xf numFmtId="0" fontId="10" fillId="2" borderId="0" xfId="0" applyNumberFormat="1" applyFont="1" applyFill="1" applyBorder="1" applyAlignment="1">
      <alignment horizontal="center" vertical="center" wrapText="1"/>
    </xf>
    <xf numFmtId="0" fontId="5" fillId="0" borderId="1" xfId="0" applyNumberFormat="1" applyFont="1" applyBorder="1" applyAlignment="1">
      <alignment vertical="center"/>
    </xf>
    <xf numFmtId="0" fontId="18" fillId="0" borderId="3" xfId="0" applyNumberFormat="1" applyFont="1" applyBorder="1" applyAlignment="1">
      <alignment vertical="center" wrapText="1"/>
    </xf>
    <xf numFmtId="0" fontId="18" fillId="0" borderId="3" xfId="0" applyNumberFormat="1" applyFont="1" applyBorder="1" applyAlignment="1">
      <alignment horizontal="left" vertical="center"/>
    </xf>
    <xf numFmtId="0" fontId="0" fillId="0" borderId="28" xfId="0" applyNumberFormat="1" applyBorder="1" applyAlignment="1">
      <alignment horizontal="right" vertical="center"/>
    </xf>
    <xf numFmtId="0" fontId="0" fillId="2" borderId="10" xfId="0" applyNumberFormat="1" applyFill="1" applyBorder="1" applyAlignment="1">
      <alignment horizontal="left" vertical="center" wrapText="1"/>
    </xf>
    <xf numFmtId="0" fontId="0" fillId="2" borderId="10" xfId="0" applyNumberFormat="1" applyFill="1" applyBorder="1" applyAlignment="1">
      <alignment horizontal="left" vertical="center"/>
    </xf>
    <xf numFmtId="0" fontId="0" fillId="0" borderId="0" xfId="0" applyNumberFormat="1" applyFill="1" applyBorder="1" applyAlignment="1">
      <alignment horizontal="center" vertical="center"/>
    </xf>
    <xf numFmtId="0" fontId="18" fillId="0" borderId="0" xfId="0" applyNumberFormat="1" applyFont="1" applyBorder="1" applyAlignment="1">
      <alignment vertical="center" wrapText="1"/>
    </xf>
    <xf numFmtId="0" fontId="18" fillId="0" borderId="0" xfId="0" applyNumberFormat="1" applyFont="1" applyBorder="1" applyAlignment="1">
      <alignment horizontal="left" vertical="center"/>
    </xf>
    <xf numFmtId="0" fontId="0" fillId="0" borderId="0" xfId="0" applyNumberFormat="1" applyFill="1" applyBorder="1" applyAlignment="1">
      <alignment horizontal="right" vertical="center" wrapText="1"/>
    </xf>
    <xf numFmtId="0" fontId="0" fillId="2" borderId="19" xfId="0" applyNumberFormat="1" applyFill="1" applyBorder="1" applyAlignment="1">
      <alignment vertical="center" wrapText="1"/>
    </xf>
    <xf numFmtId="0" fontId="0" fillId="2" borderId="19" xfId="0" applyNumberFormat="1" applyFill="1" applyBorder="1" applyAlignment="1">
      <alignment horizontal="center" vertical="center"/>
    </xf>
    <xf numFmtId="0" fontId="0" fillId="2" borderId="34" xfId="0" applyNumberFormat="1" applyFill="1" applyBorder="1" applyAlignment="1">
      <alignment horizontal="center" vertical="center"/>
    </xf>
    <xf numFmtId="0" fontId="0" fillId="0" borderId="0" xfId="0" applyNumberFormat="1" applyBorder="1" applyAlignment="1">
      <alignment horizontal="center"/>
    </xf>
    <xf numFmtId="0" fontId="0" fillId="0" borderId="0" xfId="0" applyNumberFormat="1" applyBorder="1" applyAlignment="1">
      <alignment vertical="top"/>
    </xf>
    <xf numFmtId="0" fontId="0" fillId="0" borderId="0" xfId="0" applyNumberFormat="1" applyFill="1" applyBorder="1" applyAlignment="1">
      <alignment horizontal="center" vertical="center" wrapText="1"/>
    </xf>
    <xf numFmtId="0" fontId="0" fillId="0" borderId="12" xfId="0" applyNumberFormat="1" applyFill="1" applyBorder="1" applyAlignment="1">
      <alignment horizontal="right" vertical="center" wrapText="1"/>
    </xf>
    <xf numFmtId="0" fontId="0" fillId="0" borderId="0" xfId="0" applyNumberFormat="1" applyBorder="1" applyAlignment="1">
      <alignment horizontal="right" vertical="center"/>
    </xf>
    <xf numFmtId="0" fontId="0" fillId="0" borderId="4" xfId="0" applyNumberFormat="1" applyBorder="1" applyAlignment="1">
      <alignment horizontal="right" vertical="center"/>
    </xf>
    <xf numFmtId="0" fontId="18" fillId="0" borderId="6" xfId="0" applyNumberFormat="1" applyFont="1" applyBorder="1" applyAlignment="1">
      <alignment horizontal="left" vertical="center"/>
    </xf>
    <xf numFmtId="0" fontId="0" fillId="0" borderId="6" xfId="0" applyNumberFormat="1" applyBorder="1" applyAlignment="1">
      <alignment vertical="center"/>
    </xf>
    <xf numFmtId="0" fontId="0" fillId="0" borderId="6" xfId="0" applyNumberFormat="1" applyBorder="1" applyAlignment="1">
      <alignment horizontal="right" vertical="center"/>
    </xf>
    <xf numFmtId="0" fontId="0" fillId="2" borderId="39" xfId="0" applyNumberFormat="1" applyFill="1" applyBorder="1" applyAlignment="1">
      <alignment horizontal="left" vertical="center"/>
    </xf>
    <xf numFmtId="0" fontId="0" fillId="0" borderId="5" xfId="0" applyNumberFormat="1" applyBorder="1" applyAlignment="1">
      <alignment vertical="center"/>
    </xf>
    <xf numFmtId="0" fontId="0" fillId="0" borderId="0" xfId="0" applyNumberFormat="1" applyAlignment="1">
      <alignment vertical="center" wrapText="1"/>
    </xf>
    <xf numFmtId="0" fontId="0" fillId="0" borderId="0" xfId="0" applyNumberFormat="1" applyAlignment="1">
      <alignment horizontal="center"/>
    </xf>
    <xf numFmtId="0" fontId="0" fillId="0" borderId="0" xfId="0" applyNumberFormat="1" applyAlignment="1">
      <alignment vertical="top"/>
    </xf>
    <xf numFmtId="0" fontId="4" fillId="0" borderId="2" xfId="0" applyNumberFormat="1" applyFont="1" applyBorder="1" applyAlignment="1">
      <alignment vertical="top" wrapText="1"/>
    </xf>
    <xf numFmtId="0" fontId="2" fillId="0" borderId="5" xfId="0" quotePrefix="1" applyNumberFormat="1" applyFont="1" applyBorder="1" applyAlignment="1">
      <alignment horizontal="center" vertical="top" wrapText="1"/>
    </xf>
    <xf numFmtId="0" fontId="4" fillId="0" borderId="25" xfId="0" applyNumberFormat="1" applyFont="1" applyFill="1" applyBorder="1" applyAlignment="1">
      <alignment vertical="top" wrapText="1"/>
    </xf>
    <xf numFmtId="0" fontId="10" fillId="8" borderId="27" xfId="0" applyNumberFormat="1" applyFont="1" applyFill="1" applyBorder="1" applyAlignment="1">
      <alignment horizontal="center" vertical="center" wrapText="1"/>
    </xf>
    <xf numFmtId="0" fontId="0" fillId="8" borderId="8" xfId="0" applyNumberFormat="1" applyFill="1" applyBorder="1" applyAlignment="1">
      <alignment horizontal="left" vertical="center" wrapText="1"/>
    </xf>
    <xf numFmtId="0" fontId="0" fillId="2" borderId="8" xfId="0" applyNumberFormat="1" applyFill="1" applyBorder="1" applyAlignment="1">
      <alignment horizontal="left" vertical="center" wrapText="1"/>
    </xf>
    <xf numFmtId="0" fontId="0" fillId="0" borderId="8" xfId="0" applyNumberFormat="1" applyBorder="1" applyAlignment="1">
      <alignment horizontal="left" vertical="center"/>
    </xf>
    <xf numFmtId="0" fontId="5" fillId="0" borderId="31" xfId="0" applyNumberFormat="1" applyFont="1" applyBorder="1" applyAlignment="1">
      <alignment vertical="center"/>
    </xf>
    <xf numFmtId="0" fontId="0" fillId="0" borderId="10" xfId="0" applyNumberFormat="1" applyBorder="1" applyAlignment="1">
      <alignment horizontal="center" vertical="center"/>
    </xf>
    <xf numFmtId="0" fontId="0" fillId="0" borderId="29" xfId="0" applyNumberFormat="1" applyFill="1" applyBorder="1" applyAlignment="1">
      <alignment horizontal="center" vertical="center"/>
    </xf>
    <xf numFmtId="0" fontId="0" fillId="0" borderId="35" xfId="0" applyNumberFormat="1" applyBorder="1" applyAlignment="1">
      <alignment vertical="center"/>
    </xf>
    <xf numFmtId="0" fontId="24" fillId="0" borderId="14" xfId="0" applyNumberFormat="1" applyFont="1" applyBorder="1" applyAlignment="1">
      <alignment horizontal="left" vertical="center"/>
    </xf>
    <xf numFmtId="0" fontId="0" fillId="7" borderId="29" xfId="0" applyNumberFormat="1" applyFill="1" applyBorder="1" applyAlignment="1">
      <alignment vertical="center"/>
    </xf>
    <xf numFmtId="0" fontId="0" fillId="2" borderId="8" xfId="0" applyNumberFormat="1" applyFill="1" applyBorder="1" applyAlignment="1">
      <alignment horizontal="left" vertical="center"/>
    </xf>
    <xf numFmtId="0" fontId="0" fillId="0" borderId="10" xfId="0" applyNumberFormat="1" applyBorder="1" applyAlignment="1">
      <alignment horizontal="left" vertical="center" wrapText="1"/>
    </xf>
    <xf numFmtId="0" fontId="0" fillId="2" borderId="29" xfId="0" applyNumberFormat="1" applyFill="1" applyBorder="1" applyAlignment="1">
      <alignment horizontal="left" vertical="center" wrapText="1"/>
    </xf>
    <xf numFmtId="0" fontId="18" fillId="0" borderId="8" xfId="0" applyNumberFormat="1" applyFont="1" applyBorder="1" applyAlignment="1">
      <alignment horizontal="left" vertical="center"/>
    </xf>
    <xf numFmtId="0" fontId="0" fillId="2" borderId="29" xfId="0" applyNumberFormat="1" applyFill="1" applyBorder="1" applyAlignment="1">
      <alignment horizontal="left" vertical="center"/>
    </xf>
    <xf numFmtId="0" fontId="4" fillId="0" borderId="2" xfId="0" applyNumberFormat="1" applyFont="1" applyFill="1" applyBorder="1" applyAlignment="1">
      <alignment vertical="top" wrapText="1"/>
    </xf>
    <xf numFmtId="0" fontId="5" fillId="0" borderId="0" xfId="0" applyNumberFormat="1" applyFont="1" applyFill="1" applyBorder="1" applyAlignment="1">
      <alignment horizontal="left"/>
    </xf>
    <xf numFmtId="0" fontId="2" fillId="0" borderId="5" xfId="0" applyNumberFormat="1" applyFont="1" applyFill="1" applyBorder="1" applyAlignment="1">
      <alignment horizontal="center" vertical="top" wrapText="1"/>
    </xf>
    <xf numFmtId="0" fontId="0" fillId="0" borderId="0" xfId="0" applyNumberFormat="1" applyFill="1" applyBorder="1"/>
    <xf numFmtId="0" fontId="2" fillId="0" borderId="2" xfId="0" applyNumberFormat="1" applyFont="1" applyBorder="1" applyAlignment="1">
      <alignment vertical="top" wrapText="1"/>
    </xf>
    <xf numFmtId="0" fontId="0" fillId="0" borderId="27" xfId="0" applyNumberFormat="1" applyFill="1" applyBorder="1" applyAlignment="1">
      <alignment horizontal="right"/>
    </xf>
    <xf numFmtId="0" fontId="2" fillId="2" borderId="5" xfId="0" applyNumberFormat="1" applyFont="1" applyFill="1" applyBorder="1" applyAlignment="1">
      <alignment wrapText="1"/>
    </xf>
    <xf numFmtId="0" fontId="0" fillId="0" borderId="0" xfId="0" applyNumberFormat="1" applyFill="1" applyBorder="1" applyAlignment="1">
      <alignment vertical="center"/>
    </xf>
    <xf numFmtId="0" fontId="0" fillId="3" borderId="0" xfId="0" applyNumberFormat="1" applyFill="1" applyBorder="1" applyAlignment="1">
      <alignment horizontal="center" vertical="center"/>
    </xf>
    <xf numFmtId="0" fontId="9" fillId="0" borderId="0" xfId="0" applyNumberFormat="1" applyFont="1" applyFill="1" applyBorder="1" applyAlignment="1">
      <alignment vertical="center"/>
    </xf>
    <xf numFmtId="0" fontId="9" fillId="0" borderId="0" xfId="0" applyNumberFormat="1" applyFont="1" applyFill="1" applyBorder="1" applyAlignment="1">
      <alignment vertical="center" wrapText="1"/>
    </xf>
    <xf numFmtId="0" fontId="0" fillId="0" borderId="0" xfId="0" applyNumberFormat="1" applyBorder="1" applyAlignment="1">
      <alignment horizontal="center" vertical="center"/>
    </xf>
    <xf numFmtId="0" fontId="2" fillId="0" borderId="0" xfId="0" applyNumberFormat="1" applyFont="1" applyFill="1" applyBorder="1" applyAlignment="1">
      <alignment horizontal="left" vertical="center" wrapText="1"/>
    </xf>
    <xf numFmtId="0" fontId="10" fillId="0" borderId="7" xfId="0" applyNumberFormat="1" applyFont="1" applyBorder="1"/>
    <xf numFmtId="0" fontId="10" fillId="0" borderId="7" xfId="0" applyNumberFormat="1" applyFont="1" applyBorder="1" applyAlignment="1">
      <alignment horizontal="center" vertical="center"/>
    </xf>
    <xf numFmtId="0" fontId="10" fillId="0" borderId="7" xfId="0" applyNumberFormat="1" applyFont="1" applyFill="1" applyBorder="1" applyAlignment="1">
      <alignment horizontal="center" vertical="center" wrapText="1"/>
    </xf>
    <xf numFmtId="0" fontId="10" fillId="0" borderId="7" xfId="0" applyNumberFormat="1" applyFont="1" applyFill="1" applyBorder="1" applyAlignment="1">
      <alignment horizontal="center" vertical="center"/>
    </xf>
    <xf numFmtId="0" fontId="10" fillId="0" borderId="0" xfId="0" applyNumberFormat="1" applyFont="1" applyBorder="1"/>
    <xf numFmtId="0" fontId="10" fillId="0" borderId="0" xfId="0" applyNumberFormat="1" applyFont="1" applyBorder="1" applyAlignment="1">
      <alignment horizontal="center" vertical="top" wrapText="1"/>
    </xf>
    <xf numFmtId="0" fontId="10" fillId="0" borderId="0" xfId="0" applyNumberFormat="1" applyFont="1" applyBorder="1" applyAlignment="1">
      <alignment horizontal="center" vertical="center"/>
    </xf>
    <xf numFmtId="0" fontId="10" fillId="0" borderId="0" xfId="0" applyNumberFormat="1" applyFont="1" applyFill="1" applyBorder="1" applyAlignment="1">
      <alignment horizontal="center" vertical="center" wrapText="1"/>
    </xf>
    <xf numFmtId="0" fontId="10" fillId="0" borderId="0" xfId="0" applyNumberFormat="1" applyFont="1" applyFill="1" applyBorder="1" applyAlignment="1">
      <alignment horizontal="center" vertical="center"/>
    </xf>
    <xf numFmtId="0" fontId="10" fillId="0" borderId="0" xfId="0" applyNumberFormat="1" applyFont="1" applyFill="1" applyBorder="1" applyAlignment="1">
      <alignment horizontal="center" vertical="top"/>
    </xf>
    <xf numFmtId="0" fontId="5" fillId="3" borderId="0" xfId="0" applyNumberFormat="1" applyFont="1" applyFill="1" applyBorder="1" applyAlignment="1">
      <alignment vertical="center"/>
    </xf>
    <xf numFmtId="0" fontId="0" fillId="3" borderId="0" xfId="0" applyNumberFormat="1" applyFill="1" applyBorder="1" applyAlignment="1">
      <alignment vertical="center" wrapText="1"/>
    </xf>
    <xf numFmtId="0" fontId="0" fillId="3" borderId="0" xfId="0" applyNumberFormat="1" applyFill="1" applyBorder="1" applyAlignment="1">
      <alignment vertical="top"/>
    </xf>
    <xf numFmtId="0" fontId="10" fillId="0" borderId="0" xfId="0" applyNumberFormat="1" applyFont="1" applyBorder="1" applyAlignment="1">
      <alignment vertical="center"/>
    </xf>
    <xf numFmtId="0" fontId="2" fillId="0" borderId="0" xfId="0" applyNumberFormat="1" applyFont="1" applyBorder="1" applyAlignment="1">
      <alignment vertical="center"/>
    </xf>
    <xf numFmtId="0" fontId="5" fillId="0" borderId="9" xfId="0" applyNumberFormat="1" applyFont="1" applyBorder="1" applyAlignment="1">
      <alignment vertical="center"/>
    </xf>
    <xf numFmtId="0" fontId="2" fillId="2" borderId="12" xfId="0" applyNumberFormat="1" applyFont="1" applyFill="1" applyBorder="1" applyAlignment="1">
      <alignment vertical="center"/>
    </xf>
    <xf numFmtId="0" fontId="0" fillId="0" borderId="12" xfId="0" applyNumberFormat="1" applyFill="1" applyBorder="1" applyAlignment="1">
      <alignment vertical="center"/>
    </xf>
    <xf numFmtId="0" fontId="0" fillId="2" borderId="12" xfId="0" applyNumberFormat="1" applyFill="1" applyBorder="1" applyAlignment="1">
      <alignment vertical="center"/>
    </xf>
    <xf numFmtId="0" fontId="2" fillId="0" borderId="0" xfId="0" applyNumberFormat="1" applyFont="1" applyBorder="1" applyAlignment="1">
      <alignment horizontal="center" vertical="center"/>
    </xf>
    <xf numFmtId="0" fontId="10" fillId="0" borderId="0" xfId="0" applyNumberFormat="1" applyFont="1" applyBorder="1" applyAlignment="1">
      <alignment vertical="center" wrapText="1"/>
    </xf>
    <xf numFmtId="0" fontId="11" fillId="0" borderId="0" xfId="0" applyNumberFormat="1" applyFont="1" applyBorder="1" applyAlignment="1">
      <alignment vertical="center" wrapText="1"/>
    </xf>
    <xf numFmtId="0" fontId="0" fillId="0" borderId="0" xfId="0" applyNumberFormat="1" applyFill="1" applyBorder="1" applyAlignment="1">
      <alignment horizontal="right" vertical="top"/>
    </xf>
    <xf numFmtId="0" fontId="10" fillId="0" borderId="0" xfId="0" applyNumberFormat="1" applyFont="1" applyBorder="1" applyAlignment="1">
      <alignment vertical="top"/>
    </xf>
    <xf numFmtId="0" fontId="12" fillId="0" borderId="0" xfId="0" applyNumberFormat="1" applyFont="1" applyFill="1" applyBorder="1" applyAlignment="1">
      <alignment vertical="center"/>
    </xf>
    <xf numFmtId="0" fontId="13" fillId="0" borderId="0" xfId="0" applyNumberFormat="1" applyFont="1" applyBorder="1" applyAlignment="1">
      <alignment vertical="center"/>
    </xf>
    <xf numFmtId="0" fontId="0" fillId="0" borderId="0" xfId="0" applyNumberFormat="1" applyBorder="1" applyAlignment="1">
      <alignment horizontal="left" vertical="top" wrapText="1"/>
    </xf>
    <xf numFmtId="0" fontId="0" fillId="0" borderId="0" xfId="0" applyNumberFormat="1" applyBorder="1" applyAlignment="1">
      <alignment vertical="top" wrapText="1"/>
    </xf>
    <xf numFmtId="0" fontId="12" fillId="0" borderId="0" xfId="0" applyNumberFormat="1" applyFont="1" applyFill="1" applyBorder="1" applyAlignment="1">
      <alignment vertical="top" wrapText="1"/>
    </xf>
    <xf numFmtId="0" fontId="15" fillId="0" borderId="0" xfId="2" applyNumberFormat="1" applyFont="1" applyBorder="1" applyAlignment="1" applyProtection="1">
      <alignment horizontal="center" wrapText="1"/>
    </xf>
    <xf numFmtId="0" fontId="15" fillId="0" borderId="0" xfId="2" applyNumberFormat="1" applyFont="1" applyBorder="1" applyAlignment="1" applyProtection="1">
      <alignment horizontal="center"/>
    </xf>
    <xf numFmtId="0" fontId="12" fillId="0" borderId="0" xfId="0" applyNumberFormat="1" applyFont="1" applyFill="1" applyBorder="1" applyAlignment="1">
      <alignment wrapText="1"/>
    </xf>
    <xf numFmtId="0" fontId="2" fillId="0" borderId="0" xfId="0" applyNumberFormat="1" applyFont="1" applyBorder="1" applyAlignment="1">
      <alignment horizontal="left" vertical="center"/>
    </xf>
    <xf numFmtId="0" fontId="10" fillId="0" borderId="0" xfId="0" applyNumberFormat="1" applyFont="1" applyBorder="1" applyAlignment="1">
      <alignment vertical="top" wrapText="1"/>
    </xf>
    <xf numFmtId="0" fontId="0" fillId="2" borderId="0" xfId="0" applyNumberFormat="1" applyFill="1" applyBorder="1" applyAlignment="1">
      <alignment horizontal="left" vertical="top" wrapText="1"/>
    </xf>
    <xf numFmtId="0" fontId="0" fillId="0" borderId="0" xfId="0" applyNumberFormat="1" applyFill="1" applyBorder="1" applyAlignment="1">
      <alignment horizontal="left" vertical="top" wrapText="1"/>
    </xf>
    <xf numFmtId="0" fontId="10" fillId="0" borderId="0" xfId="0" applyNumberFormat="1" applyFont="1" applyAlignment="1">
      <alignment vertical="center"/>
    </xf>
    <xf numFmtId="0" fontId="10" fillId="0" borderId="0" xfId="0" applyNumberFormat="1" applyFont="1" applyBorder="1" applyAlignment="1">
      <alignment horizontal="left" vertical="center"/>
    </xf>
    <xf numFmtId="0" fontId="10" fillId="0" borderId="0" xfId="0" applyNumberFormat="1" applyFont="1" applyFill="1" applyBorder="1" applyAlignment="1">
      <alignment vertical="center"/>
    </xf>
    <xf numFmtId="0" fontId="10" fillId="0" borderId="0" xfId="0" applyNumberFormat="1" applyFont="1" applyFill="1" applyBorder="1" applyAlignment="1">
      <alignment horizontal="left" vertical="top" wrapText="1"/>
    </xf>
    <xf numFmtId="0" fontId="0" fillId="0" borderId="11" xfId="0" applyNumberFormat="1" applyBorder="1" applyAlignment="1">
      <alignment horizontal="center" vertical="top" wrapText="1"/>
    </xf>
    <xf numFmtId="0" fontId="0" fillId="0" borderId="9" xfId="0" applyNumberFormat="1" applyBorder="1" applyAlignment="1">
      <alignment horizontal="center" vertical="top" wrapText="1"/>
    </xf>
    <xf numFmtId="0" fontId="0" fillId="4" borderId="15" xfId="0" applyNumberFormat="1" applyFill="1" applyBorder="1" applyAlignment="1">
      <alignment horizontal="center" vertical="center"/>
    </xf>
    <xf numFmtId="0" fontId="0" fillId="2" borderId="15" xfId="0" applyNumberFormat="1" applyFill="1" applyBorder="1" applyAlignment="1">
      <alignment horizontal="center" vertical="center"/>
    </xf>
    <xf numFmtId="0" fontId="0" fillId="4" borderId="16" xfId="0" applyNumberFormat="1" applyFill="1" applyBorder="1" applyAlignment="1">
      <alignment horizontal="center" vertical="center" wrapText="1"/>
    </xf>
    <xf numFmtId="0" fontId="0" fillId="4" borderId="15" xfId="0" applyNumberFormat="1" applyFill="1" applyBorder="1" applyAlignment="1">
      <alignment horizontal="center" vertical="center" wrapText="1"/>
    </xf>
    <xf numFmtId="0" fontId="0" fillId="4" borderId="17" xfId="0" applyNumberFormat="1" applyFill="1" applyBorder="1" applyAlignment="1">
      <alignment horizontal="center" vertical="center"/>
    </xf>
    <xf numFmtId="0" fontId="0" fillId="2" borderId="17" xfId="0" applyNumberFormat="1" applyFill="1" applyBorder="1" applyAlignment="1">
      <alignment horizontal="center" vertical="center"/>
    </xf>
    <xf numFmtId="0" fontId="0" fillId="4" borderId="13" xfId="0" applyNumberFormat="1" applyFill="1" applyBorder="1" applyAlignment="1">
      <alignment horizontal="center" vertical="center" wrapText="1"/>
    </xf>
    <xf numFmtId="0" fontId="0" fillId="4" borderId="17" xfId="0" applyNumberFormat="1" applyFill="1" applyBorder="1" applyAlignment="1">
      <alignment horizontal="center" vertical="center" wrapText="1"/>
    </xf>
    <xf numFmtId="0" fontId="0" fillId="2" borderId="13" xfId="0" applyNumberFormat="1" applyFill="1" applyBorder="1" applyAlignment="1">
      <alignment horizontal="center" vertical="center" wrapText="1"/>
    </xf>
    <xf numFmtId="0" fontId="0" fillId="2" borderId="17" xfId="0" applyNumberFormat="1" applyFill="1" applyBorder="1" applyAlignment="1">
      <alignment horizontal="center" vertical="center" wrapText="1"/>
    </xf>
    <xf numFmtId="0" fontId="0" fillId="4" borderId="18" xfId="0" applyNumberFormat="1" applyFill="1" applyBorder="1" applyAlignment="1">
      <alignment horizontal="center" vertical="center"/>
    </xf>
    <xf numFmtId="0" fontId="0" fillId="2" borderId="18" xfId="0" applyNumberFormat="1" applyFill="1" applyBorder="1" applyAlignment="1">
      <alignment horizontal="center" vertical="center"/>
    </xf>
    <xf numFmtId="0" fontId="0" fillId="2" borderId="18" xfId="0" applyNumberFormat="1" applyFill="1" applyBorder="1" applyAlignment="1">
      <alignment horizontal="center" vertical="center" wrapText="1"/>
    </xf>
    <xf numFmtId="0" fontId="16" fillId="0" borderId="0" xfId="0" applyNumberFormat="1" applyFont="1" applyBorder="1" applyAlignment="1">
      <alignment vertical="center"/>
    </xf>
    <xf numFmtId="0" fontId="2" fillId="2" borderId="0" xfId="0" applyNumberFormat="1" applyFont="1" applyFill="1" applyBorder="1" applyAlignment="1">
      <alignment vertical="center" wrapText="1"/>
    </xf>
    <xf numFmtId="0" fontId="17" fillId="0" borderId="0" xfId="0" applyNumberFormat="1" applyFont="1" applyBorder="1" applyAlignment="1">
      <alignment horizontal="left" vertical="top" wrapText="1"/>
    </xf>
    <xf numFmtId="0" fontId="2" fillId="0" borderId="0" xfId="0" applyNumberFormat="1" applyFont="1" applyFill="1" applyBorder="1" applyAlignment="1">
      <alignment vertical="center" wrapText="1"/>
    </xf>
    <xf numFmtId="0" fontId="2" fillId="2" borderId="0" xfId="0" applyNumberFormat="1" applyFont="1" applyFill="1" applyBorder="1" applyAlignment="1">
      <alignment horizontal="left" vertical="center"/>
    </xf>
    <xf numFmtId="0" fontId="10" fillId="2" borderId="0" xfId="0" applyNumberFormat="1" applyFont="1" applyFill="1" applyBorder="1" applyAlignment="1">
      <alignment vertical="center" wrapText="1"/>
    </xf>
    <xf numFmtId="0" fontId="2" fillId="0" borderId="0" xfId="0" applyNumberFormat="1" applyFont="1" applyFill="1" applyBorder="1" applyAlignment="1">
      <alignment horizontal="left" vertical="center"/>
    </xf>
    <xf numFmtId="0" fontId="10" fillId="0" borderId="0" xfId="0" applyNumberFormat="1" applyFont="1" applyFill="1" applyBorder="1" applyAlignment="1">
      <alignment vertical="center" wrapText="1"/>
    </xf>
    <xf numFmtId="0" fontId="2" fillId="0" borderId="0" xfId="0" applyNumberFormat="1" applyFont="1" applyFill="1" applyBorder="1" applyAlignment="1">
      <alignment horizontal="center" vertical="center"/>
    </xf>
    <xf numFmtId="0" fontId="10" fillId="0" borderId="0" xfId="0" applyNumberFormat="1" applyFont="1" applyBorder="1" applyAlignment="1">
      <alignment horizontal="left" vertical="top"/>
    </xf>
    <xf numFmtId="0" fontId="10" fillId="0" borderId="0" xfId="0" applyNumberFormat="1" applyFont="1" applyBorder="1" applyAlignment="1">
      <alignment horizontal="left" vertical="top" wrapText="1"/>
    </xf>
    <xf numFmtId="0" fontId="10" fillId="0" borderId="0" xfId="0" applyNumberFormat="1" applyFont="1" applyBorder="1" applyAlignment="1">
      <alignment horizontal="right" vertical="top" wrapText="1"/>
    </xf>
    <xf numFmtId="0" fontId="0" fillId="0" borderId="0" xfId="0" applyNumberFormat="1" applyBorder="1" applyAlignment="1">
      <alignment horizontal="center" vertical="top"/>
    </xf>
    <xf numFmtId="0" fontId="0" fillId="0" borderId="0" xfId="0" applyNumberFormat="1" applyFill="1" applyBorder="1" applyAlignment="1">
      <alignment vertical="top"/>
    </xf>
    <xf numFmtId="0" fontId="19" fillId="0" borderId="0" xfId="0" quotePrefix="1" applyNumberFormat="1" applyFont="1" applyBorder="1" applyAlignment="1">
      <alignment horizontal="left" vertical="top" wrapText="1"/>
    </xf>
    <xf numFmtId="0" fontId="19" fillId="0" borderId="0" xfId="0" quotePrefix="1" applyNumberFormat="1" applyFont="1" applyBorder="1" applyAlignment="1">
      <alignment horizontal="left" vertical="top" wrapText="1"/>
    </xf>
    <xf numFmtId="0" fontId="10" fillId="0" borderId="0" xfId="0" applyNumberFormat="1" applyFont="1" applyBorder="1" applyAlignment="1">
      <alignment horizontal="right" vertical="center" wrapText="1"/>
    </xf>
    <xf numFmtId="0" fontId="10" fillId="0" borderId="0" xfId="0" applyNumberFormat="1" applyFont="1" applyBorder="1" applyAlignment="1">
      <alignment horizontal="left" vertical="center" wrapText="1"/>
    </xf>
    <xf numFmtId="0" fontId="19" fillId="0" borderId="0" xfId="0" quotePrefix="1" applyNumberFormat="1" applyFont="1" applyFill="1" applyBorder="1" applyAlignment="1">
      <alignment vertical="center"/>
    </xf>
    <xf numFmtId="0" fontId="19" fillId="0" borderId="0" xfId="0" applyNumberFormat="1" applyFont="1" applyFill="1" applyBorder="1" applyAlignment="1">
      <alignment vertical="center" wrapText="1"/>
    </xf>
    <xf numFmtId="0" fontId="19" fillId="0" borderId="0" xfId="0" applyNumberFormat="1" applyFont="1" applyFill="1" applyBorder="1" applyAlignment="1">
      <alignment vertical="center"/>
    </xf>
    <xf numFmtId="0" fontId="19" fillId="0" borderId="0" xfId="0" quotePrefix="1" applyNumberFormat="1" applyFont="1" applyFill="1" applyBorder="1" applyAlignment="1">
      <alignment vertical="center" wrapText="1"/>
    </xf>
    <xf numFmtId="0" fontId="10" fillId="0" borderId="0" xfId="0" applyNumberFormat="1" applyFont="1" applyBorder="1" applyAlignment="1">
      <alignment horizontal="right" vertical="center"/>
    </xf>
    <xf numFmtId="0" fontId="0" fillId="0" borderId="0" xfId="0" applyNumberFormat="1" applyAlignment="1">
      <alignment horizontal="right"/>
    </xf>
    <xf numFmtId="0" fontId="10" fillId="0" borderId="0" xfId="0" applyNumberFormat="1" applyFont="1" applyBorder="1" applyAlignment="1">
      <alignment wrapText="1"/>
    </xf>
    <xf numFmtId="0" fontId="10" fillId="3" borderId="0" xfId="0" applyNumberFormat="1" applyFont="1" applyFill="1" applyBorder="1" applyAlignment="1">
      <alignment vertical="center" wrapText="1"/>
    </xf>
    <xf numFmtId="0" fontId="10" fillId="3" borderId="0" xfId="0" applyNumberFormat="1" applyFont="1" applyFill="1" applyBorder="1" applyAlignment="1">
      <alignment horizontal="center" vertical="center"/>
    </xf>
    <xf numFmtId="0" fontId="10" fillId="3" borderId="0" xfId="0" applyNumberFormat="1" applyFont="1" applyFill="1" applyBorder="1" applyAlignment="1">
      <alignment vertical="top"/>
    </xf>
    <xf numFmtId="0" fontId="10" fillId="0" borderId="0" xfId="0" quotePrefix="1" applyNumberFormat="1" applyFont="1" applyBorder="1" applyAlignment="1">
      <alignment horizontal="center" vertical="center"/>
    </xf>
    <xf numFmtId="0" fontId="21" fillId="0" borderId="0" xfId="0" applyNumberFormat="1" applyFont="1" applyBorder="1" applyAlignment="1">
      <alignment vertical="center"/>
    </xf>
    <xf numFmtId="0" fontId="22" fillId="0" borderId="0" xfId="0" applyNumberFormat="1" applyFont="1" applyFill="1" applyBorder="1" applyAlignment="1">
      <alignment vertical="center" wrapText="1"/>
    </xf>
    <xf numFmtId="0" fontId="12" fillId="0" borderId="0" xfId="0" applyNumberFormat="1" applyFont="1" applyFill="1" applyBorder="1"/>
    <xf numFmtId="0" fontId="12" fillId="0" borderId="0" xfId="0" quotePrefix="1" applyNumberFormat="1" applyFont="1" applyFill="1" applyBorder="1" applyAlignment="1">
      <alignment vertical="center"/>
    </xf>
    <xf numFmtId="0" fontId="23" fillId="0" borderId="0" xfId="0" quotePrefix="1" applyNumberFormat="1" applyFont="1" applyFill="1" applyBorder="1" applyAlignment="1">
      <alignment wrapText="1"/>
    </xf>
    <xf numFmtId="0" fontId="9" fillId="0" borderId="0" xfId="0" quotePrefix="1" applyNumberFormat="1" applyFont="1" applyFill="1" applyBorder="1" applyAlignment="1">
      <alignment vertical="center"/>
    </xf>
    <xf numFmtId="0" fontId="9" fillId="0" borderId="0" xfId="0" applyNumberFormat="1" applyFont="1" applyFill="1" applyBorder="1"/>
    <xf numFmtId="0" fontId="12" fillId="0" borderId="0" xfId="0" applyNumberFormat="1" applyFont="1" applyFill="1" applyBorder="1" applyAlignment="1">
      <alignment vertical="top"/>
    </xf>
    <xf numFmtId="0" fontId="10" fillId="0" borderId="0" xfId="0" applyNumberFormat="1" applyFont="1" applyFill="1" applyAlignment="1">
      <alignment vertical="center"/>
    </xf>
    <xf numFmtId="0" fontId="0" fillId="0" borderId="0" xfId="0" quotePrefix="1" applyNumberFormat="1" applyFill="1" applyBorder="1" applyAlignment="1">
      <alignment wrapText="1"/>
    </xf>
    <xf numFmtId="0" fontId="10" fillId="0" borderId="0" xfId="0" applyNumberFormat="1" applyFont="1"/>
    <xf numFmtId="0" fontId="13" fillId="3" borderId="0" xfId="0" applyNumberFormat="1" applyFont="1" applyFill="1" applyBorder="1" applyAlignment="1">
      <alignment horizontal="center" vertical="center"/>
    </xf>
    <xf numFmtId="0" fontId="13" fillId="3" borderId="0" xfId="0" applyNumberFormat="1" applyFont="1" applyFill="1" applyBorder="1" applyAlignment="1">
      <alignment vertical="top"/>
    </xf>
    <xf numFmtId="0" fontId="13" fillId="0" borderId="0" xfId="0" applyNumberFormat="1" applyFont="1" applyFill="1" applyBorder="1" applyAlignment="1">
      <alignment horizontal="center" vertical="center"/>
    </xf>
    <xf numFmtId="0" fontId="10" fillId="0" borderId="0" xfId="0" applyNumberFormat="1" applyFont="1" applyFill="1" applyBorder="1" applyAlignment="1">
      <alignment vertical="top"/>
    </xf>
    <xf numFmtId="0" fontId="13" fillId="0" borderId="0" xfId="0" applyNumberFormat="1" applyFont="1" applyFill="1" applyBorder="1" applyAlignment="1">
      <alignment vertical="top"/>
    </xf>
    <xf numFmtId="0" fontId="13" fillId="0" borderId="0" xfId="0" applyNumberFormat="1" applyFont="1" applyFill="1" applyBorder="1" applyAlignment="1">
      <alignment vertical="center"/>
    </xf>
    <xf numFmtId="0" fontId="10" fillId="2" borderId="0" xfId="0" applyNumberFormat="1" applyFont="1" applyFill="1" applyBorder="1" applyAlignment="1">
      <alignment horizontal="left" vertical="center"/>
    </xf>
    <xf numFmtId="0" fontId="16" fillId="0" borderId="0" xfId="0" applyNumberFormat="1" applyFont="1" applyBorder="1" applyAlignment="1">
      <alignment vertical="top"/>
    </xf>
    <xf numFmtId="0" fontId="10" fillId="0" borderId="0" xfId="0" applyNumberFormat="1" applyFont="1" applyFill="1" applyBorder="1" applyAlignment="1">
      <alignment horizontal="left" vertical="center"/>
    </xf>
    <xf numFmtId="0" fontId="10" fillId="0" borderId="0" xfId="0" applyNumberFormat="1" applyFont="1" applyFill="1" applyBorder="1" applyAlignment="1">
      <alignment horizontal="left" vertical="top"/>
    </xf>
    <xf numFmtId="0" fontId="10" fillId="0" borderId="0" xfId="0" applyNumberFormat="1" applyFont="1" applyFill="1" applyBorder="1"/>
    <xf numFmtId="0" fontId="0" fillId="0" borderId="0" xfId="0" applyNumberFormat="1" applyBorder="1" applyAlignment="1">
      <alignment horizontal="left"/>
    </xf>
    <xf numFmtId="0" fontId="0" fillId="0" borderId="0" xfId="0" applyNumberFormat="1" applyFill="1" applyAlignment="1">
      <alignment vertical="center"/>
    </xf>
    <xf numFmtId="0" fontId="0" fillId="2" borderId="22" xfId="0" applyNumberFormat="1" applyFill="1" applyBorder="1" applyAlignment="1">
      <alignment vertical="center"/>
    </xf>
    <xf numFmtId="0" fontId="0" fillId="4" borderId="0" xfId="0" applyNumberFormat="1" applyFill="1" applyBorder="1" applyAlignment="1">
      <alignment vertical="center"/>
    </xf>
    <xf numFmtId="0" fontId="0" fillId="0" borderId="0" xfId="0" applyNumberFormat="1" applyBorder="1" applyAlignment="1">
      <alignment horizontal="left" vertical="top"/>
    </xf>
    <xf numFmtId="0" fontId="0" fillId="2" borderId="22" xfId="0" applyNumberFormat="1" applyFill="1" applyBorder="1" applyAlignment="1">
      <alignment vertical="top"/>
    </xf>
    <xf numFmtId="0" fontId="5" fillId="0" borderId="0" xfId="0" applyNumberFormat="1" applyFont="1" applyFill="1" applyBorder="1" applyAlignment="1">
      <alignment vertical="center" wrapText="1"/>
    </xf>
    <xf numFmtId="0" fontId="5" fillId="0" borderId="0" xfId="0" applyNumberFormat="1" applyFont="1" applyFill="1" applyBorder="1" applyAlignment="1">
      <alignment horizontal="left" vertical="center"/>
    </xf>
    <xf numFmtId="0" fontId="5" fillId="0" borderId="0" xfId="0" applyNumberFormat="1" applyFont="1" applyFill="1" applyBorder="1" applyAlignment="1">
      <alignment horizontal="center" vertical="center"/>
    </xf>
    <xf numFmtId="0" fontId="5" fillId="4" borderId="0" xfId="0" applyNumberFormat="1" applyFont="1" applyFill="1" applyBorder="1" applyAlignment="1">
      <alignment vertical="center"/>
    </xf>
    <xf numFmtId="0" fontId="5" fillId="0" borderId="0" xfId="0" applyNumberFormat="1" applyFont="1" applyFill="1" applyBorder="1" applyAlignment="1">
      <alignment vertical="center"/>
    </xf>
    <xf numFmtId="0" fontId="5" fillId="0" borderId="0" xfId="0" applyNumberFormat="1" applyFont="1" applyFill="1" applyBorder="1" applyAlignment="1">
      <alignment horizontal="left" vertical="top"/>
    </xf>
    <xf numFmtId="0" fontId="5" fillId="0" borderId="0" xfId="0" applyNumberFormat="1" applyFont="1" applyBorder="1" applyAlignment="1">
      <alignment horizontal="right" vertical="center"/>
    </xf>
    <xf numFmtId="0" fontId="27" fillId="4" borderId="0" xfId="1" applyNumberFormat="1" applyFont="1" applyFill="1" applyBorder="1" applyAlignment="1">
      <alignment vertical="center"/>
    </xf>
    <xf numFmtId="0" fontId="27" fillId="2" borderId="22" xfId="0" applyNumberFormat="1" applyFont="1" applyFill="1" applyBorder="1" applyAlignment="1">
      <alignment vertical="center"/>
    </xf>
    <xf numFmtId="0" fontId="27" fillId="0" borderId="0" xfId="1" applyNumberFormat="1" applyFont="1" applyFill="1" applyBorder="1" applyAlignment="1">
      <alignment horizontal="right" vertical="center"/>
    </xf>
    <xf numFmtId="0" fontId="0" fillId="0" borderId="0" xfId="0" quotePrefix="1" applyNumberFormat="1" applyBorder="1" applyAlignment="1">
      <alignment horizontal="center" vertical="center"/>
    </xf>
    <xf numFmtId="0" fontId="27" fillId="0" borderId="0" xfId="1" applyNumberFormat="1" applyFont="1" applyBorder="1" applyAlignment="1">
      <alignment horizontal="right" vertical="top"/>
    </xf>
    <xf numFmtId="0" fontId="0" fillId="0" borderId="21" xfId="0" applyNumberFormat="1" applyBorder="1" applyAlignment="1">
      <alignment vertical="center" wrapText="1"/>
    </xf>
    <xf numFmtId="0" fontId="0" fillId="0" borderId="14" xfId="0" applyNumberFormat="1" applyBorder="1" applyAlignment="1">
      <alignment horizontal="center"/>
    </xf>
    <xf numFmtId="0" fontId="0" fillId="0" borderId="14" xfId="0" applyNumberFormat="1" applyBorder="1" applyAlignment="1">
      <alignment vertical="top"/>
    </xf>
    <xf numFmtId="0" fontId="0" fillId="0" borderId="16" xfId="0" applyNumberFormat="1" applyBorder="1" applyAlignment="1">
      <alignment vertical="top"/>
    </xf>
    <xf numFmtId="0" fontId="0" fillId="0" borderId="12" xfId="0" applyNumberFormat="1" applyBorder="1" applyAlignment="1">
      <alignment vertical="center" wrapText="1"/>
    </xf>
    <xf numFmtId="0" fontId="27" fillId="0" borderId="13" xfId="0" applyNumberFormat="1" applyFont="1" applyBorder="1" applyAlignment="1">
      <alignment vertical="top"/>
    </xf>
    <xf numFmtId="0" fontId="0" fillId="0" borderId="9" xfId="0" applyNumberFormat="1" applyBorder="1" applyAlignment="1">
      <alignment vertical="center" wrapText="1"/>
    </xf>
    <xf numFmtId="0" fontId="0" fillId="0" borderId="10" xfId="0" applyNumberFormat="1" applyBorder="1" applyAlignment="1">
      <alignment horizontal="center"/>
    </xf>
    <xf numFmtId="0" fontId="0" fillId="0" borderId="10" xfId="0" applyNumberFormat="1" applyBorder="1" applyAlignment="1">
      <alignment vertical="top"/>
    </xf>
    <xf numFmtId="0" fontId="0" fillId="0" borderId="11" xfId="0" applyNumberFormat="1" applyBorder="1" applyAlignment="1">
      <alignment vertical="top"/>
    </xf>
    <xf numFmtId="0" fontId="5" fillId="0" borderId="0" xfId="0" applyNumberFormat="1" applyFont="1" applyBorder="1" applyAlignment="1">
      <alignment horizontal="right"/>
    </xf>
    <xf numFmtId="0" fontId="0" fillId="0" borderId="21" xfId="0" applyNumberFormat="1" applyBorder="1" applyAlignment="1">
      <alignment horizontal="right" vertical="center" wrapText="1"/>
    </xf>
    <xf numFmtId="0" fontId="0" fillId="0" borderId="14" xfId="0" applyNumberFormat="1" applyBorder="1" applyAlignment="1">
      <alignment horizontal="center" vertical="center"/>
    </xf>
    <xf numFmtId="0" fontId="0" fillId="2" borderId="14" xfId="0" applyNumberFormat="1" applyFill="1" applyBorder="1" applyAlignment="1">
      <alignment vertical="center"/>
    </xf>
    <xf numFmtId="0" fontId="0" fillId="0" borderId="16" xfId="0" applyNumberFormat="1" applyBorder="1" applyAlignment="1">
      <alignment vertical="center"/>
    </xf>
    <xf numFmtId="0" fontId="0" fillId="0" borderId="12" xfId="0" applyNumberFormat="1" applyBorder="1" applyAlignment="1">
      <alignment horizontal="right" vertical="center" wrapText="1"/>
    </xf>
    <xf numFmtId="0" fontId="0" fillId="0" borderId="13" xfId="0" applyNumberFormat="1" applyBorder="1" applyAlignment="1">
      <alignment vertical="center"/>
    </xf>
    <xf numFmtId="0" fontId="0" fillId="0" borderId="9" xfId="0" applyNumberFormat="1" applyBorder="1" applyAlignment="1">
      <alignment horizontal="right" vertical="center" wrapText="1"/>
    </xf>
    <xf numFmtId="0" fontId="0" fillId="2" borderId="10" xfId="0" applyNumberFormat="1" applyFill="1" applyBorder="1" applyAlignment="1">
      <alignment vertical="center"/>
    </xf>
    <xf numFmtId="0" fontId="0" fillId="0" borderId="11" xfId="0" applyNumberFormat="1" applyBorder="1" applyAlignment="1">
      <alignment vertical="center"/>
    </xf>
    <xf numFmtId="0" fontId="2" fillId="0" borderId="0" xfId="0" applyNumberFormat="1" applyFont="1" applyBorder="1" applyAlignment="1">
      <alignment vertical="top" wrapText="1"/>
    </xf>
    <xf numFmtId="0" fontId="14" fillId="0" borderId="0" xfId="2" applyNumberFormat="1" applyFont="1" applyBorder="1" applyAlignment="1" applyProtection="1"/>
    <xf numFmtId="0" fontId="0" fillId="0" borderId="0" xfId="0" applyNumberFormat="1" applyFill="1"/>
    <xf numFmtId="0" fontId="16" fillId="0" borderId="0" xfId="0" applyNumberFormat="1" applyFont="1" applyBorder="1" applyAlignment="1">
      <alignment horizontal="left" vertical="top" wrapText="1"/>
    </xf>
    <xf numFmtId="0" fontId="18" fillId="0" borderId="0" xfId="0" applyNumberFormat="1" applyFont="1" applyBorder="1" applyAlignment="1">
      <alignment horizontal="center" vertical="top"/>
    </xf>
    <xf numFmtId="0" fontId="16" fillId="0" borderId="0" xfId="0" applyNumberFormat="1" applyFont="1" applyBorder="1" applyAlignment="1">
      <alignment vertical="top" wrapText="1"/>
    </xf>
    <xf numFmtId="0" fontId="0" fillId="2" borderId="0" xfId="0" applyNumberFormat="1" applyFill="1" applyBorder="1"/>
    <xf numFmtId="0" fontId="0" fillId="0" borderId="12" xfId="0" applyNumberFormat="1" applyFill="1" applyBorder="1"/>
    <xf numFmtId="0" fontId="23" fillId="5" borderId="0" xfId="0" applyNumberFormat="1" applyFont="1" applyFill="1" applyBorder="1" applyAlignment="1">
      <alignment vertical="center" wrapText="1"/>
    </xf>
    <xf numFmtId="0" fontId="14" fillId="0" borderId="0" xfId="2" applyNumberFormat="1" applyBorder="1" applyAlignment="1" applyProtection="1"/>
    <xf numFmtId="0" fontId="0" fillId="0" borderId="12" xfId="0" applyNumberFormat="1" applyFill="1" applyBorder="1" applyAlignment="1">
      <alignment vertical="center" wrapText="1"/>
    </xf>
    <xf numFmtId="0" fontId="20" fillId="5" borderId="0" xfId="0" applyNumberFormat="1" applyFont="1" applyFill="1" applyBorder="1" applyAlignment="1">
      <alignment vertical="center" wrapText="1"/>
    </xf>
    <xf numFmtId="0" fontId="23" fillId="0" borderId="0" xfId="0" applyNumberFormat="1" applyFont="1" applyBorder="1" applyAlignment="1">
      <alignment vertical="center" wrapText="1"/>
    </xf>
    <xf numFmtId="0" fontId="4" fillId="0" borderId="2" xfId="0" applyNumberFormat="1" applyFont="1" applyBorder="1" applyAlignment="1">
      <alignment horizontal="center" vertical="top" wrapText="1"/>
    </xf>
    <xf numFmtId="0" fontId="2" fillId="0" borderId="5" xfId="0" applyNumberFormat="1" applyFont="1" applyFill="1" applyBorder="1" applyAlignment="1">
      <alignment horizontal="center" vertical="center" wrapText="1"/>
    </xf>
    <xf numFmtId="0" fontId="4" fillId="0" borderId="2" xfId="0" applyNumberFormat="1" applyFont="1" applyFill="1" applyBorder="1" applyAlignment="1">
      <alignment horizontal="center" vertical="top" wrapText="1"/>
    </xf>
    <xf numFmtId="0" fontId="4" fillId="0" borderId="25" xfId="0" applyNumberFormat="1" applyFont="1" applyBorder="1" applyAlignment="1">
      <alignment horizontal="center" vertical="center" wrapText="1"/>
    </xf>
    <xf numFmtId="0" fontId="0" fillId="0" borderId="0" xfId="0" applyNumberFormat="1" applyBorder="1" applyAlignment="1">
      <alignment horizontal="left" vertical="center"/>
    </xf>
    <xf numFmtId="0" fontId="0" fillId="0" borderId="44" xfId="0" applyNumberFormat="1" applyBorder="1" applyAlignment="1">
      <alignment horizontal="center" vertical="center"/>
    </xf>
    <xf numFmtId="0" fontId="0" fillId="0" borderId="0" xfId="0" applyNumberFormat="1" applyFont="1" applyAlignment="1">
      <alignment shrinkToFit="1"/>
    </xf>
    <xf numFmtId="0" fontId="0" fillId="0" borderId="0" xfId="0" applyNumberFormat="1" applyFont="1" applyAlignment="1">
      <alignment vertical="center" shrinkToFit="1"/>
    </xf>
    <xf numFmtId="0" fontId="0" fillId="0" borderId="0" xfId="0" applyNumberFormat="1" applyFont="1" applyAlignment="1">
      <alignment vertical="top" shrinkToFit="1"/>
    </xf>
    <xf numFmtId="0" fontId="0" fillId="0" borderId="0" xfId="0" applyNumberFormat="1" applyFont="1" applyFill="1" applyAlignment="1">
      <alignment vertical="center" shrinkToFit="1"/>
    </xf>
    <xf numFmtId="0" fontId="0" fillId="0" borderId="0" xfId="0" applyNumberFormat="1" applyFont="1" applyBorder="1" applyAlignment="1">
      <alignment shrinkToFit="1"/>
    </xf>
    <xf numFmtId="0" fontId="0" fillId="0" borderId="0" xfId="0" applyNumberFormat="1" applyFont="1" applyBorder="1" applyAlignment="1">
      <alignment vertical="center" shrinkToFit="1"/>
    </xf>
    <xf numFmtId="0" fontId="0" fillId="0" borderId="0" xfId="0" applyNumberFormat="1" applyFont="1" applyFill="1" applyAlignment="1">
      <alignment shrinkToFit="1"/>
    </xf>
    <xf numFmtId="0" fontId="51" fillId="0" borderId="0" xfId="0" quotePrefix="1" applyNumberFormat="1" applyFont="1" applyAlignment="1">
      <alignment vertical="center"/>
    </xf>
    <xf numFmtId="0" fontId="51" fillId="0" borderId="0" xfId="0" applyNumberFormat="1" applyFont="1" applyAlignment="1">
      <alignment vertical="center"/>
    </xf>
    <xf numFmtId="0" fontId="51" fillId="0" borderId="0" xfId="0" applyNumberFormat="1" applyFont="1" applyAlignment="1">
      <alignment horizontal="left" vertical="center"/>
    </xf>
    <xf numFmtId="0" fontId="0" fillId="0" borderId="0" xfId="0" applyNumberFormat="1" applyFont="1" applyAlignment="1" applyProtection="1">
      <alignment vertical="center" shrinkToFit="1"/>
    </xf>
    <xf numFmtId="0" fontId="0" fillId="0" borderId="0" xfId="0" applyNumberFormat="1" applyFont="1" applyAlignment="1" applyProtection="1">
      <alignment vertical="center" shrinkToFit="1"/>
      <protection hidden="1"/>
    </xf>
    <xf numFmtId="0" fontId="0" fillId="11" borderId="19" xfId="0" applyNumberFormat="1" applyFill="1" applyBorder="1" applyAlignment="1">
      <alignment horizontal="center" vertical="center" wrapText="1"/>
    </xf>
    <xf numFmtId="0" fontId="36" fillId="0" borderId="0" xfId="3" applyFont="1" applyAlignment="1">
      <alignment horizontal="left"/>
    </xf>
    <xf numFmtId="0" fontId="36" fillId="8" borderId="0" xfId="3" applyFont="1" applyFill="1" applyAlignment="1">
      <alignment horizontal="left"/>
    </xf>
    <xf numFmtId="0" fontId="36" fillId="11" borderId="0" xfId="3" applyFont="1" applyFill="1" applyAlignment="1">
      <alignment horizontal="left"/>
    </xf>
    <xf numFmtId="0" fontId="39" fillId="0" borderId="0" xfId="3" applyFont="1" applyAlignment="1">
      <alignment vertical="top"/>
    </xf>
    <xf numFmtId="0" fontId="52" fillId="0" borderId="0" xfId="3" applyFont="1" applyAlignment="1">
      <alignment vertical="top"/>
    </xf>
    <xf numFmtId="0" fontId="53" fillId="0" borderId="0" xfId="3" applyFont="1" applyAlignment="1">
      <alignment horizontal="left"/>
    </xf>
    <xf numFmtId="0" fontId="53" fillId="0" borderId="0" xfId="3" applyFont="1" applyAlignment="1">
      <alignment vertical="top"/>
    </xf>
    <xf numFmtId="0" fontId="2" fillId="0" borderId="5" xfId="0" quotePrefix="1" applyNumberFormat="1" applyFont="1" applyBorder="1" applyAlignment="1">
      <alignment horizontal="center" vertical="top" wrapText="1"/>
    </xf>
    <xf numFmtId="0" fontId="44" fillId="10" borderId="0" xfId="4" applyFont="1" applyFill="1" applyBorder="1" applyAlignment="1">
      <alignment horizontal="left" vertical="center"/>
    </xf>
    <xf numFmtId="0" fontId="32" fillId="0" borderId="0" xfId="3" applyFont="1" applyBorder="1" applyAlignment="1">
      <alignment horizontal="left"/>
    </xf>
    <xf numFmtId="0" fontId="33" fillId="0" borderId="0" xfId="3" applyFont="1" applyAlignment="1">
      <alignment horizontal="center"/>
    </xf>
    <xf numFmtId="0" fontId="34" fillId="0" borderId="0" xfId="3" applyFont="1" applyAlignment="1">
      <alignment horizontal="left"/>
    </xf>
    <xf numFmtId="0" fontId="49" fillId="0" borderId="41" xfId="3" applyFont="1" applyBorder="1" applyAlignment="1">
      <alignment horizontal="right"/>
    </xf>
    <xf numFmtId="0" fontId="49" fillId="0" borderId="0" xfId="3" applyFont="1" applyBorder="1" applyAlignment="1">
      <alignment horizontal="right"/>
    </xf>
    <xf numFmtId="0" fontId="53" fillId="0" borderId="0" xfId="3" applyFont="1" applyAlignment="1">
      <alignment vertical="top"/>
    </xf>
    <xf numFmtId="0" fontId="29" fillId="4" borderId="0" xfId="0" applyNumberFormat="1" applyFont="1" applyFill="1" applyBorder="1" applyAlignment="1">
      <alignment horizontal="center"/>
    </xf>
    <xf numFmtId="0" fontId="0" fillId="0" borderId="0" xfId="0" applyNumberFormat="1" applyFill="1" applyBorder="1" applyAlignment="1">
      <alignment horizontal="left" wrapText="1"/>
    </xf>
    <xf numFmtId="0" fontId="0" fillId="0" borderId="8" xfId="0" applyNumberFormat="1" applyFill="1" applyBorder="1" applyAlignment="1">
      <alignment horizontal="left" wrapText="1"/>
    </xf>
    <xf numFmtId="0" fontId="0" fillId="0" borderId="0" xfId="0" applyNumberFormat="1" applyFill="1" applyBorder="1" applyAlignment="1">
      <alignment horizontal="left" vertical="center" wrapText="1"/>
    </xf>
    <xf numFmtId="0" fontId="0" fillId="0" borderId="8" xfId="0" applyNumberFormat="1" applyFill="1" applyBorder="1" applyAlignment="1">
      <alignment horizontal="left" vertical="center" wrapText="1"/>
    </xf>
    <xf numFmtId="0" fontId="0" fillId="2" borderId="0" xfId="0" applyNumberFormat="1" applyFill="1" applyBorder="1" applyAlignment="1">
      <alignment horizontal="center" vertical="center" wrapText="1"/>
    </xf>
    <xf numFmtId="0" fontId="0" fillId="2" borderId="0" xfId="0" applyNumberFormat="1" applyFill="1" applyBorder="1" applyAlignment="1">
      <alignment horizontal="left" vertical="center" wrapText="1"/>
    </xf>
    <xf numFmtId="0" fontId="0" fillId="2" borderId="8" xfId="0" applyNumberFormat="1" applyFill="1" applyBorder="1" applyAlignment="1">
      <alignment horizontal="left" vertical="center" wrapText="1"/>
    </xf>
    <xf numFmtId="0" fontId="0" fillId="2" borderId="10" xfId="0" applyNumberFormat="1" applyFill="1" applyBorder="1" applyAlignment="1">
      <alignment horizontal="left" vertical="center" wrapText="1"/>
    </xf>
    <xf numFmtId="0" fontId="0" fillId="2" borderId="29" xfId="0" applyNumberFormat="1" applyFill="1" applyBorder="1" applyAlignment="1">
      <alignment horizontal="left" vertical="center" wrapText="1"/>
    </xf>
    <xf numFmtId="0" fontId="0" fillId="2" borderId="0" xfId="0" applyNumberFormat="1" applyFill="1" applyBorder="1" applyAlignment="1">
      <alignment horizontal="left" vertical="center"/>
    </xf>
    <xf numFmtId="0" fontId="0" fillId="0" borderId="14" xfId="0" applyNumberFormat="1" applyBorder="1" applyAlignment="1">
      <alignment horizontal="left" vertical="center" wrapText="1"/>
    </xf>
    <xf numFmtId="0" fontId="0" fillId="0" borderId="0" xfId="0" applyNumberFormat="1" applyBorder="1" applyAlignment="1">
      <alignment horizontal="left" vertical="center" wrapText="1"/>
    </xf>
    <xf numFmtId="0" fontId="0" fillId="2" borderId="14" xfId="0" applyNumberFormat="1" applyFill="1" applyBorder="1" applyAlignment="1">
      <alignment horizontal="left" vertical="center"/>
    </xf>
    <xf numFmtId="0" fontId="0" fillId="2" borderId="35" xfId="0" applyNumberFormat="1" applyFill="1" applyBorder="1" applyAlignment="1">
      <alignment horizontal="left" vertical="center"/>
    </xf>
    <xf numFmtId="0" fontId="0" fillId="2" borderId="8" xfId="0" applyNumberFormat="1" applyFill="1" applyBorder="1" applyAlignment="1">
      <alignment horizontal="center" vertical="center" wrapText="1"/>
    </xf>
    <xf numFmtId="0" fontId="0" fillId="2" borderId="10" xfId="0" applyNumberFormat="1" applyFill="1" applyBorder="1" applyAlignment="1">
      <alignment horizontal="center" vertical="center" wrapText="1"/>
    </xf>
    <xf numFmtId="0" fontId="0" fillId="2" borderId="29" xfId="0" applyNumberFormat="1" applyFill="1" applyBorder="1" applyAlignment="1">
      <alignment horizontal="center" vertical="center" wrapText="1"/>
    </xf>
    <xf numFmtId="0" fontId="0" fillId="0" borderId="0" xfId="0" applyNumberFormat="1" applyFill="1" applyBorder="1" applyAlignment="1">
      <alignment horizontal="center" vertical="center" wrapText="1"/>
    </xf>
    <xf numFmtId="0" fontId="0" fillId="0" borderId="8" xfId="0" applyNumberFormat="1" applyFill="1" applyBorder="1" applyAlignment="1">
      <alignment horizontal="center" vertical="center" wrapText="1"/>
    </xf>
    <xf numFmtId="0" fontId="5" fillId="0" borderId="33" xfId="0" applyNumberFormat="1" applyFont="1" applyFill="1" applyBorder="1" applyAlignment="1">
      <alignment horizontal="center" vertical="center" wrapText="1"/>
    </xf>
    <xf numFmtId="0" fontId="10" fillId="0" borderId="0" xfId="0" applyNumberFormat="1" applyFont="1" applyBorder="1" applyAlignment="1">
      <alignment horizontal="left" vertical="center" wrapText="1"/>
    </xf>
    <xf numFmtId="0" fontId="5" fillId="0" borderId="0" xfId="0" applyNumberFormat="1" applyFont="1" applyBorder="1" applyAlignment="1">
      <alignment horizontal="center" vertical="center" wrapText="1"/>
    </xf>
    <xf numFmtId="0" fontId="6" fillId="0" borderId="26" xfId="0" applyNumberFormat="1" applyFont="1" applyBorder="1" applyAlignment="1">
      <alignment horizontal="center" vertical="center" wrapText="1"/>
    </xf>
    <xf numFmtId="0" fontId="6" fillId="0" borderId="27" xfId="0" applyNumberFormat="1" applyFont="1" applyBorder="1" applyAlignment="1">
      <alignment horizontal="center" vertical="center" wrapText="1"/>
    </xf>
    <xf numFmtId="0" fontId="6" fillId="0" borderId="1" xfId="0" applyNumberFormat="1" applyFont="1" applyBorder="1" applyAlignment="1">
      <alignment horizontal="left" vertical="center" wrapText="1"/>
    </xf>
    <xf numFmtId="0" fontId="6" fillId="0" borderId="3" xfId="0" applyNumberFormat="1" applyFont="1" applyBorder="1" applyAlignment="1">
      <alignment horizontal="left" vertical="center" wrapText="1"/>
    </xf>
    <xf numFmtId="0" fontId="4" fillId="0" borderId="1" xfId="0" applyNumberFormat="1" applyFont="1" applyBorder="1" applyAlignment="1">
      <alignment horizontal="center" vertical="top" wrapText="1"/>
    </xf>
    <xf numFmtId="0" fontId="4" fillId="0" borderId="2" xfId="0" applyNumberFormat="1" applyFont="1" applyBorder="1" applyAlignment="1">
      <alignment horizontal="center" vertical="top" wrapText="1"/>
    </xf>
    <xf numFmtId="0" fontId="6" fillId="0" borderId="0" xfId="0" applyNumberFormat="1" applyFont="1" applyBorder="1" applyAlignment="1">
      <alignment horizontal="center" vertical="center" wrapText="1"/>
    </xf>
    <xf numFmtId="0" fontId="6" fillId="0" borderId="0" xfId="0" applyNumberFormat="1" applyFont="1" applyBorder="1" applyAlignment="1">
      <alignment horizontal="left" vertical="center" wrapText="1"/>
    </xf>
    <xf numFmtId="0" fontId="7" fillId="8" borderId="4" xfId="0" applyNumberFormat="1" applyFont="1" applyFill="1" applyBorder="1" applyAlignment="1">
      <alignment horizontal="left" vertical="center"/>
    </xf>
    <xf numFmtId="0" fontId="7" fillId="8" borderId="6" xfId="0" applyNumberFormat="1" applyFont="1" applyFill="1" applyBorder="1" applyAlignment="1">
      <alignment horizontal="left" vertical="center"/>
    </xf>
    <xf numFmtId="0" fontId="10" fillId="8" borderId="4" xfId="0" applyNumberFormat="1" applyFont="1" applyFill="1" applyBorder="1" applyAlignment="1">
      <alignment horizontal="center" vertical="center" wrapText="1"/>
    </xf>
    <xf numFmtId="0" fontId="10" fillId="8" borderId="5" xfId="0" applyNumberFormat="1" applyFont="1" applyFill="1" applyBorder="1" applyAlignment="1">
      <alignment horizontal="center" vertical="center" wrapText="1"/>
    </xf>
    <xf numFmtId="0" fontId="7" fillId="4" borderId="0" xfId="0" applyNumberFormat="1" applyFont="1" applyFill="1" applyBorder="1" applyAlignment="1">
      <alignment horizontal="left" vertical="center"/>
    </xf>
    <xf numFmtId="0" fontId="5" fillId="0" borderId="28" xfId="0" applyNumberFormat="1" applyFont="1" applyBorder="1" applyAlignment="1">
      <alignment horizontal="left" vertical="center" wrapText="1"/>
    </xf>
    <xf numFmtId="0" fontId="5" fillId="0" borderId="0" xfId="0" applyNumberFormat="1" applyFont="1" applyBorder="1" applyAlignment="1">
      <alignment horizontal="left" vertical="center" wrapText="1"/>
    </xf>
    <xf numFmtId="0" fontId="10" fillId="2" borderId="0" xfId="0" applyNumberFormat="1" applyFont="1" applyFill="1" applyBorder="1" applyAlignment="1">
      <alignment horizontal="left" vertical="center" wrapText="1"/>
    </xf>
    <xf numFmtId="0" fontId="0" fillId="2" borderId="28" xfId="0" applyNumberFormat="1" applyFill="1" applyBorder="1" applyAlignment="1">
      <alignment horizontal="left" vertical="center"/>
    </xf>
    <xf numFmtId="0" fontId="0" fillId="2" borderId="8" xfId="0" applyNumberFormat="1" applyFill="1" applyBorder="1" applyAlignment="1">
      <alignment horizontal="left" vertical="center"/>
    </xf>
    <xf numFmtId="0" fontId="0" fillId="2" borderId="31" xfId="0" applyNumberFormat="1" applyFill="1" applyBorder="1" applyAlignment="1">
      <alignment horizontal="left" vertical="center"/>
    </xf>
    <xf numFmtId="0" fontId="0" fillId="2" borderId="10" xfId="0" applyNumberFormat="1" applyFill="1" applyBorder="1" applyAlignment="1">
      <alignment horizontal="left" vertical="center"/>
    </xf>
    <xf numFmtId="0" fontId="0" fillId="2" borderId="29" xfId="0" applyNumberFormat="1" applyFill="1" applyBorder="1" applyAlignment="1">
      <alignment horizontal="left" vertical="center"/>
    </xf>
    <xf numFmtId="0" fontId="2" fillId="0" borderId="25" xfId="0" applyNumberFormat="1" applyFont="1" applyBorder="1" applyAlignment="1">
      <alignment horizontal="center" vertical="top" wrapText="1"/>
    </xf>
    <xf numFmtId="0" fontId="2" fillId="0" borderId="26" xfId="0" applyNumberFormat="1" applyFont="1" applyBorder="1" applyAlignment="1">
      <alignment horizontal="center" vertical="top" wrapText="1"/>
    </xf>
    <xf numFmtId="0" fontId="27" fillId="0" borderId="1" xfId="0" applyNumberFormat="1" applyFont="1" applyBorder="1" applyAlignment="1">
      <alignment horizontal="center" vertical="center" wrapText="1"/>
    </xf>
    <xf numFmtId="0" fontId="27" fillId="0" borderId="3" xfId="0" applyNumberFormat="1" applyFont="1" applyBorder="1" applyAlignment="1">
      <alignment horizontal="center" vertical="center" wrapText="1"/>
    </xf>
    <xf numFmtId="0" fontId="27" fillId="0" borderId="2" xfId="0" applyNumberFormat="1" applyFont="1" applyBorder="1" applyAlignment="1">
      <alignment horizontal="center" vertical="center" wrapText="1"/>
    </xf>
    <xf numFmtId="0" fontId="27" fillId="0" borderId="4" xfId="0" applyNumberFormat="1" applyFont="1" applyBorder="1" applyAlignment="1">
      <alignment horizontal="center" vertical="center" wrapText="1"/>
    </xf>
    <xf numFmtId="0" fontId="27" fillId="0" borderId="6" xfId="0" applyNumberFormat="1" applyFont="1" applyBorder="1" applyAlignment="1">
      <alignment horizontal="center" vertical="center" wrapText="1"/>
    </xf>
    <xf numFmtId="0" fontId="27" fillId="0" borderId="5" xfId="0" applyNumberFormat="1" applyFont="1" applyBorder="1" applyAlignment="1">
      <alignment horizontal="center" vertical="center" wrapText="1"/>
    </xf>
    <xf numFmtId="0" fontId="2" fillId="0" borderId="0" xfId="0" applyNumberFormat="1" applyFont="1" applyBorder="1" applyAlignment="1">
      <alignment horizontal="center" vertical="top" wrapText="1"/>
    </xf>
    <xf numFmtId="0" fontId="19" fillId="0" borderId="0" xfId="0" applyNumberFormat="1" applyFont="1" applyBorder="1" applyAlignment="1">
      <alignment horizontal="center" vertical="center" wrapText="1"/>
    </xf>
    <xf numFmtId="0" fontId="3" fillId="0" borderId="0" xfId="0" applyNumberFormat="1" applyFont="1" applyBorder="1" applyAlignment="1">
      <alignment horizontal="center" vertical="center" wrapText="1"/>
    </xf>
    <xf numFmtId="0" fontId="2" fillId="0" borderId="4" xfId="0" quotePrefix="1" applyNumberFormat="1" applyFont="1" applyBorder="1" applyAlignment="1">
      <alignment horizontal="center" vertical="top" wrapText="1"/>
    </xf>
    <xf numFmtId="0" fontId="2" fillId="0" borderId="5" xfId="0" quotePrefix="1" applyNumberFormat="1" applyFont="1" applyBorder="1" applyAlignment="1">
      <alignment horizontal="center" vertical="top" wrapText="1"/>
    </xf>
    <xf numFmtId="0" fontId="0" fillId="2" borderId="28" xfId="0" applyNumberFormat="1" applyFill="1" applyBorder="1" applyAlignment="1">
      <alignment horizontal="left" vertical="center" wrapText="1"/>
    </xf>
    <xf numFmtId="0" fontId="0" fillId="0" borderId="10" xfId="0" applyNumberFormat="1" applyBorder="1" applyAlignment="1">
      <alignment horizontal="left" vertical="center" wrapText="1"/>
    </xf>
    <xf numFmtId="0" fontId="6" fillId="0" borderId="2" xfId="0" applyNumberFormat="1" applyFont="1" applyBorder="1" applyAlignment="1">
      <alignment horizontal="left" vertical="center" wrapText="1"/>
    </xf>
    <xf numFmtId="0" fontId="7" fillId="8" borderId="5" xfId="0" applyNumberFormat="1" applyFont="1" applyFill="1" applyBorder="1" applyAlignment="1">
      <alignment horizontal="left" vertical="center"/>
    </xf>
    <xf numFmtId="0" fontId="2" fillId="0" borderId="1" xfId="0" applyNumberFormat="1" applyFont="1" applyBorder="1" applyAlignment="1">
      <alignment horizontal="center" vertical="top" wrapText="1"/>
    </xf>
    <xf numFmtId="0" fontId="2" fillId="0" borderId="3" xfId="0" applyNumberFormat="1" applyFont="1" applyBorder="1" applyAlignment="1">
      <alignment horizontal="center" vertical="top" wrapText="1"/>
    </xf>
    <xf numFmtId="0" fontId="2" fillId="0" borderId="4" xfId="0" applyNumberFormat="1" applyFont="1" applyBorder="1" applyAlignment="1">
      <alignment horizontal="center" vertical="top" wrapText="1"/>
    </xf>
    <xf numFmtId="0" fontId="2" fillId="0" borderId="6" xfId="0" applyNumberFormat="1" applyFont="1" applyBorder="1" applyAlignment="1">
      <alignment horizontal="center" vertical="top" wrapText="1"/>
    </xf>
    <xf numFmtId="0" fontId="3" fillId="0" borderId="3" xfId="0" applyNumberFormat="1" applyFont="1" applyBorder="1" applyAlignment="1">
      <alignment horizontal="center" vertical="center" wrapText="1"/>
    </xf>
    <xf numFmtId="0" fontId="3" fillId="0" borderId="2" xfId="0" applyNumberFormat="1" applyFont="1" applyBorder="1" applyAlignment="1">
      <alignment horizontal="center" vertical="center" wrapText="1"/>
    </xf>
    <xf numFmtId="0" fontId="3" fillId="0" borderId="6" xfId="0" applyNumberFormat="1" applyFont="1" applyBorder="1" applyAlignment="1">
      <alignment horizontal="center" vertical="center" wrapText="1"/>
    </xf>
    <xf numFmtId="0" fontId="3" fillId="0" borderId="5" xfId="0" applyNumberFormat="1" applyFont="1" applyBorder="1" applyAlignment="1">
      <alignment horizontal="center" vertical="center" wrapText="1"/>
    </xf>
    <xf numFmtId="0" fontId="10" fillId="0" borderId="7" xfId="0" applyNumberFormat="1" applyFont="1" applyBorder="1" applyAlignment="1">
      <alignment horizontal="center" vertical="top" wrapText="1"/>
    </xf>
    <xf numFmtId="0" fontId="10" fillId="0" borderId="7" xfId="0" applyNumberFormat="1" applyFont="1" applyFill="1" applyBorder="1" applyAlignment="1">
      <alignment horizontal="center" vertical="top"/>
    </xf>
    <xf numFmtId="0" fontId="10" fillId="0" borderId="0" xfId="0" applyNumberFormat="1" applyFont="1" applyFill="1" applyBorder="1" applyAlignment="1">
      <alignment horizontal="left" vertical="center"/>
    </xf>
    <xf numFmtId="0" fontId="10" fillId="0" borderId="0" xfId="0" applyNumberFormat="1" applyFont="1" applyBorder="1" applyAlignment="1">
      <alignment horizontal="left" vertical="top" wrapText="1"/>
    </xf>
    <xf numFmtId="0" fontId="10" fillId="2" borderId="0" xfId="0" applyNumberFormat="1" applyFont="1" applyFill="1" applyBorder="1" applyAlignment="1">
      <alignment horizontal="left" vertical="top"/>
    </xf>
    <xf numFmtId="0" fontId="5" fillId="0" borderId="0" xfId="0" applyNumberFormat="1" applyFont="1" applyBorder="1" applyAlignment="1">
      <alignment horizontal="left" vertical="top" wrapText="1"/>
    </xf>
    <xf numFmtId="0" fontId="10" fillId="2" borderId="0" xfId="0" applyNumberFormat="1" applyFont="1" applyFill="1" applyBorder="1" applyAlignment="1">
      <alignment horizontal="center" vertical="center"/>
    </xf>
    <xf numFmtId="0" fontId="0" fillId="2" borderId="0" xfId="0" applyNumberFormat="1" applyFill="1" applyBorder="1" applyAlignment="1">
      <alignment horizontal="center" vertical="center"/>
    </xf>
    <xf numFmtId="0" fontId="5" fillId="0" borderId="0" xfId="0" applyNumberFormat="1" applyFont="1" applyFill="1" applyBorder="1" applyAlignment="1">
      <alignment horizontal="left" vertical="center"/>
    </xf>
    <xf numFmtId="0" fontId="0" fillId="0" borderId="0" xfId="0" applyNumberFormat="1" applyBorder="1" applyAlignment="1">
      <alignment horizontal="left" vertical="top" wrapText="1"/>
    </xf>
    <xf numFmtId="0" fontId="0" fillId="2" borderId="0" xfId="0" applyNumberFormat="1" applyFill="1" applyBorder="1" applyAlignment="1">
      <alignment horizontal="left" vertical="top" wrapText="1"/>
    </xf>
    <xf numFmtId="0" fontId="0" fillId="0" borderId="0" xfId="0" applyNumberFormat="1" applyFill="1" applyBorder="1" applyAlignment="1">
      <alignment horizontal="left" vertical="top" wrapText="1"/>
    </xf>
    <xf numFmtId="0" fontId="19" fillId="2" borderId="0" xfId="0" applyNumberFormat="1" applyFont="1" applyFill="1" applyBorder="1" applyAlignment="1">
      <alignment horizontal="left" vertical="center" wrapText="1"/>
    </xf>
    <xf numFmtId="0" fontId="2" fillId="2" borderId="0" xfId="0" applyNumberFormat="1" applyFont="1" applyFill="1" applyBorder="1" applyAlignment="1">
      <alignment horizontal="left" vertical="center" wrapText="1"/>
    </xf>
    <xf numFmtId="0" fontId="2" fillId="0" borderId="0" xfId="0" applyNumberFormat="1" applyFont="1" applyFill="1" applyBorder="1" applyAlignment="1">
      <alignment horizontal="left" vertical="center" wrapText="1"/>
    </xf>
    <xf numFmtId="0" fontId="2" fillId="0" borderId="2" xfId="0" applyNumberFormat="1" applyFont="1" applyBorder="1" applyAlignment="1">
      <alignment horizontal="center" vertical="top" wrapText="1"/>
    </xf>
    <xf numFmtId="0" fontId="2" fillId="0" borderId="5" xfId="0" applyNumberFormat="1" applyFont="1" applyBorder="1" applyAlignment="1">
      <alignment horizontal="center" vertical="top" wrapText="1"/>
    </xf>
    <xf numFmtId="0" fontId="3" fillId="0" borderId="1" xfId="0" applyNumberFormat="1" applyFont="1" applyBorder="1" applyAlignment="1">
      <alignment horizontal="center" vertical="top" wrapText="1"/>
    </xf>
    <xf numFmtId="0" fontId="3" fillId="0" borderId="3" xfId="0" applyNumberFormat="1" applyFont="1" applyBorder="1" applyAlignment="1">
      <alignment horizontal="center" vertical="top" wrapText="1"/>
    </xf>
    <xf numFmtId="0" fontId="3" fillId="0" borderId="2" xfId="0" applyNumberFormat="1" applyFont="1" applyBorder="1" applyAlignment="1">
      <alignment horizontal="center" vertical="top" wrapText="1"/>
    </xf>
    <xf numFmtId="0" fontId="3" fillId="0" borderId="4" xfId="0" applyNumberFormat="1" applyFont="1" applyBorder="1" applyAlignment="1">
      <alignment horizontal="center" vertical="top" wrapText="1"/>
    </xf>
    <xf numFmtId="0" fontId="3" fillId="0" borderId="6" xfId="0" applyNumberFormat="1" applyFont="1" applyBorder="1" applyAlignment="1">
      <alignment horizontal="center" vertical="top" wrapText="1"/>
    </xf>
    <xf numFmtId="0" fontId="3" fillId="0" borderId="5" xfId="0" applyNumberFormat="1" applyFont="1" applyBorder="1" applyAlignment="1">
      <alignment horizontal="center" vertical="top" wrapText="1"/>
    </xf>
    <xf numFmtId="0" fontId="6" fillId="0" borderId="1" xfId="0" applyNumberFormat="1" applyFont="1" applyBorder="1" applyAlignment="1">
      <alignment horizontal="center" vertical="center" wrapText="1"/>
    </xf>
    <xf numFmtId="0" fontId="6" fillId="0" borderId="2" xfId="0" applyNumberFormat="1" applyFont="1" applyBorder="1" applyAlignment="1">
      <alignment horizontal="center" vertical="center" wrapText="1"/>
    </xf>
    <xf numFmtId="0" fontId="6" fillId="0" borderId="4" xfId="0" applyNumberFormat="1" applyFont="1" applyBorder="1" applyAlignment="1">
      <alignment horizontal="center" vertical="center" wrapText="1"/>
    </xf>
    <xf numFmtId="0" fontId="6" fillId="0" borderId="5" xfId="0" applyNumberFormat="1" applyFont="1" applyBorder="1" applyAlignment="1">
      <alignment horizontal="center" vertical="center" wrapText="1"/>
    </xf>
    <xf numFmtId="0" fontId="7" fillId="2" borderId="4" xfId="0" applyNumberFormat="1" applyFont="1" applyFill="1" applyBorder="1" applyAlignment="1">
      <alignment horizontal="center" vertical="center"/>
    </xf>
    <xf numFmtId="0" fontId="7" fillId="2" borderId="6" xfId="0" applyNumberFormat="1" applyFont="1" applyFill="1" applyBorder="1" applyAlignment="1">
      <alignment horizontal="center" vertical="center"/>
    </xf>
    <xf numFmtId="0" fontId="7" fillId="2" borderId="5" xfId="0" applyNumberFormat="1" applyFont="1" applyFill="1" applyBorder="1" applyAlignment="1">
      <alignment horizontal="center" vertical="center"/>
    </xf>
    <xf numFmtId="0" fontId="8" fillId="0" borderId="0" xfId="0" applyNumberFormat="1" applyFont="1" applyBorder="1" applyAlignment="1">
      <alignment horizontal="left" vertical="center" wrapText="1"/>
    </xf>
    <xf numFmtId="0" fontId="2" fillId="0" borderId="0" xfId="0" applyNumberFormat="1" applyFont="1" applyBorder="1" applyAlignment="1">
      <alignment horizontal="left" vertical="center" wrapText="1"/>
    </xf>
    <xf numFmtId="0" fontId="5" fillId="0" borderId="9" xfId="0" applyNumberFormat="1" applyFont="1" applyBorder="1" applyAlignment="1">
      <alignment horizontal="left" vertical="center" wrapText="1"/>
    </xf>
    <xf numFmtId="0" fontId="5" fillId="0" borderId="10" xfId="0" applyNumberFormat="1" applyFont="1" applyBorder="1" applyAlignment="1">
      <alignment horizontal="left" vertical="center" wrapText="1"/>
    </xf>
    <xf numFmtId="0" fontId="5" fillId="0" borderId="11" xfId="0" applyNumberFormat="1" applyFont="1" applyBorder="1" applyAlignment="1">
      <alignment horizontal="left" vertical="center" wrapText="1"/>
    </xf>
    <xf numFmtId="0" fontId="0" fillId="2" borderId="12" xfId="0" applyNumberFormat="1" applyFill="1" applyBorder="1" applyAlignment="1">
      <alignment horizontal="left" vertical="center" wrapText="1"/>
    </xf>
    <xf numFmtId="0" fontId="0" fillId="2" borderId="13" xfId="0" applyNumberFormat="1" applyFill="1" applyBorder="1" applyAlignment="1">
      <alignment horizontal="left" vertical="center" wrapText="1"/>
    </xf>
    <xf numFmtId="0" fontId="8" fillId="0" borderId="0" xfId="0" applyNumberFormat="1" applyFont="1" applyFill="1" applyBorder="1" applyAlignment="1">
      <alignment horizontal="left" vertical="center" wrapText="1"/>
    </xf>
    <xf numFmtId="0" fontId="0" fillId="0" borderId="0" xfId="0" applyNumberFormat="1" applyBorder="1" applyAlignment="1">
      <alignment horizontal="left" vertical="top"/>
    </xf>
    <xf numFmtId="0" fontId="0" fillId="2" borderId="0" xfId="0" applyNumberFormat="1" applyFill="1" applyBorder="1" applyAlignment="1">
      <alignment horizontal="left" vertical="top"/>
    </xf>
    <xf numFmtId="0" fontId="0" fillId="2" borderId="0" xfId="0" applyNumberFormat="1" applyFill="1" applyBorder="1" applyAlignment="1">
      <alignment horizontal="right" vertical="top"/>
    </xf>
    <xf numFmtId="0" fontId="0" fillId="2" borderId="0" xfId="0" applyNumberFormat="1" applyFill="1" applyBorder="1"/>
    <xf numFmtId="0" fontId="10" fillId="0" borderId="0" xfId="0" applyNumberFormat="1" applyFont="1" applyFill="1" applyBorder="1" applyAlignment="1">
      <alignment horizontal="left" vertical="top" wrapText="1"/>
    </xf>
    <xf numFmtId="0" fontId="19" fillId="0" borderId="0" xfId="0" quotePrefix="1" applyNumberFormat="1" applyFont="1" applyBorder="1" applyAlignment="1">
      <alignment horizontal="left" vertical="top" wrapText="1"/>
    </xf>
    <xf numFmtId="0" fontId="19" fillId="0" borderId="0" xfId="0" applyNumberFormat="1" applyFont="1" applyBorder="1" applyAlignment="1">
      <alignment horizontal="left" vertical="top" wrapText="1"/>
    </xf>
    <xf numFmtId="0" fontId="51" fillId="0" borderId="0" xfId="0" applyNumberFormat="1" applyFont="1" applyAlignment="1">
      <alignment vertical="center"/>
    </xf>
    <xf numFmtId="0" fontId="19" fillId="0" borderId="6" xfId="0" quotePrefix="1" applyNumberFormat="1" applyFont="1" applyBorder="1" applyAlignment="1">
      <alignment horizontal="left" vertical="top" wrapText="1"/>
    </xf>
    <xf numFmtId="0" fontId="10" fillId="2" borderId="0" xfId="0" applyNumberFormat="1" applyFont="1" applyFill="1" applyBorder="1" applyAlignment="1">
      <alignment horizontal="left" vertical="top" wrapText="1"/>
    </xf>
    <xf numFmtId="0" fontId="10" fillId="0" borderId="0" xfId="0" applyNumberFormat="1" applyFont="1" applyBorder="1" applyAlignment="1">
      <alignment horizontal="center" vertical="top" wrapText="1"/>
    </xf>
    <xf numFmtId="0" fontId="10" fillId="2" borderId="0" xfId="0" applyNumberFormat="1" applyFont="1" applyFill="1" applyBorder="1" applyAlignment="1">
      <alignment horizontal="left" vertical="center"/>
    </xf>
    <xf numFmtId="0" fontId="10" fillId="2" borderId="21" xfId="0" applyNumberFormat="1" applyFont="1" applyFill="1" applyBorder="1" applyAlignment="1">
      <alignment horizontal="left" vertical="top"/>
    </xf>
    <xf numFmtId="0" fontId="10" fillId="2" borderId="14" xfId="0" applyNumberFormat="1" applyFont="1" applyFill="1" applyBorder="1" applyAlignment="1">
      <alignment horizontal="left" vertical="top"/>
    </xf>
    <xf numFmtId="0" fontId="10" fillId="2" borderId="16" xfId="0" applyNumberFormat="1" applyFont="1" applyFill="1" applyBorder="1" applyAlignment="1">
      <alignment horizontal="left" vertical="top"/>
    </xf>
    <xf numFmtId="0" fontId="10" fillId="2" borderId="12" xfId="0" applyNumberFormat="1" applyFont="1" applyFill="1" applyBorder="1" applyAlignment="1">
      <alignment horizontal="left" vertical="top"/>
    </xf>
    <xf numFmtId="0" fontId="10" fillId="2" borderId="13" xfId="0" applyNumberFormat="1" applyFont="1" applyFill="1" applyBorder="1" applyAlignment="1">
      <alignment horizontal="left" vertical="top"/>
    </xf>
    <xf numFmtId="0" fontId="10" fillId="2" borderId="9" xfId="0" applyNumberFormat="1" applyFont="1" applyFill="1" applyBorder="1" applyAlignment="1">
      <alignment horizontal="left" vertical="top"/>
    </xf>
    <xf numFmtId="0" fontId="10" fillId="2" borderId="10" xfId="0" applyNumberFormat="1" applyFont="1" applyFill="1" applyBorder="1" applyAlignment="1">
      <alignment horizontal="left" vertical="top"/>
    </xf>
    <xf numFmtId="0" fontId="10" fillId="2" borderId="11" xfId="0" applyNumberFormat="1" applyFont="1" applyFill="1" applyBorder="1" applyAlignment="1">
      <alignment horizontal="left" vertical="top"/>
    </xf>
    <xf numFmtId="0" fontId="19" fillId="0" borderId="19" xfId="0" applyNumberFormat="1" applyFont="1" applyBorder="1" applyAlignment="1">
      <alignment vertical="top" wrapText="1"/>
    </xf>
    <xf numFmtId="0" fontId="19" fillId="0" borderId="20" xfId="0" applyNumberFormat="1" applyFont="1" applyBorder="1" applyAlignment="1">
      <alignment horizontal="left" vertical="top" wrapText="1"/>
    </xf>
    <xf numFmtId="0" fontId="19" fillId="0" borderId="23" xfId="0" applyNumberFormat="1" applyFont="1" applyBorder="1" applyAlignment="1">
      <alignment horizontal="left" vertical="top" wrapText="1"/>
    </xf>
    <xf numFmtId="0" fontId="19" fillId="0" borderId="24" xfId="0" applyNumberFormat="1" applyFont="1" applyBorder="1" applyAlignment="1">
      <alignment horizontal="left" vertical="top" wrapText="1"/>
    </xf>
    <xf numFmtId="0" fontId="0" fillId="4" borderId="10" xfId="0" applyNumberFormat="1" applyFill="1" applyBorder="1" applyAlignment="1">
      <alignment vertical="center"/>
    </xf>
    <xf numFmtId="0" fontId="10" fillId="6" borderId="19" xfId="0" applyNumberFormat="1" applyFont="1" applyFill="1" applyBorder="1" applyAlignment="1">
      <alignment horizontal="center"/>
    </xf>
    <xf numFmtId="0" fontId="10" fillId="6" borderId="20" xfId="0" applyNumberFormat="1" applyFont="1" applyFill="1" applyBorder="1" applyAlignment="1">
      <alignment horizontal="center" vertical="center" wrapText="1"/>
    </xf>
    <xf numFmtId="0" fontId="10" fillId="6" borderId="23" xfId="0" applyNumberFormat="1" applyFont="1" applyFill="1" applyBorder="1" applyAlignment="1">
      <alignment horizontal="center" vertical="center" wrapText="1"/>
    </xf>
    <xf numFmtId="0" fontId="10" fillId="6" borderId="24" xfId="0" applyNumberFormat="1" applyFont="1" applyFill="1" applyBorder="1" applyAlignment="1">
      <alignment horizontal="center" vertical="center" wrapText="1"/>
    </xf>
    <xf numFmtId="0" fontId="28" fillId="0" borderId="0" xfId="0" applyNumberFormat="1" applyFont="1" applyFill="1" applyBorder="1" applyAlignment="1">
      <alignment horizontal="left" vertical="center"/>
    </xf>
    <xf numFmtId="0" fontId="0" fillId="0" borderId="0" xfId="0" applyNumberFormat="1" applyFill="1" applyBorder="1" applyAlignment="1">
      <alignment horizontal="left" vertical="center"/>
    </xf>
    <xf numFmtId="0" fontId="0" fillId="0" borderId="0" xfId="0" applyNumberFormat="1" applyBorder="1" applyAlignment="1">
      <alignment horizontal="left" vertical="center"/>
    </xf>
    <xf numFmtId="0" fontId="19" fillId="0" borderId="20" xfId="0" applyNumberFormat="1" applyFont="1" applyBorder="1" applyAlignment="1">
      <alignment vertical="top" wrapText="1"/>
    </xf>
    <xf numFmtId="0" fontId="19" fillId="0" borderId="24" xfId="0" applyNumberFormat="1" applyFont="1" applyBorder="1" applyAlignment="1">
      <alignment vertical="top" wrapText="1"/>
    </xf>
    <xf numFmtId="0" fontId="4" fillId="0" borderId="20" xfId="0" applyNumberFormat="1" applyFont="1" applyBorder="1" applyAlignment="1">
      <alignment vertical="top" wrapText="1"/>
    </xf>
    <xf numFmtId="0" fontId="4" fillId="0" borderId="24" xfId="0" applyNumberFormat="1" applyFont="1" applyBorder="1" applyAlignment="1">
      <alignment vertical="top" wrapText="1"/>
    </xf>
    <xf numFmtId="0" fontId="15" fillId="2" borderId="0" xfId="2" applyNumberFormat="1" applyFont="1" applyFill="1" applyBorder="1" applyAlignment="1" applyProtection="1">
      <alignment horizontal="center" vertical="top" wrapText="1"/>
    </xf>
    <xf numFmtId="0" fontId="17" fillId="0" borderId="0" xfId="0" applyNumberFormat="1" applyFont="1" applyBorder="1" applyAlignment="1">
      <alignment horizontal="left" vertical="top" wrapText="1"/>
    </xf>
    <xf numFmtId="0" fontId="0" fillId="2" borderId="19" xfId="0" applyNumberFormat="1" applyFill="1" applyBorder="1" applyAlignment="1">
      <alignment horizontal="center" vertical="top"/>
    </xf>
    <xf numFmtId="0" fontId="0" fillId="2" borderId="20" xfId="0" applyNumberFormat="1" applyFill="1" applyBorder="1" applyAlignment="1">
      <alignment horizontal="center" vertical="top"/>
    </xf>
    <xf numFmtId="0" fontId="0" fillId="0" borderId="0" xfId="0" applyNumberFormat="1" applyAlignment="1">
      <alignment horizontal="left" vertical="top"/>
    </xf>
    <xf numFmtId="0" fontId="18" fillId="0" borderId="0" xfId="0" applyNumberFormat="1" applyFont="1" applyBorder="1" applyAlignment="1">
      <alignment horizontal="left" vertical="top" wrapText="1"/>
    </xf>
    <xf numFmtId="0" fontId="51" fillId="0" borderId="0" xfId="0" applyNumberFormat="1" applyFont="1" applyAlignment="1">
      <alignment horizontal="left" vertical="center"/>
    </xf>
    <xf numFmtId="0" fontId="51" fillId="0" borderId="0" xfId="0" quotePrefix="1" applyNumberFormat="1" applyFont="1" applyAlignment="1">
      <alignment horizontal="left" vertical="center"/>
    </xf>
    <xf numFmtId="14" fontId="2" fillId="0" borderId="36" xfId="0" applyNumberFormat="1" applyFont="1" applyBorder="1" applyAlignment="1">
      <alignment horizontal="left"/>
    </xf>
    <xf numFmtId="14" fontId="2" fillId="0" borderId="38" xfId="0" applyNumberFormat="1" applyFont="1" applyBorder="1" applyAlignment="1">
      <alignment horizontal="left"/>
    </xf>
    <xf numFmtId="14" fontId="2" fillId="0" borderId="0" xfId="0" applyNumberFormat="1" applyFont="1" applyBorder="1" applyAlignment="1">
      <alignment horizontal="left"/>
    </xf>
    <xf numFmtId="0" fontId="0" fillId="0" borderId="38" xfId="0" applyBorder="1" applyAlignment="1">
      <alignment horizontal="center"/>
    </xf>
    <xf numFmtId="0" fontId="0" fillId="0" borderId="0" xfId="0" applyBorder="1" applyAlignment="1">
      <alignment horizontal="center"/>
    </xf>
    <xf numFmtId="0" fontId="2" fillId="0" borderId="36" xfId="0" applyFont="1" applyBorder="1" applyAlignment="1">
      <alignment horizontal="left"/>
    </xf>
  </cellXfs>
  <cellStyles count="6">
    <cellStyle name="Komma" xfId="1" builtinId="3"/>
    <cellStyle name="Link" xfId="2" builtinId="8"/>
    <cellStyle name="Normal 2" xfId="3"/>
    <cellStyle name="Normal 2 2" xfId="5"/>
    <cellStyle name="Normale 2 8" xfId="4"/>
    <cellStyle name="Standard" xfId="0" builtinId="0"/>
  </cellStyles>
  <dxfs count="4">
    <dxf>
      <font>
        <condense val="0"/>
        <extend val="0"/>
        <u val="none"/>
        <color indexed="17"/>
      </font>
      <fill>
        <patternFill>
          <bgColor indexed="43"/>
        </patternFill>
      </fill>
    </dxf>
    <dxf>
      <font>
        <condense val="0"/>
        <extend val="0"/>
        <u val="none"/>
        <color indexed="10"/>
      </font>
      <fill>
        <patternFill patternType="solid">
          <bgColor indexed="43"/>
        </patternFill>
      </fill>
    </dxf>
    <dxf>
      <font>
        <condense val="0"/>
        <extend val="0"/>
        <u val="none"/>
        <color indexed="17"/>
      </font>
    </dxf>
    <dxf>
      <font>
        <condense val="0"/>
        <extend val="0"/>
        <u val="none"/>
        <color indexed="10"/>
      </font>
      <fill>
        <patternFill patternType="none">
          <bgColor indexed="65"/>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checked="Checked"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checked="Checked"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checked="Checked"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checked="Checked" lockText="1" noThreeD="1"/>
</file>

<file path=xl/ctrlProps/ctrlProp127.xml><?xml version="1.0" encoding="utf-8"?>
<formControlPr xmlns="http://schemas.microsoft.com/office/spreadsheetml/2009/9/main" objectType="CheckBox" checked="Checked"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checked="Checked"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checked="Checked"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checked="Checked"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checked="Checked"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checked="Checked"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checked="Checked"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checked="Checked" lockText="1" noThreeD="1"/>
</file>

<file path=xl/ctrlProps/ctrlProp172.xml><?xml version="1.0" encoding="utf-8"?>
<formControlPr xmlns="http://schemas.microsoft.com/office/spreadsheetml/2009/9/main" objectType="CheckBox" checked="Checked"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checked="Checked"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checked="Checked"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checked="Checked"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checked="Checked"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checked="Checked"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checked="Checked" lockText="1" noThreeD="1"/>
</file>

<file path=xl/ctrlProps/ctrlProp193.xml><?xml version="1.0" encoding="utf-8"?>
<formControlPr xmlns="http://schemas.microsoft.com/office/spreadsheetml/2009/9/main" objectType="CheckBox" checked="Checked"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checked="Checked"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checked="Checked"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checked="Checked"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checked="Checked"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checked="Checked"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checked="Checked"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checked="Checked"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checked="Checked" lockText="1" noThreeD="1"/>
</file>

<file path=xl/ctrlProps/ctrlProp220.xml><?xml version="1.0" encoding="utf-8"?>
<formControlPr xmlns="http://schemas.microsoft.com/office/spreadsheetml/2009/9/main" objectType="CheckBox" checked="Checked"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checked="Checked" lockText="1" noThreeD="1"/>
</file>

<file path=xl/ctrlProps/ctrlProp224.xml><?xml version="1.0" encoding="utf-8"?>
<formControlPr xmlns="http://schemas.microsoft.com/office/spreadsheetml/2009/9/main" objectType="CheckBox" checked="Checked"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checked="Checked"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checked="Checked"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checked="Checked"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checked="Checked"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checked="Checked"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checked="Checked"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checked="Checked" lockText="1" noThreeD="1"/>
</file>

<file path=xl/ctrlProps/ctrlProp247.xml><?xml version="1.0" encoding="utf-8"?>
<formControlPr xmlns="http://schemas.microsoft.com/office/spreadsheetml/2009/9/main" objectType="CheckBox"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checked="Checked"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checked="Checked" lockText="1" noThreeD="1"/>
</file>

<file path=xl/ctrlProps/ctrlProp253.xml><?xml version="1.0" encoding="utf-8"?>
<formControlPr xmlns="http://schemas.microsoft.com/office/spreadsheetml/2009/9/main" objectType="CheckBox" checked="Checked"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lockText="1" noThreeD="1"/>
</file>

<file path=xl/ctrlProps/ctrlProp257.xml><?xml version="1.0" encoding="utf-8"?>
<formControlPr xmlns="http://schemas.microsoft.com/office/spreadsheetml/2009/9/main" objectType="CheckBox" checked="Checked"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lockText="1" noThreeD="1"/>
</file>

<file path=xl/ctrlProps/ctrlProp260.xml><?xml version="1.0" encoding="utf-8"?>
<formControlPr xmlns="http://schemas.microsoft.com/office/spreadsheetml/2009/9/main" objectType="CheckBox" checked="Checked"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lockText="1" noThreeD="1"/>
</file>

<file path=xl/ctrlProps/ctrlProp263.xml><?xml version="1.0" encoding="utf-8"?>
<formControlPr xmlns="http://schemas.microsoft.com/office/spreadsheetml/2009/9/main" objectType="CheckBox" checked="Checked" lockText="1" noThreeD="1"/>
</file>

<file path=xl/ctrlProps/ctrlProp264.xml><?xml version="1.0" encoding="utf-8"?>
<formControlPr xmlns="http://schemas.microsoft.com/office/spreadsheetml/2009/9/main" objectType="CheckBox" lockText="1" noThreeD="1"/>
</file>

<file path=xl/ctrlProps/ctrlProp265.xml><?xml version="1.0" encoding="utf-8"?>
<formControlPr xmlns="http://schemas.microsoft.com/office/spreadsheetml/2009/9/main" objectType="CheckBox" lockText="1" noThreeD="1"/>
</file>

<file path=xl/ctrlProps/ctrlProp266.xml><?xml version="1.0" encoding="utf-8"?>
<formControlPr xmlns="http://schemas.microsoft.com/office/spreadsheetml/2009/9/main" objectType="CheckBox" checked="Checked"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lockText="1" noThreeD="1"/>
</file>

<file path=xl/ctrlProps/ctrlProp269.xml><?xml version="1.0" encoding="utf-8"?>
<formControlPr xmlns="http://schemas.microsoft.com/office/spreadsheetml/2009/9/main" objectType="CheckBox" checked="Checked" lockText="1" noThreeD="1"/>
</file>

<file path=xl/ctrlProps/ctrlProp270.xml><?xml version="1.0" encoding="utf-8"?>
<formControlPr xmlns="http://schemas.microsoft.com/office/spreadsheetml/2009/9/main" objectType="CheckBox" lockText="1" noThreeD="1"/>
</file>

<file path=xl/ctrlProps/ctrlProp271.xml><?xml version="1.0" encoding="utf-8"?>
<formControlPr xmlns="http://schemas.microsoft.com/office/spreadsheetml/2009/9/main" objectType="CheckBox" lockText="1" noThreeD="1"/>
</file>

<file path=xl/ctrlProps/ctrlProp272.xml><?xml version="1.0" encoding="utf-8"?>
<formControlPr xmlns="http://schemas.microsoft.com/office/spreadsheetml/2009/9/main" objectType="CheckBox" checked="Checked" lockText="1" noThreeD="1"/>
</file>

<file path=xl/ctrlProps/ctrlProp273.xml><?xml version="1.0" encoding="utf-8"?>
<formControlPr xmlns="http://schemas.microsoft.com/office/spreadsheetml/2009/9/main" objectType="CheckBox" lockText="1"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checked="Checked" lockText="1" noThreeD="1"/>
</file>

<file path=xl/ctrlProps/ctrlProp276.xml><?xml version="1.0" encoding="utf-8"?>
<formControlPr xmlns="http://schemas.microsoft.com/office/spreadsheetml/2009/9/main" objectType="CheckBox" lockText="1" noThreeD="1"/>
</file>

<file path=xl/ctrlProps/ctrlProp277.xml><?xml version="1.0" encoding="utf-8"?>
<formControlPr xmlns="http://schemas.microsoft.com/office/spreadsheetml/2009/9/main" objectType="CheckBox" lockText="1" noThreeD="1"/>
</file>

<file path=xl/ctrlProps/ctrlProp278.xml><?xml version="1.0" encoding="utf-8"?>
<formControlPr xmlns="http://schemas.microsoft.com/office/spreadsheetml/2009/9/main" objectType="CheckBox" checked="Checked" lockText="1" noThreeD="1"/>
</file>

<file path=xl/ctrlProps/ctrlProp279.xml><?xml version="1.0" encoding="utf-8"?>
<formControlPr xmlns="http://schemas.microsoft.com/office/spreadsheetml/2009/9/main" objectType="CheckBox" lockText="1" noThreeD="1"/>
</file>

<file path=xl/ctrlProps/ctrlProp280.xml><?xml version="1.0" encoding="utf-8"?>
<formControlPr xmlns="http://schemas.microsoft.com/office/spreadsheetml/2009/9/main" objectType="CheckBox" lockText="1" noThreeD="1"/>
</file>

<file path=xl/ctrlProps/ctrlProp281.xml><?xml version="1.0" encoding="utf-8"?>
<formControlPr xmlns="http://schemas.microsoft.com/office/spreadsheetml/2009/9/main" objectType="CheckBox" checked="Checked" lockText="1" noThreeD="1"/>
</file>

<file path=xl/ctrlProps/ctrlProp282.xml><?xml version="1.0" encoding="utf-8"?>
<formControlPr xmlns="http://schemas.microsoft.com/office/spreadsheetml/2009/9/main" objectType="CheckBox" lockText="1" noThreeD="1"/>
</file>

<file path=xl/ctrlProps/ctrlProp283.xml><?xml version="1.0" encoding="utf-8"?>
<formControlPr xmlns="http://schemas.microsoft.com/office/spreadsheetml/2009/9/main" objectType="CheckBox" lockText="1" noThreeD="1"/>
</file>

<file path=xl/ctrlProps/ctrlProp284.xml><?xml version="1.0" encoding="utf-8"?>
<formControlPr xmlns="http://schemas.microsoft.com/office/spreadsheetml/2009/9/main" objectType="CheckBox" checked="Checked" lockText="1" noThreeD="1"/>
</file>

<file path=xl/ctrlProps/ctrlProp285.xml><?xml version="1.0" encoding="utf-8"?>
<formControlPr xmlns="http://schemas.microsoft.com/office/spreadsheetml/2009/9/main" objectType="CheckBox" lockText="1" noThreeD="1"/>
</file>

<file path=xl/ctrlProps/ctrlProp286.xml><?xml version="1.0" encoding="utf-8"?>
<formControlPr xmlns="http://schemas.microsoft.com/office/spreadsheetml/2009/9/main" objectType="CheckBox" lockText="1" noThreeD="1"/>
</file>

<file path=xl/ctrlProps/ctrlProp287.xml><?xml version="1.0" encoding="utf-8"?>
<formControlPr xmlns="http://schemas.microsoft.com/office/spreadsheetml/2009/9/main" objectType="CheckBox" checked="Checked" lockText="1" noThreeD="1"/>
</file>

<file path=xl/ctrlProps/ctrlProp288.xml><?xml version="1.0" encoding="utf-8"?>
<formControlPr xmlns="http://schemas.microsoft.com/office/spreadsheetml/2009/9/main" objectType="CheckBox" lockText="1" noThreeD="1"/>
</file>

<file path=xl/ctrlProps/ctrlProp289.xml><?xml version="1.0" encoding="utf-8"?>
<formControlPr xmlns="http://schemas.microsoft.com/office/spreadsheetml/2009/9/main" objectType="CheckBox" lockText="1" noThreeD="1"/>
</file>

<file path=xl/ctrlProps/ctrlProp290.xml><?xml version="1.0" encoding="utf-8"?>
<formControlPr xmlns="http://schemas.microsoft.com/office/spreadsheetml/2009/9/main" objectType="CheckBox" checked="Checked" lockText="1" noThreeD="1"/>
</file>

<file path=xl/ctrlProps/ctrlProp291.xml><?xml version="1.0" encoding="utf-8"?>
<formControlPr xmlns="http://schemas.microsoft.com/office/spreadsheetml/2009/9/main" objectType="CheckBox" lockText="1" noThreeD="1"/>
</file>

<file path=xl/ctrlProps/ctrlProp292.xml><?xml version="1.0" encoding="utf-8"?>
<formControlPr xmlns="http://schemas.microsoft.com/office/spreadsheetml/2009/9/main" objectType="CheckBox" lockText="1" noThreeD="1"/>
</file>

<file path=xl/ctrlProps/ctrlProp293.xml><?xml version="1.0" encoding="utf-8"?>
<formControlPr xmlns="http://schemas.microsoft.com/office/spreadsheetml/2009/9/main" objectType="CheckBox" checked="Checked" lockText="1" noThreeD="1"/>
</file>

<file path=xl/ctrlProps/ctrlProp294.xml><?xml version="1.0" encoding="utf-8"?>
<formControlPr xmlns="http://schemas.microsoft.com/office/spreadsheetml/2009/9/main" objectType="CheckBox" lockText="1" noThreeD="1"/>
</file>

<file path=xl/ctrlProps/ctrlProp295.xml><?xml version="1.0" encoding="utf-8"?>
<formControlPr xmlns="http://schemas.microsoft.com/office/spreadsheetml/2009/9/main" objectType="CheckBox" lockText="1" noThreeD="1"/>
</file>

<file path=xl/ctrlProps/ctrlProp296.xml><?xml version="1.0" encoding="utf-8"?>
<formControlPr xmlns="http://schemas.microsoft.com/office/spreadsheetml/2009/9/main" objectType="CheckBox" checked="Checked"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checked="Checked" lockText="1" noThreeD="1"/>
</file>

<file path=xl/ctrlProps/ctrlProp300.xml><?xml version="1.0" encoding="utf-8"?>
<formControlPr xmlns="http://schemas.microsoft.com/office/spreadsheetml/2009/9/main" objectType="CheckBox" lockText="1" noThreeD="1"/>
</file>

<file path=xl/ctrlProps/ctrlProp301.xml><?xml version="1.0" encoding="utf-8"?>
<formControlPr xmlns="http://schemas.microsoft.com/office/spreadsheetml/2009/9/main" objectType="CheckBox" lockText="1" noThreeD="1"/>
</file>

<file path=xl/ctrlProps/ctrlProp302.xml><?xml version="1.0" encoding="utf-8"?>
<formControlPr xmlns="http://schemas.microsoft.com/office/spreadsheetml/2009/9/main" objectType="CheckBox" checked="Checked" lockText="1" noThreeD="1"/>
</file>

<file path=xl/ctrlProps/ctrlProp303.xml><?xml version="1.0" encoding="utf-8"?>
<formControlPr xmlns="http://schemas.microsoft.com/office/spreadsheetml/2009/9/main" objectType="CheckBox"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checked="Checked" lockText="1" noThreeD="1"/>
</file>

<file path=xl/ctrlProps/ctrlProp306.xml><?xml version="1.0" encoding="utf-8"?>
<formControlPr xmlns="http://schemas.microsoft.com/office/spreadsheetml/2009/9/main" objectType="CheckBox"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checked="Checked" lockText="1" noThreeD="1"/>
</file>

<file path=xl/ctrlProps/ctrlProp309.xml><?xml version="1.0" encoding="utf-8"?>
<formControlPr xmlns="http://schemas.microsoft.com/office/spreadsheetml/2009/9/main" objectType="CheckBox" lockText="1" noThreeD="1"/>
</file>

<file path=xl/ctrlProps/ctrlProp310.xml><?xml version="1.0" encoding="utf-8"?>
<formControlPr xmlns="http://schemas.microsoft.com/office/spreadsheetml/2009/9/main" objectType="CheckBox" lockText="1" noThreeD="1"/>
</file>

<file path=xl/ctrlProps/ctrlProp311.xml><?xml version="1.0" encoding="utf-8"?>
<formControlPr xmlns="http://schemas.microsoft.com/office/spreadsheetml/2009/9/main" objectType="CheckBox" checked="Checked" lockText="1" noThreeD="1"/>
</file>

<file path=xl/ctrlProps/ctrlProp312.xml><?xml version="1.0" encoding="utf-8"?>
<formControlPr xmlns="http://schemas.microsoft.com/office/spreadsheetml/2009/9/main" objectType="CheckBox" lockText="1" noThreeD="1"/>
</file>

<file path=xl/ctrlProps/ctrlProp313.xml><?xml version="1.0" encoding="utf-8"?>
<formControlPr xmlns="http://schemas.microsoft.com/office/spreadsheetml/2009/9/main" objectType="CheckBox" lockText="1" noThreeD="1"/>
</file>

<file path=xl/ctrlProps/ctrlProp314.xml><?xml version="1.0" encoding="utf-8"?>
<formControlPr xmlns="http://schemas.microsoft.com/office/spreadsheetml/2009/9/main" objectType="CheckBox" checked="Checked" lockText="1" noThreeD="1"/>
</file>

<file path=xl/ctrlProps/ctrlProp315.xml><?xml version="1.0" encoding="utf-8"?>
<formControlPr xmlns="http://schemas.microsoft.com/office/spreadsheetml/2009/9/main" objectType="CheckBox" lockText="1" noThreeD="1"/>
</file>

<file path=xl/ctrlProps/ctrlProp316.xml><?xml version="1.0" encoding="utf-8"?>
<formControlPr xmlns="http://schemas.microsoft.com/office/spreadsheetml/2009/9/main" objectType="CheckBox" lockText="1" noThreeD="1"/>
</file>

<file path=xl/ctrlProps/ctrlProp317.xml><?xml version="1.0" encoding="utf-8"?>
<formControlPr xmlns="http://schemas.microsoft.com/office/spreadsheetml/2009/9/main" objectType="CheckBox" checked="Checked" lockText="1" noThreeD="1"/>
</file>

<file path=xl/ctrlProps/ctrlProp318.xml><?xml version="1.0" encoding="utf-8"?>
<formControlPr xmlns="http://schemas.microsoft.com/office/spreadsheetml/2009/9/main" objectType="CheckBox" lockText="1" noThreeD="1"/>
</file>

<file path=xl/ctrlProps/ctrlProp319.xml><?xml version="1.0" encoding="utf-8"?>
<formControlPr xmlns="http://schemas.microsoft.com/office/spreadsheetml/2009/9/main" objectType="CheckBox" lockText="1" noThreeD="1"/>
</file>

<file path=xl/ctrlProps/ctrlProp320.xml><?xml version="1.0" encoding="utf-8"?>
<formControlPr xmlns="http://schemas.microsoft.com/office/spreadsheetml/2009/9/main" objectType="CheckBox" lockText="1" noThreeD="1"/>
</file>

<file path=xl/ctrlProps/ctrlProp321.xml><?xml version="1.0" encoding="utf-8"?>
<formControlPr xmlns="http://schemas.microsoft.com/office/spreadsheetml/2009/9/main" objectType="CheckBox" checked="Checked" lockText="1" noThreeD="1"/>
</file>

<file path=xl/ctrlProps/ctrlProp322.xml><?xml version="1.0" encoding="utf-8"?>
<formControlPr xmlns="http://schemas.microsoft.com/office/spreadsheetml/2009/9/main" objectType="CheckBox" lockText="1" noThreeD="1"/>
</file>

<file path=xl/ctrlProps/ctrlProp323.xml><?xml version="1.0" encoding="utf-8"?>
<formControlPr xmlns="http://schemas.microsoft.com/office/spreadsheetml/2009/9/main" objectType="CheckBox" checked="Checked" lockText="1" noThreeD="1"/>
</file>

<file path=xl/ctrlProps/ctrlProp324.xml><?xml version="1.0" encoding="utf-8"?>
<formControlPr xmlns="http://schemas.microsoft.com/office/spreadsheetml/2009/9/main" objectType="CheckBox" lockText="1" noThreeD="1"/>
</file>

<file path=xl/ctrlProps/ctrlProp325.xml><?xml version="1.0" encoding="utf-8"?>
<formControlPr xmlns="http://schemas.microsoft.com/office/spreadsheetml/2009/9/main" objectType="CheckBox" lockText="1" noThreeD="1"/>
</file>

<file path=xl/ctrlProps/ctrlProp326.xml><?xml version="1.0" encoding="utf-8"?>
<formControlPr xmlns="http://schemas.microsoft.com/office/spreadsheetml/2009/9/main" objectType="CheckBox" checked="Checked" lockText="1" noThreeD="1"/>
</file>

<file path=xl/ctrlProps/ctrlProp327.xml><?xml version="1.0" encoding="utf-8"?>
<formControlPr xmlns="http://schemas.microsoft.com/office/spreadsheetml/2009/9/main" objectType="CheckBox" lockText="1" noThreeD="1"/>
</file>

<file path=xl/ctrlProps/ctrlProp328.xml><?xml version="1.0" encoding="utf-8"?>
<formControlPr xmlns="http://schemas.microsoft.com/office/spreadsheetml/2009/9/main" objectType="CheckBox" lockText="1" noThreeD="1"/>
</file>

<file path=xl/ctrlProps/ctrlProp329.xml><?xml version="1.0" encoding="utf-8"?>
<formControlPr xmlns="http://schemas.microsoft.com/office/spreadsheetml/2009/9/main" objectType="CheckBox" checked="Checked" lockText="1" noThreeD="1"/>
</file>

<file path=xl/ctrlProps/ctrlProp330.xml><?xml version="1.0" encoding="utf-8"?>
<formControlPr xmlns="http://schemas.microsoft.com/office/spreadsheetml/2009/9/main" objectType="CheckBox" lockText="1" noThreeD="1"/>
</file>

<file path=xl/ctrlProps/ctrlProp331.xml><?xml version="1.0" encoding="utf-8"?>
<formControlPr xmlns="http://schemas.microsoft.com/office/spreadsheetml/2009/9/main" objectType="CheckBox" lockText="1" noThreeD="1"/>
</file>

<file path=xl/ctrlProps/ctrlProp332.xml><?xml version="1.0" encoding="utf-8"?>
<formControlPr xmlns="http://schemas.microsoft.com/office/spreadsheetml/2009/9/main" objectType="CheckBox" checked="Checked" lockText="1" noThreeD="1"/>
</file>

<file path=xl/ctrlProps/ctrlProp333.xml><?xml version="1.0" encoding="utf-8"?>
<formControlPr xmlns="http://schemas.microsoft.com/office/spreadsheetml/2009/9/main" objectType="CheckBox" lockText="1" noThreeD="1"/>
</file>

<file path=xl/ctrlProps/ctrlProp334.xml><?xml version="1.0" encoding="utf-8"?>
<formControlPr xmlns="http://schemas.microsoft.com/office/spreadsheetml/2009/9/main" objectType="CheckBox" lockText="1" noThreeD="1"/>
</file>

<file path=xl/ctrlProps/ctrlProp335.xml><?xml version="1.0" encoding="utf-8"?>
<formControlPr xmlns="http://schemas.microsoft.com/office/spreadsheetml/2009/9/main" objectType="CheckBox" checked="Checked" lockText="1" noThreeD="1"/>
</file>

<file path=xl/ctrlProps/ctrlProp336.xml><?xml version="1.0" encoding="utf-8"?>
<formControlPr xmlns="http://schemas.microsoft.com/office/spreadsheetml/2009/9/main" objectType="CheckBox" lockText="1" noThreeD="1"/>
</file>

<file path=xl/ctrlProps/ctrlProp337.xml><?xml version="1.0" encoding="utf-8"?>
<formControlPr xmlns="http://schemas.microsoft.com/office/spreadsheetml/2009/9/main" objectType="CheckBox" lockText="1" noThreeD="1"/>
</file>

<file path=xl/ctrlProps/ctrlProp338.xml><?xml version="1.0" encoding="utf-8"?>
<formControlPr xmlns="http://schemas.microsoft.com/office/spreadsheetml/2009/9/main" objectType="CheckBox" checked="Checked" lockText="1" noThreeD="1"/>
</file>

<file path=xl/ctrlProps/ctrlProp339.xml><?xml version="1.0" encoding="utf-8"?>
<formControlPr xmlns="http://schemas.microsoft.com/office/spreadsheetml/2009/9/main" objectType="CheckBox" lockText="1" noThreeD="1"/>
</file>

<file path=xl/ctrlProps/ctrlProp340.xml><?xml version="1.0" encoding="utf-8"?>
<formControlPr xmlns="http://schemas.microsoft.com/office/spreadsheetml/2009/9/main" objectType="CheckBox" lockText="1" noThreeD="1"/>
</file>

<file path=xl/ctrlProps/ctrlProp341.xml><?xml version="1.0" encoding="utf-8"?>
<formControlPr xmlns="http://schemas.microsoft.com/office/spreadsheetml/2009/9/main" objectType="CheckBox" checked="Checked" lockText="1" noThreeD="1"/>
</file>

<file path=xl/ctrlProps/ctrlProp342.xml><?xml version="1.0" encoding="utf-8"?>
<formControlPr xmlns="http://schemas.microsoft.com/office/spreadsheetml/2009/9/main" objectType="CheckBox" lockText="1" noThreeD="1"/>
</file>

<file path=xl/ctrlProps/ctrlProp343.xml><?xml version="1.0" encoding="utf-8"?>
<formControlPr xmlns="http://schemas.microsoft.com/office/spreadsheetml/2009/9/main" objectType="CheckBox" lockText="1" noThreeD="1"/>
</file>

<file path=xl/ctrlProps/ctrlProp344.xml><?xml version="1.0" encoding="utf-8"?>
<formControlPr xmlns="http://schemas.microsoft.com/office/spreadsheetml/2009/9/main" objectType="CheckBox" lockText="1" noThreeD="1"/>
</file>

<file path=xl/ctrlProps/ctrlProp345.xml><?xml version="1.0" encoding="utf-8"?>
<formControlPr xmlns="http://schemas.microsoft.com/office/spreadsheetml/2009/9/main" objectType="CheckBox" checked="Checked" lockText="1" noThreeD="1"/>
</file>

<file path=xl/ctrlProps/ctrlProp346.xml><?xml version="1.0" encoding="utf-8"?>
<formControlPr xmlns="http://schemas.microsoft.com/office/spreadsheetml/2009/9/main" objectType="CheckBox" checked="Checked" lockText="1" noThreeD="1"/>
</file>

<file path=xl/ctrlProps/ctrlProp347.xml><?xml version="1.0" encoding="utf-8"?>
<formControlPr xmlns="http://schemas.microsoft.com/office/spreadsheetml/2009/9/main" objectType="CheckBox" lockText="1" noThreeD="1"/>
</file>

<file path=xl/ctrlProps/ctrlProp348.xml><?xml version="1.0" encoding="utf-8"?>
<formControlPr xmlns="http://schemas.microsoft.com/office/spreadsheetml/2009/9/main" objectType="CheckBox" lockText="1" noThreeD="1"/>
</file>

<file path=xl/ctrlProps/ctrlProp349.xml><?xml version="1.0" encoding="utf-8"?>
<formControlPr xmlns="http://schemas.microsoft.com/office/spreadsheetml/2009/9/main" objectType="CheckBox" lockText="1" noThreeD="1"/>
</file>

<file path=xl/ctrlProps/ctrlProp350.xml><?xml version="1.0" encoding="utf-8"?>
<formControlPr xmlns="http://schemas.microsoft.com/office/spreadsheetml/2009/9/main" objectType="CheckBox" lockText="1" noThreeD="1"/>
</file>

<file path=xl/ctrlProps/ctrlProp351.xml><?xml version="1.0" encoding="utf-8"?>
<formControlPr xmlns="http://schemas.microsoft.com/office/spreadsheetml/2009/9/main" objectType="CheckBox" checked="Checked" lockText="1" noThreeD="1"/>
</file>

<file path=xl/ctrlProps/ctrlProp352.xml><?xml version="1.0" encoding="utf-8"?>
<formControlPr xmlns="http://schemas.microsoft.com/office/spreadsheetml/2009/9/main" objectType="CheckBox" checked="Checked" lockText="1" noThreeD="1"/>
</file>

<file path=xl/ctrlProps/ctrlProp353.xml><?xml version="1.0" encoding="utf-8"?>
<formControlPr xmlns="http://schemas.microsoft.com/office/spreadsheetml/2009/9/main" objectType="CheckBox" lockText="1" noThreeD="1"/>
</file>

<file path=xl/ctrlProps/ctrlProp354.xml><?xml version="1.0" encoding="utf-8"?>
<formControlPr xmlns="http://schemas.microsoft.com/office/spreadsheetml/2009/9/main" objectType="CheckBox" lockText="1" noThreeD="1"/>
</file>

<file path=xl/ctrlProps/ctrlProp355.xml><?xml version="1.0" encoding="utf-8"?>
<formControlPr xmlns="http://schemas.microsoft.com/office/spreadsheetml/2009/9/main" objectType="CheckBox" lockText="1" noThreeD="1"/>
</file>

<file path=xl/ctrlProps/ctrlProp356.xml><?xml version="1.0" encoding="utf-8"?>
<formControlPr xmlns="http://schemas.microsoft.com/office/spreadsheetml/2009/9/main" objectType="CheckBox" lockText="1" noThreeD="1"/>
</file>

<file path=xl/ctrlProps/ctrlProp357.xml><?xml version="1.0" encoding="utf-8"?>
<formControlPr xmlns="http://schemas.microsoft.com/office/spreadsheetml/2009/9/main" objectType="CheckBox" checked="Checked" lockText="1" noThreeD="1"/>
</file>

<file path=xl/ctrlProps/ctrlProp358.xml><?xml version="1.0" encoding="utf-8"?>
<formControlPr xmlns="http://schemas.microsoft.com/office/spreadsheetml/2009/9/main" objectType="CheckBox" checked="Checked" lockText="1" noThreeD="1"/>
</file>

<file path=xl/ctrlProps/ctrlProp359.xml><?xml version="1.0" encoding="utf-8"?>
<formControlPr xmlns="http://schemas.microsoft.com/office/spreadsheetml/2009/9/main" objectType="CheckBox" lockText="1" noThreeD="1"/>
</file>

<file path=xl/ctrlProps/ctrlProp360.xml><?xml version="1.0" encoding="utf-8"?>
<formControlPr xmlns="http://schemas.microsoft.com/office/spreadsheetml/2009/9/main" objectType="CheckBox" lockText="1" noThreeD="1"/>
</file>

<file path=xl/ctrlProps/ctrlProp361.xml><?xml version="1.0" encoding="utf-8"?>
<formControlPr xmlns="http://schemas.microsoft.com/office/spreadsheetml/2009/9/main" objectType="CheckBox" lockText="1" noThreeD="1"/>
</file>

<file path=xl/ctrlProps/ctrlProp362.xml><?xml version="1.0" encoding="utf-8"?>
<formControlPr xmlns="http://schemas.microsoft.com/office/spreadsheetml/2009/9/main" objectType="CheckBox" lockText="1" noThreeD="1"/>
</file>

<file path=xl/ctrlProps/ctrlProp363.xml><?xml version="1.0" encoding="utf-8"?>
<formControlPr xmlns="http://schemas.microsoft.com/office/spreadsheetml/2009/9/main" objectType="CheckBox" checked="Checked" lockText="1" noThreeD="1"/>
</file>

<file path=xl/ctrlProps/ctrlProp364.xml><?xml version="1.0" encoding="utf-8"?>
<formControlPr xmlns="http://schemas.microsoft.com/office/spreadsheetml/2009/9/main" objectType="CheckBox" checked="Checked" lockText="1" noThreeD="1"/>
</file>

<file path=xl/ctrlProps/ctrlProp365.xml><?xml version="1.0" encoding="utf-8"?>
<formControlPr xmlns="http://schemas.microsoft.com/office/spreadsheetml/2009/9/main" objectType="CheckBox" lockText="1" noThreeD="1"/>
</file>

<file path=xl/ctrlProps/ctrlProp366.xml><?xml version="1.0" encoding="utf-8"?>
<formControlPr xmlns="http://schemas.microsoft.com/office/spreadsheetml/2009/9/main" objectType="CheckBox" lockText="1" noThreeD="1"/>
</file>

<file path=xl/ctrlProps/ctrlProp367.xml><?xml version="1.0" encoding="utf-8"?>
<formControlPr xmlns="http://schemas.microsoft.com/office/spreadsheetml/2009/9/main" objectType="CheckBox" lockText="1" noThreeD="1"/>
</file>

<file path=xl/ctrlProps/ctrlProp368.xml><?xml version="1.0" encoding="utf-8"?>
<formControlPr xmlns="http://schemas.microsoft.com/office/spreadsheetml/2009/9/main" objectType="CheckBox" lockText="1" noThreeD="1"/>
</file>

<file path=xl/ctrlProps/ctrlProp369.xml><?xml version="1.0" encoding="utf-8"?>
<formControlPr xmlns="http://schemas.microsoft.com/office/spreadsheetml/2009/9/main" objectType="CheckBox" checked="Checked" lockText="1" noThreeD="1"/>
</file>

<file path=xl/ctrlProps/ctrlProp370.xml><?xml version="1.0" encoding="utf-8"?>
<formControlPr xmlns="http://schemas.microsoft.com/office/spreadsheetml/2009/9/main" objectType="CheckBox" checked="Checked" lockText="1" noThreeD="1"/>
</file>

<file path=xl/ctrlProps/ctrlProp371.xml><?xml version="1.0" encoding="utf-8"?>
<formControlPr xmlns="http://schemas.microsoft.com/office/spreadsheetml/2009/9/main" objectType="CheckBox" lockText="1" noThreeD="1"/>
</file>

<file path=xl/ctrlProps/ctrlProp372.xml><?xml version="1.0" encoding="utf-8"?>
<formControlPr xmlns="http://schemas.microsoft.com/office/spreadsheetml/2009/9/main" objectType="CheckBox" lockText="1" noThreeD="1"/>
</file>

<file path=xl/ctrlProps/ctrlProp373.xml><?xml version="1.0" encoding="utf-8"?>
<formControlPr xmlns="http://schemas.microsoft.com/office/spreadsheetml/2009/9/main" objectType="CheckBox" lockText="1" noThreeD="1"/>
</file>

<file path=xl/ctrlProps/ctrlProp374.xml><?xml version="1.0" encoding="utf-8"?>
<formControlPr xmlns="http://schemas.microsoft.com/office/spreadsheetml/2009/9/main" objectType="CheckBox" checked="Checked" lockText="1" noThreeD="1"/>
</file>

<file path=xl/ctrlProps/ctrlProp375.xml><?xml version="1.0" encoding="utf-8"?>
<formControlPr xmlns="http://schemas.microsoft.com/office/spreadsheetml/2009/9/main" objectType="CheckBox" lockText="1" noThreeD="1"/>
</file>

<file path=xl/ctrlProps/ctrlProp376.xml><?xml version="1.0" encoding="utf-8"?>
<formControlPr xmlns="http://schemas.microsoft.com/office/spreadsheetml/2009/9/main" objectType="CheckBox" lockText="1" noThreeD="1"/>
</file>

<file path=xl/ctrlProps/ctrlProp377.xml><?xml version="1.0" encoding="utf-8"?>
<formControlPr xmlns="http://schemas.microsoft.com/office/spreadsheetml/2009/9/main" objectType="CheckBox" checked="Checked" lockText="1" noThreeD="1"/>
</file>

<file path=xl/ctrlProps/ctrlProp378.xml><?xml version="1.0" encoding="utf-8"?>
<formControlPr xmlns="http://schemas.microsoft.com/office/spreadsheetml/2009/9/main" objectType="CheckBox" lockText="1" noThreeD="1"/>
</file>

<file path=xl/ctrlProps/ctrlProp379.xml><?xml version="1.0" encoding="utf-8"?>
<formControlPr xmlns="http://schemas.microsoft.com/office/spreadsheetml/2009/9/main" objectType="CheckBox" lockText="1" noThreeD="1"/>
</file>

<file path=xl/ctrlProps/ctrlProp380.xml><?xml version="1.0" encoding="utf-8"?>
<formControlPr xmlns="http://schemas.microsoft.com/office/spreadsheetml/2009/9/main" objectType="CheckBox" lockText="1" noThreeD="1"/>
</file>

<file path=xl/ctrlProps/ctrlProp381.xml><?xml version="1.0" encoding="utf-8"?>
<formControlPr xmlns="http://schemas.microsoft.com/office/spreadsheetml/2009/9/main" objectType="CheckBox" checked="Checked" lockText="1" noThreeD="1"/>
</file>

<file path=xl/ctrlProps/ctrlProp382.xml><?xml version="1.0" encoding="utf-8"?>
<formControlPr xmlns="http://schemas.microsoft.com/office/spreadsheetml/2009/9/main" objectType="CheckBox" lockText="1" noThreeD="1"/>
</file>

<file path=xl/ctrlProps/ctrlProp383.xml><?xml version="1.0" encoding="utf-8"?>
<formControlPr xmlns="http://schemas.microsoft.com/office/spreadsheetml/2009/9/main" objectType="CheckBox" checked="Checked" lockText="1" noThreeD="1"/>
</file>

<file path=xl/ctrlProps/ctrlProp384.xml><?xml version="1.0" encoding="utf-8"?>
<formControlPr xmlns="http://schemas.microsoft.com/office/spreadsheetml/2009/9/main" objectType="CheckBox" lockText="1" noThreeD="1"/>
</file>

<file path=xl/ctrlProps/ctrlProp385.xml><?xml version="1.0" encoding="utf-8"?>
<formControlPr xmlns="http://schemas.microsoft.com/office/spreadsheetml/2009/9/main" objectType="CheckBox" lockText="1" noThreeD="1"/>
</file>

<file path=xl/ctrlProps/ctrlProp386.xml><?xml version="1.0" encoding="utf-8"?>
<formControlPr xmlns="http://schemas.microsoft.com/office/spreadsheetml/2009/9/main" objectType="CheckBox" lockText="1" noThreeD="1"/>
</file>

<file path=xl/ctrlProps/ctrlProp387.xml><?xml version="1.0" encoding="utf-8"?>
<formControlPr xmlns="http://schemas.microsoft.com/office/spreadsheetml/2009/9/main" objectType="CheckBox" checked="Checked" lockText="1" noThreeD="1"/>
</file>

<file path=xl/ctrlProps/ctrlProp388.xml><?xml version="1.0" encoding="utf-8"?>
<formControlPr xmlns="http://schemas.microsoft.com/office/spreadsheetml/2009/9/main" objectType="CheckBox" checked="Checked" lockText="1" noThreeD="1"/>
</file>

<file path=xl/ctrlProps/ctrlProp389.xml><?xml version="1.0" encoding="utf-8"?>
<formControlPr xmlns="http://schemas.microsoft.com/office/spreadsheetml/2009/9/main" objectType="CheckBox" lockText="1" noThreeD="1"/>
</file>

<file path=xl/ctrlProps/ctrlProp390.xml><?xml version="1.0" encoding="utf-8"?>
<formControlPr xmlns="http://schemas.microsoft.com/office/spreadsheetml/2009/9/main" objectType="CheckBox" lockText="1" noThreeD="1"/>
</file>

<file path=xl/ctrlProps/ctrlProp391.xml><?xml version="1.0" encoding="utf-8"?>
<formControlPr xmlns="http://schemas.microsoft.com/office/spreadsheetml/2009/9/main" objectType="CheckBox" lockText="1" noThreeD="1"/>
</file>

<file path=xl/ctrlProps/ctrlProp392.xml><?xml version="1.0" encoding="utf-8"?>
<formControlPr xmlns="http://schemas.microsoft.com/office/spreadsheetml/2009/9/main" objectType="CheckBox" lockText="1" noThreeD="1"/>
</file>

<file path=xl/ctrlProps/ctrlProp393.xml><?xml version="1.0" encoding="utf-8"?>
<formControlPr xmlns="http://schemas.microsoft.com/office/spreadsheetml/2009/9/main" objectType="CheckBox" checked="Checked" lockText="1" noThreeD="1"/>
</file>

<file path=xl/ctrlProps/ctrlProp394.xml><?xml version="1.0" encoding="utf-8"?>
<formControlPr xmlns="http://schemas.microsoft.com/office/spreadsheetml/2009/9/main" objectType="CheckBox" lockText="1" noThreeD="1"/>
</file>

<file path=xl/ctrlProps/ctrlProp395.xml><?xml version="1.0" encoding="utf-8"?>
<formControlPr xmlns="http://schemas.microsoft.com/office/spreadsheetml/2009/9/main" objectType="CheckBox" checked="Checked" lockText="1" noThreeD="1"/>
</file>

<file path=xl/ctrlProps/ctrlProp396.xml><?xml version="1.0" encoding="utf-8"?>
<formControlPr xmlns="http://schemas.microsoft.com/office/spreadsheetml/2009/9/main" objectType="CheckBox" lockText="1" noThreeD="1"/>
</file>

<file path=xl/ctrlProps/ctrlProp397.xml><?xml version="1.0" encoding="utf-8"?>
<formControlPr xmlns="http://schemas.microsoft.com/office/spreadsheetml/2009/9/main" objectType="CheckBox" checked="Checked" lockText="1" noThreeD="1"/>
</file>

<file path=xl/ctrlProps/ctrlProp398.xml><?xml version="1.0" encoding="utf-8"?>
<formControlPr xmlns="http://schemas.microsoft.com/office/spreadsheetml/2009/9/main" objectType="CheckBox" lockText="1" noThreeD="1"/>
</file>

<file path=xl/ctrlProps/ctrlProp399.xml><?xml version="1.0" encoding="utf-8"?>
<formControlPr xmlns="http://schemas.microsoft.com/office/spreadsheetml/2009/9/main" objectType="CheckBox" lockText="1" noThreeD="1"/>
</file>

<file path=xl/ctrlProps/ctrlProp400.xml><?xml version="1.0" encoding="utf-8"?>
<formControlPr xmlns="http://schemas.microsoft.com/office/spreadsheetml/2009/9/main" objectType="CheckBox" lockText="1" noThreeD="1"/>
</file>

<file path=xl/ctrlProps/ctrlProp401.xml><?xml version="1.0" encoding="utf-8"?>
<formControlPr xmlns="http://schemas.microsoft.com/office/spreadsheetml/2009/9/main" objectType="CheckBox" lockText="1" noThreeD="1"/>
</file>

<file path=xl/ctrlProps/ctrlProp402.xml><?xml version="1.0" encoding="utf-8"?>
<formControlPr xmlns="http://schemas.microsoft.com/office/spreadsheetml/2009/9/main" objectType="CheckBox" checked="Checked" lockText="1" noThreeD="1"/>
</file>

<file path=xl/ctrlProps/ctrlProp403.xml><?xml version="1.0" encoding="utf-8"?>
<formControlPr xmlns="http://schemas.microsoft.com/office/spreadsheetml/2009/9/main" objectType="CheckBox" checked="Checked" lockText="1" noThreeD="1"/>
</file>

<file path=xl/ctrlProps/ctrlProp404.xml><?xml version="1.0" encoding="utf-8"?>
<formControlPr xmlns="http://schemas.microsoft.com/office/spreadsheetml/2009/9/main" objectType="CheckBox" lockText="1" noThreeD="1"/>
</file>

<file path=xl/ctrlProps/ctrlProp405.xml><?xml version="1.0" encoding="utf-8"?>
<formControlPr xmlns="http://schemas.microsoft.com/office/spreadsheetml/2009/9/main" objectType="CheckBox" lockText="1" noThreeD="1"/>
</file>

<file path=xl/ctrlProps/ctrlProp406.xml><?xml version="1.0" encoding="utf-8"?>
<formControlPr xmlns="http://schemas.microsoft.com/office/spreadsheetml/2009/9/main" objectType="CheckBox" lockText="1" noThreeD="1"/>
</file>

<file path=xl/ctrlProps/ctrlProp407.xml><?xml version="1.0" encoding="utf-8"?>
<formControlPr xmlns="http://schemas.microsoft.com/office/spreadsheetml/2009/9/main" objectType="CheckBox" lockText="1" noThreeD="1"/>
</file>

<file path=xl/ctrlProps/ctrlProp408.xml><?xml version="1.0" encoding="utf-8"?>
<formControlPr xmlns="http://schemas.microsoft.com/office/spreadsheetml/2009/9/main" objectType="CheckBox" checked="Checked" lockText="1" noThreeD="1"/>
</file>

<file path=xl/ctrlProps/ctrlProp409.xml><?xml version="1.0" encoding="utf-8"?>
<formControlPr xmlns="http://schemas.microsoft.com/office/spreadsheetml/2009/9/main" objectType="CheckBox" lockText="1" noThreeD="1"/>
</file>

<file path=xl/ctrlProps/ctrlProp410.xml><?xml version="1.0" encoding="utf-8"?>
<formControlPr xmlns="http://schemas.microsoft.com/office/spreadsheetml/2009/9/main" objectType="CheckBox" lockText="1" noThreeD="1"/>
</file>

<file path=xl/ctrlProps/ctrlProp411.xml><?xml version="1.0" encoding="utf-8"?>
<formControlPr xmlns="http://schemas.microsoft.com/office/spreadsheetml/2009/9/main" objectType="CheckBox" checked="Checked" lockText="1" noThreeD="1"/>
</file>

<file path=xl/ctrlProps/ctrlProp412.xml><?xml version="1.0" encoding="utf-8"?>
<formControlPr xmlns="http://schemas.microsoft.com/office/spreadsheetml/2009/9/main" objectType="CheckBox" checked="Checked" lockText="1" noThreeD="1"/>
</file>

<file path=xl/ctrlProps/ctrlProp413.xml><?xml version="1.0" encoding="utf-8"?>
<formControlPr xmlns="http://schemas.microsoft.com/office/spreadsheetml/2009/9/main" objectType="CheckBox" lockText="1" noThreeD="1"/>
</file>

<file path=xl/ctrlProps/ctrlProp414.xml><?xml version="1.0" encoding="utf-8"?>
<formControlPr xmlns="http://schemas.microsoft.com/office/spreadsheetml/2009/9/main" objectType="CheckBox" lockText="1" noThreeD="1"/>
</file>

<file path=xl/ctrlProps/ctrlProp415.xml><?xml version="1.0" encoding="utf-8"?>
<formControlPr xmlns="http://schemas.microsoft.com/office/spreadsheetml/2009/9/main" objectType="CheckBox" lockText="1" noThreeD="1"/>
</file>

<file path=xl/ctrlProps/ctrlProp416.xml><?xml version="1.0" encoding="utf-8"?>
<formControlPr xmlns="http://schemas.microsoft.com/office/spreadsheetml/2009/9/main" objectType="CheckBox" lockText="1" noThreeD="1"/>
</file>

<file path=xl/ctrlProps/ctrlProp417.xml><?xml version="1.0" encoding="utf-8"?>
<formControlPr xmlns="http://schemas.microsoft.com/office/spreadsheetml/2009/9/main" objectType="CheckBox" checked="Checked" lockText="1" noThreeD="1"/>
</file>

<file path=xl/ctrlProps/ctrlProp418.xml><?xml version="1.0" encoding="utf-8"?>
<formControlPr xmlns="http://schemas.microsoft.com/office/spreadsheetml/2009/9/main" objectType="CheckBox" checked="Checked" lockText="1" noThreeD="1"/>
</file>

<file path=xl/ctrlProps/ctrlProp419.xml><?xml version="1.0" encoding="utf-8"?>
<formControlPr xmlns="http://schemas.microsoft.com/office/spreadsheetml/2009/9/main" objectType="CheckBox" lockText="1" noThreeD="1"/>
</file>

<file path=xl/ctrlProps/ctrlProp420.xml><?xml version="1.0" encoding="utf-8"?>
<formControlPr xmlns="http://schemas.microsoft.com/office/spreadsheetml/2009/9/main" objectType="CheckBox" lockText="1" noThreeD="1"/>
</file>

<file path=xl/ctrlProps/ctrlProp421.xml><?xml version="1.0" encoding="utf-8"?>
<formControlPr xmlns="http://schemas.microsoft.com/office/spreadsheetml/2009/9/main" objectType="CheckBox" checked="Checked" lockText="1" noThreeD="1"/>
</file>

<file path=xl/ctrlProps/ctrlProp422.xml><?xml version="1.0" encoding="utf-8"?>
<formControlPr xmlns="http://schemas.microsoft.com/office/spreadsheetml/2009/9/main" objectType="CheckBox" lockText="1" noThreeD="1"/>
</file>

<file path=xl/ctrlProps/ctrlProp423.xml><?xml version="1.0" encoding="utf-8"?>
<formControlPr xmlns="http://schemas.microsoft.com/office/spreadsheetml/2009/9/main" objectType="CheckBox" lockText="1" noThreeD="1"/>
</file>

<file path=xl/ctrlProps/ctrlProp424.xml><?xml version="1.0" encoding="utf-8"?>
<formControlPr xmlns="http://schemas.microsoft.com/office/spreadsheetml/2009/9/main" objectType="CheckBox" lockText="1" noThreeD="1"/>
</file>

<file path=xl/ctrlProps/ctrlProp425.xml><?xml version="1.0" encoding="utf-8"?>
<formControlPr xmlns="http://schemas.microsoft.com/office/spreadsheetml/2009/9/main" objectType="CheckBox" lockText="1" noThreeD="1"/>
</file>

<file path=xl/ctrlProps/ctrlProp426.xml><?xml version="1.0" encoding="utf-8"?>
<formControlPr xmlns="http://schemas.microsoft.com/office/spreadsheetml/2009/9/main" objectType="CheckBox" checked="Checked" lockText="1" noThreeD="1"/>
</file>

<file path=xl/ctrlProps/ctrlProp427.xml><?xml version="1.0" encoding="utf-8"?>
<formControlPr xmlns="http://schemas.microsoft.com/office/spreadsheetml/2009/9/main" objectType="CheckBox" lockText="1" noThreeD="1"/>
</file>

<file path=xl/ctrlProps/ctrlProp428.xml><?xml version="1.0" encoding="utf-8"?>
<formControlPr xmlns="http://schemas.microsoft.com/office/spreadsheetml/2009/9/main" objectType="CheckBox" checked="Checked" lockText="1" noThreeD="1"/>
</file>

<file path=xl/ctrlProps/ctrlProp429.xml><?xml version="1.0" encoding="utf-8"?>
<formControlPr xmlns="http://schemas.microsoft.com/office/spreadsheetml/2009/9/main" objectType="CheckBox" lockText="1" noThreeD="1"/>
</file>

<file path=xl/ctrlProps/ctrlProp430.xml><?xml version="1.0" encoding="utf-8"?>
<formControlPr xmlns="http://schemas.microsoft.com/office/spreadsheetml/2009/9/main" objectType="CheckBox" lockText="1" noThreeD="1"/>
</file>

<file path=xl/ctrlProps/ctrlProp431.xml><?xml version="1.0" encoding="utf-8"?>
<formControlPr xmlns="http://schemas.microsoft.com/office/spreadsheetml/2009/9/main" objectType="CheckBox" checked="Checked" lockText="1" noThreeD="1"/>
</file>

<file path=xl/ctrlProps/ctrlProp432.xml><?xml version="1.0" encoding="utf-8"?>
<formControlPr xmlns="http://schemas.microsoft.com/office/spreadsheetml/2009/9/main" objectType="CheckBox" lockText="1" noThreeD="1"/>
</file>

<file path=xl/ctrlProps/ctrlProp433.xml><?xml version="1.0" encoding="utf-8"?>
<formControlPr xmlns="http://schemas.microsoft.com/office/spreadsheetml/2009/9/main" objectType="CheckBox" lockText="1" noThreeD="1"/>
</file>

<file path=xl/ctrlProps/ctrlProp434.xml><?xml version="1.0" encoding="utf-8"?>
<formControlPr xmlns="http://schemas.microsoft.com/office/spreadsheetml/2009/9/main" objectType="CheckBox" lockText="1" noThreeD="1"/>
</file>

<file path=xl/ctrlProps/ctrlProp435.xml><?xml version="1.0" encoding="utf-8"?>
<formControlPr xmlns="http://schemas.microsoft.com/office/spreadsheetml/2009/9/main" objectType="CheckBox" checked="Checked" lockText="1" noThreeD="1"/>
</file>

<file path=xl/ctrlProps/ctrlProp436.xml><?xml version="1.0" encoding="utf-8"?>
<formControlPr xmlns="http://schemas.microsoft.com/office/spreadsheetml/2009/9/main" objectType="CheckBox" checked="Checked" lockText="1" noThreeD="1"/>
</file>

<file path=xl/ctrlProps/ctrlProp437.xml><?xml version="1.0" encoding="utf-8"?>
<formControlPr xmlns="http://schemas.microsoft.com/office/spreadsheetml/2009/9/main" objectType="CheckBox" lockText="1" noThreeD="1"/>
</file>

<file path=xl/ctrlProps/ctrlProp438.xml><?xml version="1.0" encoding="utf-8"?>
<formControlPr xmlns="http://schemas.microsoft.com/office/spreadsheetml/2009/9/main" objectType="CheckBox" lockText="1" noThreeD="1"/>
</file>

<file path=xl/ctrlProps/ctrlProp439.xml><?xml version="1.0" encoding="utf-8"?>
<formControlPr xmlns="http://schemas.microsoft.com/office/spreadsheetml/2009/9/main" objectType="CheckBox" lockText="1" noThreeD="1"/>
</file>

<file path=xl/ctrlProps/ctrlProp440.xml><?xml version="1.0" encoding="utf-8"?>
<formControlPr xmlns="http://schemas.microsoft.com/office/spreadsheetml/2009/9/main" objectType="CheckBox" checked="Checked" lockText="1" noThreeD="1"/>
</file>

<file path=xl/ctrlProps/ctrlProp441.xml><?xml version="1.0" encoding="utf-8"?>
<formControlPr xmlns="http://schemas.microsoft.com/office/spreadsheetml/2009/9/main" objectType="CheckBox" lockText="1" noThreeD="1"/>
</file>

<file path=xl/ctrlProps/ctrlProp442.xml><?xml version="1.0" encoding="utf-8"?>
<formControlPr xmlns="http://schemas.microsoft.com/office/spreadsheetml/2009/9/main" objectType="CheckBox" checked="Checked" lockText="1" noThreeD="1"/>
</file>

<file path=xl/ctrlProps/ctrlProp443.xml><?xml version="1.0" encoding="utf-8"?>
<formControlPr xmlns="http://schemas.microsoft.com/office/spreadsheetml/2009/9/main" objectType="CheckBox" lockText="1" noThreeD="1"/>
</file>

<file path=xl/ctrlProps/ctrlProp444.xml><?xml version="1.0" encoding="utf-8"?>
<formControlPr xmlns="http://schemas.microsoft.com/office/spreadsheetml/2009/9/main" objectType="CheckBox" lockText="1" noThreeD="1"/>
</file>

<file path=xl/ctrlProps/ctrlProp445.xml><?xml version="1.0" encoding="utf-8"?>
<formControlPr xmlns="http://schemas.microsoft.com/office/spreadsheetml/2009/9/main" objectType="CheckBox" lockText="1" noThreeD="1"/>
</file>

<file path=xl/ctrlProps/ctrlProp446.xml><?xml version="1.0" encoding="utf-8"?>
<formControlPr xmlns="http://schemas.microsoft.com/office/spreadsheetml/2009/9/main" objectType="CheckBox" lockText="1" noThreeD="1"/>
</file>

<file path=xl/ctrlProps/ctrlProp447.xml><?xml version="1.0" encoding="utf-8"?>
<formControlPr xmlns="http://schemas.microsoft.com/office/spreadsheetml/2009/9/main" objectType="CheckBox" checked="Checked" lockText="1" noThreeD="1"/>
</file>

<file path=xl/ctrlProps/ctrlProp448.xml><?xml version="1.0" encoding="utf-8"?>
<formControlPr xmlns="http://schemas.microsoft.com/office/spreadsheetml/2009/9/main" objectType="CheckBox" checked="Checked" lockText="1" noThreeD="1"/>
</file>

<file path=xl/ctrlProps/ctrlProp449.xml><?xml version="1.0" encoding="utf-8"?>
<formControlPr xmlns="http://schemas.microsoft.com/office/spreadsheetml/2009/9/main" objectType="CheckBox" lockText="1" noThreeD="1"/>
</file>

<file path=xl/ctrlProps/ctrlProp450.xml><?xml version="1.0" encoding="utf-8"?>
<formControlPr xmlns="http://schemas.microsoft.com/office/spreadsheetml/2009/9/main" objectType="CheckBox" lockText="1" noThreeD="1"/>
</file>

<file path=xl/ctrlProps/ctrlProp451.xml><?xml version="1.0" encoding="utf-8"?>
<formControlPr xmlns="http://schemas.microsoft.com/office/spreadsheetml/2009/9/main" objectType="CheckBox" lockText="1" noThreeD="1"/>
</file>

<file path=xl/ctrlProps/ctrlProp452.xml><?xml version="1.0" encoding="utf-8"?>
<formControlPr xmlns="http://schemas.microsoft.com/office/spreadsheetml/2009/9/main" objectType="CheckBox" lockText="1" noThreeD="1"/>
</file>

<file path=xl/ctrlProps/ctrlProp453.xml><?xml version="1.0" encoding="utf-8"?>
<formControlPr xmlns="http://schemas.microsoft.com/office/spreadsheetml/2009/9/main" objectType="CheckBox" checked="Checked" lockText="1" noThreeD="1"/>
</file>

<file path=xl/ctrlProps/ctrlProp454.xml><?xml version="1.0" encoding="utf-8"?>
<formControlPr xmlns="http://schemas.microsoft.com/office/spreadsheetml/2009/9/main" objectType="CheckBox" checked="Checked" lockText="1" noThreeD="1"/>
</file>

<file path=xl/ctrlProps/ctrlProp455.xml><?xml version="1.0" encoding="utf-8"?>
<formControlPr xmlns="http://schemas.microsoft.com/office/spreadsheetml/2009/9/main" objectType="CheckBox" lockText="1" noThreeD="1"/>
</file>

<file path=xl/ctrlProps/ctrlProp456.xml><?xml version="1.0" encoding="utf-8"?>
<formControlPr xmlns="http://schemas.microsoft.com/office/spreadsheetml/2009/9/main" objectType="CheckBox" lockText="1" noThreeD="1"/>
</file>

<file path=xl/ctrlProps/ctrlProp457.xml><?xml version="1.0" encoding="utf-8"?>
<formControlPr xmlns="http://schemas.microsoft.com/office/spreadsheetml/2009/9/main" objectType="CheckBox" lockText="1" noThreeD="1"/>
</file>

<file path=xl/ctrlProps/ctrlProp458.xml><?xml version="1.0" encoding="utf-8"?>
<formControlPr xmlns="http://schemas.microsoft.com/office/spreadsheetml/2009/9/main" objectType="CheckBox" lockText="1" noThreeD="1"/>
</file>

<file path=xl/ctrlProps/ctrlProp459.xml><?xml version="1.0" encoding="utf-8"?>
<formControlPr xmlns="http://schemas.microsoft.com/office/spreadsheetml/2009/9/main" objectType="CheckBox" checked="Checked" lockText="1" noThreeD="1"/>
</file>

<file path=xl/ctrlProps/ctrlProp460.xml><?xml version="1.0" encoding="utf-8"?>
<formControlPr xmlns="http://schemas.microsoft.com/office/spreadsheetml/2009/9/main" objectType="CheckBox" checked="Checked" lockText="1" noThreeD="1"/>
</file>

<file path=xl/ctrlProps/ctrlProp461.xml><?xml version="1.0" encoding="utf-8"?>
<formControlPr xmlns="http://schemas.microsoft.com/office/spreadsheetml/2009/9/main" objectType="CheckBox" lockText="1" noThreeD="1"/>
</file>

<file path=xl/ctrlProps/ctrlProp462.xml><?xml version="1.0" encoding="utf-8"?>
<formControlPr xmlns="http://schemas.microsoft.com/office/spreadsheetml/2009/9/main" objectType="CheckBox" lockText="1" noThreeD="1"/>
</file>

<file path=xl/ctrlProps/ctrlProp463.xml><?xml version="1.0" encoding="utf-8"?>
<formControlPr xmlns="http://schemas.microsoft.com/office/spreadsheetml/2009/9/main" objectType="CheckBox" checked="Checked" lockText="1" noThreeD="1"/>
</file>

<file path=xl/ctrlProps/ctrlProp464.xml><?xml version="1.0" encoding="utf-8"?>
<formControlPr xmlns="http://schemas.microsoft.com/office/spreadsheetml/2009/9/main" objectType="CheckBox" lockText="1" noThreeD="1"/>
</file>

<file path=xl/ctrlProps/ctrlProp465.xml><?xml version="1.0" encoding="utf-8"?>
<formControlPr xmlns="http://schemas.microsoft.com/office/spreadsheetml/2009/9/main" objectType="CheckBox" lockText="1" noThreeD="1"/>
</file>

<file path=xl/ctrlProps/ctrlProp466.xml><?xml version="1.0" encoding="utf-8"?>
<formControlPr xmlns="http://schemas.microsoft.com/office/spreadsheetml/2009/9/main" objectType="CheckBox" lockText="1" noThreeD="1"/>
</file>

<file path=xl/ctrlProps/ctrlProp467.xml><?xml version="1.0" encoding="utf-8"?>
<formControlPr xmlns="http://schemas.microsoft.com/office/spreadsheetml/2009/9/main" objectType="CheckBox" lockText="1" noThreeD="1"/>
</file>

<file path=xl/ctrlProps/ctrlProp468.xml><?xml version="1.0" encoding="utf-8"?>
<formControlPr xmlns="http://schemas.microsoft.com/office/spreadsheetml/2009/9/main" objectType="CheckBox" checked="Checked" lockText="1" noThreeD="1"/>
</file>

<file path=xl/ctrlProps/ctrlProp469.xml><?xml version="1.0" encoding="utf-8"?>
<formControlPr xmlns="http://schemas.microsoft.com/office/spreadsheetml/2009/9/main" objectType="CheckBox" lockText="1" noThreeD="1"/>
</file>

<file path=xl/ctrlProps/ctrlProp470.xml><?xml version="1.0" encoding="utf-8"?>
<formControlPr xmlns="http://schemas.microsoft.com/office/spreadsheetml/2009/9/main" objectType="CheckBox" lockText="1" noThreeD="1"/>
</file>

<file path=xl/ctrlProps/ctrlProp471.xml><?xml version="1.0" encoding="utf-8"?>
<formControlPr xmlns="http://schemas.microsoft.com/office/spreadsheetml/2009/9/main" objectType="CheckBox" checked="Checked" lockText="1" noThreeD="1"/>
</file>

<file path=xl/ctrlProps/ctrlProp472.xml><?xml version="1.0" encoding="utf-8"?>
<formControlPr xmlns="http://schemas.microsoft.com/office/spreadsheetml/2009/9/main" objectType="CheckBox" checked="Checked" lockText="1" noThreeD="1"/>
</file>

<file path=xl/ctrlProps/ctrlProp473.xml><?xml version="1.0" encoding="utf-8"?>
<formControlPr xmlns="http://schemas.microsoft.com/office/spreadsheetml/2009/9/main" objectType="CheckBox" lockText="1" noThreeD="1"/>
</file>

<file path=xl/ctrlProps/ctrlProp474.xml><?xml version="1.0" encoding="utf-8"?>
<formControlPr xmlns="http://schemas.microsoft.com/office/spreadsheetml/2009/9/main" objectType="CheckBox" lockText="1" noThreeD="1"/>
</file>

<file path=xl/ctrlProps/ctrlProp475.xml><?xml version="1.0" encoding="utf-8"?>
<formControlPr xmlns="http://schemas.microsoft.com/office/spreadsheetml/2009/9/main" objectType="CheckBox" checked="Checked" lockText="1" noThreeD="1"/>
</file>

<file path=xl/ctrlProps/ctrlProp476.xml><?xml version="1.0" encoding="utf-8"?>
<formControlPr xmlns="http://schemas.microsoft.com/office/spreadsheetml/2009/9/main" objectType="CheckBox" lockText="1" noThreeD="1"/>
</file>

<file path=xl/ctrlProps/ctrlProp477.xml><?xml version="1.0" encoding="utf-8"?>
<formControlPr xmlns="http://schemas.microsoft.com/office/spreadsheetml/2009/9/main" objectType="CheckBox" lockText="1" noThreeD="1"/>
</file>

<file path=xl/ctrlProps/ctrlProp478.xml><?xml version="1.0" encoding="utf-8"?>
<formControlPr xmlns="http://schemas.microsoft.com/office/spreadsheetml/2009/9/main" objectType="CheckBox" checked="Checked" lockText="1" noThreeD="1"/>
</file>

<file path=xl/ctrlProps/ctrlProp479.xml><?xml version="1.0" encoding="utf-8"?>
<formControlPr xmlns="http://schemas.microsoft.com/office/spreadsheetml/2009/9/main" objectType="CheckBox" lockText="1" noThreeD="1"/>
</file>

<file path=xl/ctrlProps/ctrlProp480.xml><?xml version="1.0" encoding="utf-8"?>
<formControlPr xmlns="http://schemas.microsoft.com/office/spreadsheetml/2009/9/main" objectType="CheckBox" lockText="1" noThreeD="1"/>
</file>

<file path=xl/ctrlProps/ctrlProp481.xml><?xml version="1.0" encoding="utf-8"?>
<formControlPr xmlns="http://schemas.microsoft.com/office/spreadsheetml/2009/9/main" objectType="CheckBox" lockText="1" noThreeD="1"/>
</file>

<file path=xl/ctrlProps/ctrlProp482.xml><?xml version="1.0" encoding="utf-8"?>
<formControlPr xmlns="http://schemas.microsoft.com/office/spreadsheetml/2009/9/main" objectType="CheckBox" lockText="1" noThreeD="1"/>
</file>

<file path=xl/ctrlProps/ctrlProp483.xml><?xml version="1.0" encoding="utf-8"?>
<formControlPr xmlns="http://schemas.microsoft.com/office/spreadsheetml/2009/9/main" objectType="CheckBox" checked="Checked" lockText="1" noThreeD="1"/>
</file>

<file path=xl/ctrlProps/ctrlProp484.xml><?xml version="1.0" encoding="utf-8"?>
<formControlPr xmlns="http://schemas.microsoft.com/office/spreadsheetml/2009/9/main" objectType="CheckBox" lockText="1" noThreeD="1"/>
</file>

<file path=xl/ctrlProps/ctrlProp485.xml><?xml version="1.0" encoding="utf-8"?>
<formControlPr xmlns="http://schemas.microsoft.com/office/spreadsheetml/2009/9/main" objectType="CheckBox" lockText="1" noThreeD="1"/>
</file>

<file path=xl/ctrlProps/ctrlProp486.xml><?xml version="1.0" encoding="utf-8"?>
<formControlPr xmlns="http://schemas.microsoft.com/office/spreadsheetml/2009/9/main" objectType="CheckBox" checked="Checked" lockText="1" noThreeD="1"/>
</file>

<file path=xl/ctrlProps/ctrlProp487.xml><?xml version="1.0" encoding="utf-8"?>
<formControlPr xmlns="http://schemas.microsoft.com/office/spreadsheetml/2009/9/main" objectType="CheckBox" checked="Checked" lockText="1" noThreeD="1"/>
</file>

<file path=xl/ctrlProps/ctrlProp488.xml><?xml version="1.0" encoding="utf-8"?>
<formControlPr xmlns="http://schemas.microsoft.com/office/spreadsheetml/2009/9/main" objectType="CheckBox" lockText="1" noThreeD="1"/>
</file>

<file path=xl/ctrlProps/ctrlProp489.xml><?xml version="1.0" encoding="utf-8"?>
<formControlPr xmlns="http://schemas.microsoft.com/office/spreadsheetml/2009/9/main" objectType="CheckBox" lockText="1" noThreeD="1"/>
</file>

<file path=xl/ctrlProps/ctrlProp490.xml><?xml version="1.0" encoding="utf-8"?>
<formControlPr xmlns="http://schemas.microsoft.com/office/spreadsheetml/2009/9/main" objectType="CheckBox" lockText="1" noThreeD="1"/>
</file>

<file path=xl/ctrlProps/ctrlProp491.xml><?xml version="1.0" encoding="utf-8"?>
<formControlPr xmlns="http://schemas.microsoft.com/office/spreadsheetml/2009/9/main" objectType="CheckBox" lockText="1" noThreeD="1"/>
</file>

<file path=xl/ctrlProps/ctrlProp492.xml><?xml version="1.0" encoding="utf-8"?>
<formControlPr xmlns="http://schemas.microsoft.com/office/spreadsheetml/2009/9/main" objectType="CheckBox" checked="Checked" lockText="1" noThreeD="1"/>
</file>

<file path=xl/ctrlProps/ctrlProp493.xml><?xml version="1.0" encoding="utf-8"?>
<formControlPr xmlns="http://schemas.microsoft.com/office/spreadsheetml/2009/9/main" objectType="CheckBox" lockText="1" noThreeD="1"/>
</file>

<file path=xl/ctrlProps/ctrlProp494.xml><?xml version="1.0" encoding="utf-8"?>
<formControlPr xmlns="http://schemas.microsoft.com/office/spreadsheetml/2009/9/main" objectType="CheckBox" lockText="1" noThreeD="1"/>
</file>

<file path=xl/ctrlProps/ctrlProp495.xml><?xml version="1.0" encoding="utf-8"?>
<formControlPr xmlns="http://schemas.microsoft.com/office/spreadsheetml/2009/9/main" objectType="CheckBox" checked="Checked" lockText="1" noThreeD="1"/>
</file>

<file path=xl/ctrlProps/ctrlProp496.xml><?xml version="1.0" encoding="utf-8"?>
<formControlPr xmlns="http://schemas.microsoft.com/office/spreadsheetml/2009/9/main" objectType="CheckBox" checked="Checked" lockText="1" noThreeD="1"/>
</file>

<file path=xl/ctrlProps/ctrlProp497.xml><?xml version="1.0" encoding="utf-8"?>
<formControlPr xmlns="http://schemas.microsoft.com/office/spreadsheetml/2009/9/main" objectType="CheckBox" lockText="1" noThreeD="1"/>
</file>

<file path=xl/ctrlProps/ctrlProp498.xml><?xml version="1.0" encoding="utf-8"?>
<formControlPr xmlns="http://schemas.microsoft.com/office/spreadsheetml/2009/9/main" objectType="CheckBox" lockText="1" noThreeD="1"/>
</file>

<file path=xl/ctrlProps/ctrlProp499.xml><?xml version="1.0" encoding="utf-8"?>
<formControlPr xmlns="http://schemas.microsoft.com/office/spreadsheetml/2009/9/main" objectType="CheckBox" lockText="1" noThreeD="1"/>
</file>

<file path=xl/ctrlProps/ctrlProp500.xml><?xml version="1.0" encoding="utf-8"?>
<formControlPr xmlns="http://schemas.microsoft.com/office/spreadsheetml/2009/9/main" objectType="CheckBox" lockText="1" noThreeD="1"/>
</file>

<file path=xl/ctrlProps/ctrlProp501.xml><?xml version="1.0" encoding="utf-8"?>
<formControlPr xmlns="http://schemas.microsoft.com/office/spreadsheetml/2009/9/main" objectType="CheckBox" checked="Checked" lockText="1" noThreeD="1"/>
</file>

<file path=xl/ctrlProps/ctrlProp502.xml><?xml version="1.0" encoding="utf-8"?>
<formControlPr xmlns="http://schemas.microsoft.com/office/spreadsheetml/2009/9/main" objectType="CheckBox" checked="Checked" lockText="1" noThreeD="1"/>
</file>

<file path=xl/ctrlProps/ctrlProp503.xml><?xml version="1.0" encoding="utf-8"?>
<formControlPr xmlns="http://schemas.microsoft.com/office/spreadsheetml/2009/9/main" objectType="CheckBox" lockText="1" noThreeD="1"/>
</file>

<file path=xl/ctrlProps/ctrlProp504.xml><?xml version="1.0" encoding="utf-8"?>
<formControlPr xmlns="http://schemas.microsoft.com/office/spreadsheetml/2009/9/main" objectType="CheckBox" lockText="1" noThreeD="1"/>
</file>

<file path=xl/ctrlProps/ctrlProp505.xml><?xml version="1.0" encoding="utf-8"?>
<formControlPr xmlns="http://schemas.microsoft.com/office/spreadsheetml/2009/9/main" objectType="CheckBox" checked="Checked" lockText="1" noThreeD="1"/>
</file>

<file path=xl/ctrlProps/ctrlProp506.xml><?xml version="1.0" encoding="utf-8"?>
<formControlPr xmlns="http://schemas.microsoft.com/office/spreadsheetml/2009/9/main" objectType="CheckBox" lockText="1" noThreeD="1"/>
</file>

<file path=xl/ctrlProps/ctrlProp507.xml><?xml version="1.0" encoding="utf-8"?>
<formControlPr xmlns="http://schemas.microsoft.com/office/spreadsheetml/2009/9/main" objectType="CheckBox" lockText="1" noThreeD="1"/>
</file>

<file path=xl/ctrlProps/ctrlProp508.xml><?xml version="1.0" encoding="utf-8"?>
<formControlPr xmlns="http://schemas.microsoft.com/office/spreadsheetml/2009/9/main" objectType="CheckBox" lockText="1" noThreeD="1"/>
</file>

<file path=xl/ctrlProps/ctrlProp509.xml><?xml version="1.0" encoding="utf-8"?>
<formControlPr xmlns="http://schemas.microsoft.com/office/spreadsheetml/2009/9/main" objectType="CheckBox" lockText="1" noThreeD="1"/>
</file>

<file path=xl/ctrlProps/ctrlProp510.xml><?xml version="1.0" encoding="utf-8"?>
<formControlPr xmlns="http://schemas.microsoft.com/office/spreadsheetml/2009/9/main" objectType="CheckBox" checked="Checked" lockText="1" noThreeD="1"/>
</file>

<file path=xl/ctrlProps/ctrlProp511.xml><?xml version="1.0" encoding="utf-8"?>
<formControlPr xmlns="http://schemas.microsoft.com/office/spreadsheetml/2009/9/main" objectType="CheckBox" checked="Checked" lockText="1" noThreeD="1"/>
</file>

<file path=xl/ctrlProps/ctrlProp512.xml><?xml version="1.0" encoding="utf-8"?>
<formControlPr xmlns="http://schemas.microsoft.com/office/spreadsheetml/2009/9/main" objectType="CheckBox" lockText="1" noThreeD="1"/>
</file>

<file path=xl/ctrlProps/ctrlProp513.xml><?xml version="1.0" encoding="utf-8"?>
<formControlPr xmlns="http://schemas.microsoft.com/office/spreadsheetml/2009/9/main" objectType="CheckBox" lockText="1" noThreeD="1"/>
</file>

<file path=xl/ctrlProps/ctrlProp514.xml><?xml version="1.0" encoding="utf-8"?>
<formControlPr xmlns="http://schemas.microsoft.com/office/spreadsheetml/2009/9/main" objectType="CheckBox" lockText="1" noThreeD="1"/>
</file>

<file path=xl/ctrlProps/ctrlProp515.xml><?xml version="1.0" encoding="utf-8"?>
<formControlPr xmlns="http://schemas.microsoft.com/office/spreadsheetml/2009/9/main" objectType="CheckBox" checked="Checked" lockText="1" noThreeD="1"/>
</file>

<file path=xl/ctrlProps/ctrlProp516.xml><?xml version="1.0" encoding="utf-8"?>
<formControlPr xmlns="http://schemas.microsoft.com/office/spreadsheetml/2009/9/main" objectType="CheckBox" lockText="1" noThreeD="1"/>
</file>

<file path=xl/ctrlProps/ctrlProp517.xml><?xml version="1.0" encoding="utf-8"?>
<formControlPr xmlns="http://schemas.microsoft.com/office/spreadsheetml/2009/9/main" objectType="CheckBox" checked="Checked" lockText="1" noThreeD="1"/>
</file>

<file path=xl/ctrlProps/ctrlProp518.xml><?xml version="1.0" encoding="utf-8"?>
<formControlPr xmlns="http://schemas.microsoft.com/office/spreadsheetml/2009/9/main" objectType="CheckBox" lockText="1" noThreeD="1"/>
</file>

<file path=xl/ctrlProps/ctrlProp519.xml><?xml version="1.0" encoding="utf-8"?>
<formControlPr xmlns="http://schemas.microsoft.com/office/spreadsheetml/2009/9/main" objectType="CheckBox" lockText="1" noThreeD="1"/>
</file>

<file path=xl/ctrlProps/ctrlProp520.xml><?xml version="1.0" encoding="utf-8"?>
<formControlPr xmlns="http://schemas.microsoft.com/office/spreadsheetml/2009/9/main" objectType="CheckBox" lockText="1" noThreeD="1"/>
</file>

<file path=xl/ctrlProps/ctrlProp521.xml><?xml version="1.0" encoding="utf-8"?>
<formControlPr xmlns="http://schemas.microsoft.com/office/spreadsheetml/2009/9/main" objectType="CheckBox" lockText="1" noThreeD="1"/>
</file>

<file path=xl/ctrlProps/ctrlProp522.xml><?xml version="1.0" encoding="utf-8"?>
<formControlPr xmlns="http://schemas.microsoft.com/office/spreadsheetml/2009/9/main" objectType="CheckBox" checked="Checked" lockText="1" noThreeD="1"/>
</file>

<file path=xl/ctrlProps/ctrlProp523.xml><?xml version="1.0" encoding="utf-8"?>
<formControlPr xmlns="http://schemas.microsoft.com/office/spreadsheetml/2009/9/main" objectType="CheckBox" lockText="1" noThreeD="1"/>
</file>

<file path=xl/ctrlProps/ctrlProp524.xml><?xml version="1.0" encoding="utf-8"?>
<formControlPr xmlns="http://schemas.microsoft.com/office/spreadsheetml/2009/9/main" objectType="CheckBox" checked="Checked" lockText="1" noThreeD="1"/>
</file>

<file path=xl/ctrlProps/ctrlProp525.xml><?xml version="1.0" encoding="utf-8"?>
<formControlPr xmlns="http://schemas.microsoft.com/office/spreadsheetml/2009/9/main" objectType="CheckBox" lockText="1" noThreeD="1"/>
</file>

<file path=xl/ctrlProps/ctrlProp526.xml><?xml version="1.0" encoding="utf-8"?>
<formControlPr xmlns="http://schemas.microsoft.com/office/spreadsheetml/2009/9/main" objectType="CheckBox" lockText="1" noThreeD="1"/>
</file>

<file path=xl/ctrlProps/ctrlProp527.xml><?xml version="1.0" encoding="utf-8"?>
<formControlPr xmlns="http://schemas.microsoft.com/office/spreadsheetml/2009/9/main" objectType="CheckBox" lockText="1" noThreeD="1"/>
</file>

<file path=xl/ctrlProps/ctrlProp528.xml><?xml version="1.0" encoding="utf-8"?>
<formControlPr xmlns="http://schemas.microsoft.com/office/spreadsheetml/2009/9/main" objectType="CheckBox" checked="Checked" lockText="1" noThreeD="1"/>
</file>

<file path=xl/ctrlProps/ctrlProp529.xml><?xml version="1.0" encoding="utf-8"?>
<formControlPr xmlns="http://schemas.microsoft.com/office/spreadsheetml/2009/9/main" objectType="CheckBox" lockText="1" noThreeD="1"/>
</file>

<file path=xl/ctrlProps/ctrlProp530.xml><?xml version="1.0" encoding="utf-8"?>
<formControlPr xmlns="http://schemas.microsoft.com/office/spreadsheetml/2009/9/main" objectType="CheckBox" checked="Checked" lockText="1" noThreeD="1"/>
</file>

<file path=xl/ctrlProps/ctrlProp531.xml><?xml version="1.0" encoding="utf-8"?>
<formControlPr xmlns="http://schemas.microsoft.com/office/spreadsheetml/2009/9/main" objectType="CheckBox" lockText="1" noThreeD="1"/>
</file>

<file path=xl/ctrlProps/ctrlProp532.xml><?xml version="1.0" encoding="utf-8"?>
<formControlPr xmlns="http://schemas.microsoft.com/office/spreadsheetml/2009/9/main" objectType="CheckBox" lockText="1" noThreeD="1"/>
</file>

<file path=xl/ctrlProps/ctrlProp533.xml><?xml version="1.0" encoding="utf-8"?>
<formControlPr xmlns="http://schemas.microsoft.com/office/spreadsheetml/2009/9/main" objectType="CheckBox" lockText="1" noThreeD="1"/>
</file>

<file path=xl/ctrlProps/ctrlProp534.xml><?xml version="1.0" encoding="utf-8"?>
<formControlPr xmlns="http://schemas.microsoft.com/office/spreadsheetml/2009/9/main" objectType="CheckBox" checked="Checked" lockText="1" noThreeD="1"/>
</file>

<file path=xl/ctrlProps/ctrlProp535.xml><?xml version="1.0" encoding="utf-8"?>
<formControlPr xmlns="http://schemas.microsoft.com/office/spreadsheetml/2009/9/main" objectType="CheckBox" lockText="1" noThreeD="1"/>
</file>

<file path=xl/ctrlProps/ctrlProp536.xml><?xml version="1.0" encoding="utf-8"?>
<formControlPr xmlns="http://schemas.microsoft.com/office/spreadsheetml/2009/9/main" objectType="CheckBox" lockText="1" noThreeD="1"/>
</file>

<file path=xl/ctrlProps/ctrlProp537.xml><?xml version="1.0" encoding="utf-8"?>
<formControlPr xmlns="http://schemas.microsoft.com/office/spreadsheetml/2009/9/main" objectType="CheckBox" checked="Checked" lockText="1" noThreeD="1"/>
</file>

<file path=xl/ctrlProps/ctrlProp538.xml><?xml version="1.0" encoding="utf-8"?>
<formControlPr xmlns="http://schemas.microsoft.com/office/spreadsheetml/2009/9/main" objectType="CheckBox" lockText="1" noThreeD="1"/>
</file>

<file path=xl/ctrlProps/ctrlProp539.xml><?xml version="1.0" encoding="utf-8"?>
<formControlPr xmlns="http://schemas.microsoft.com/office/spreadsheetml/2009/9/main" objectType="CheckBox" checked="Checked" lockText="1" noThreeD="1"/>
</file>

<file path=xl/ctrlProps/ctrlProp540.xml><?xml version="1.0" encoding="utf-8"?>
<formControlPr xmlns="http://schemas.microsoft.com/office/spreadsheetml/2009/9/main" objectType="CheckBox" lockText="1" noThreeD="1"/>
</file>

<file path=xl/ctrlProps/ctrlProp541.xml><?xml version="1.0" encoding="utf-8"?>
<formControlPr xmlns="http://schemas.microsoft.com/office/spreadsheetml/2009/9/main" objectType="CheckBox" lockText="1" noThreeD="1"/>
</file>

<file path=xl/ctrlProps/ctrlProp542.xml><?xml version="1.0" encoding="utf-8"?>
<formControlPr xmlns="http://schemas.microsoft.com/office/spreadsheetml/2009/9/main" objectType="CheckBox" checked="Checked" lockText="1" noThreeD="1"/>
</file>

<file path=xl/ctrlProps/ctrlProp543.xml><?xml version="1.0" encoding="utf-8"?>
<formControlPr xmlns="http://schemas.microsoft.com/office/spreadsheetml/2009/9/main" objectType="CheckBox" lockText="1" noThreeD="1"/>
</file>

<file path=xl/ctrlProps/ctrlProp544.xml><?xml version="1.0" encoding="utf-8"?>
<formControlPr xmlns="http://schemas.microsoft.com/office/spreadsheetml/2009/9/main" objectType="CheckBox" checked="Checked" lockText="1" noThreeD="1"/>
</file>

<file path=xl/ctrlProps/ctrlProp545.xml><?xml version="1.0" encoding="utf-8"?>
<formControlPr xmlns="http://schemas.microsoft.com/office/spreadsheetml/2009/9/main" objectType="CheckBox" lockText="1" noThreeD="1"/>
</file>

<file path=xl/ctrlProps/ctrlProp546.xml><?xml version="1.0" encoding="utf-8"?>
<formControlPr xmlns="http://schemas.microsoft.com/office/spreadsheetml/2009/9/main" objectType="CheckBox" lockText="1" noThreeD="1"/>
</file>

<file path=xl/ctrlProps/ctrlProp547.xml><?xml version="1.0" encoding="utf-8"?>
<formControlPr xmlns="http://schemas.microsoft.com/office/spreadsheetml/2009/9/main" objectType="CheckBox" lockText="1" noThreeD="1"/>
</file>

<file path=xl/ctrlProps/ctrlProp548.xml><?xml version="1.0" encoding="utf-8"?>
<formControlPr xmlns="http://schemas.microsoft.com/office/spreadsheetml/2009/9/main" objectType="CheckBox" checked="Checked" lockText="1" noThreeD="1"/>
</file>

<file path=xl/ctrlProps/ctrlProp549.xml><?xml version="1.0" encoding="utf-8"?>
<formControlPr xmlns="http://schemas.microsoft.com/office/spreadsheetml/2009/9/main" objectType="CheckBox" lockText="1" noThreeD="1"/>
</file>

<file path=xl/ctrlProps/ctrlProp550.xml><?xml version="1.0" encoding="utf-8"?>
<formControlPr xmlns="http://schemas.microsoft.com/office/spreadsheetml/2009/9/main" objectType="CheckBox" lockText="1" noThreeD="1"/>
</file>

<file path=xl/ctrlProps/ctrlProp551.xml><?xml version="1.0" encoding="utf-8"?>
<formControlPr xmlns="http://schemas.microsoft.com/office/spreadsheetml/2009/9/main" objectType="CheckBox" checked="Checked" lockText="1" noThreeD="1"/>
</file>

<file path=xl/ctrlProps/ctrlProp552.xml><?xml version="1.0" encoding="utf-8"?>
<formControlPr xmlns="http://schemas.microsoft.com/office/spreadsheetml/2009/9/main" objectType="CheckBox" lockText="1" noThreeD="1"/>
</file>

<file path=xl/ctrlProps/ctrlProp553.xml><?xml version="1.0" encoding="utf-8"?>
<formControlPr xmlns="http://schemas.microsoft.com/office/spreadsheetml/2009/9/main" objectType="CheckBox" lockText="1" noThreeD="1"/>
</file>

<file path=xl/ctrlProps/ctrlProp554.xml><?xml version="1.0" encoding="utf-8"?>
<formControlPr xmlns="http://schemas.microsoft.com/office/spreadsheetml/2009/9/main" objectType="CheckBox" checked="Checked" lockText="1" noThreeD="1"/>
</file>

<file path=xl/ctrlProps/ctrlProp555.xml><?xml version="1.0" encoding="utf-8"?>
<formControlPr xmlns="http://schemas.microsoft.com/office/spreadsheetml/2009/9/main" objectType="CheckBox" lockText="1" noThreeD="1"/>
</file>

<file path=xl/ctrlProps/ctrlProp556.xml><?xml version="1.0" encoding="utf-8"?>
<formControlPr xmlns="http://schemas.microsoft.com/office/spreadsheetml/2009/9/main" objectType="CheckBox" lockText="1" noThreeD="1"/>
</file>

<file path=xl/ctrlProps/ctrlProp557.xml><?xml version="1.0" encoding="utf-8"?>
<formControlPr xmlns="http://schemas.microsoft.com/office/spreadsheetml/2009/9/main" objectType="CheckBox" lockText="1" noThreeD="1"/>
</file>

<file path=xl/ctrlProps/ctrlProp558.xml><?xml version="1.0" encoding="utf-8"?>
<formControlPr xmlns="http://schemas.microsoft.com/office/spreadsheetml/2009/9/main" objectType="CheckBox" checked="Checked" lockText="1" noThreeD="1"/>
</file>

<file path=xl/ctrlProps/ctrlProp559.xml><?xml version="1.0" encoding="utf-8"?>
<formControlPr xmlns="http://schemas.microsoft.com/office/spreadsheetml/2009/9/main" objectType="CheckBox" checked="Checked" lockText="1" noThreeD="1"/>
</file>

<file path=xl/ctrlProps/ctrlProp560.xml><?xml version="1.0" encoding="utf-8"?>
<formControlPr xmlns="http://schemas.microsoft.com/office/spreadsheetml/2009/9/main" objectType="CheckBox" lockText="1" noThreeD="1"/>
</file>

<file path=xl/ctrlProps/ctrlProp561.xml><?xml version="1.0" encoding="utf-8"?>
<formControlPr xmlns="http://schemas.microsoft.com/office/spreadsheetml/2009/9/main" objectType="CheckBox" lockText="1" noThreeD="1"/>
</file>

<file path=xl/ctrlProps/ctrlProp562.xml><?xml version="1.0" encoding="utf-8"?>
<formControlPr xmlns="http://schemas.microsoft.com/office/spreadsheetml/2009/9/main" objectType="CheckBox" lockText="1" noThreeD="1"/>
</file>

<file path=xl/ctrlProps/ctrlProp563.xml><?xml version="1.0" encoding="utf-8"?>
<formControlPr xmlns="http://schemas.microsoft.com/office/spreadsheetml/2009/9/main" objectType="CheckBox" checked="Checked" lockText="1" noThreeD="1"/>
</file>

<file path=xl/ctrlProps/ctrlProp564.xml><?xml version="1.0" encoding="utf-8"?>
<formControlPr xmlns="http://schemas.microsoft.com/office/spreadsheetml/2009/9/main" objectType="CheckBox" lockText="1" noThreeD="1"/>
</file>

<file path=xl/ctrlProps/ctrlProp565.xml><?xml version="1.0" encoding="utf-8"?>
<formControlPr xmlns="http://schemas.microsoft.com/office/spreadsheetml/2009/9/main" objectType="CheckBox" lockText="1" noThreeD="1"/>
</file>

<file path=xl/ctrlProps/ctrlProp566.xml><?xml version="1.0" encoding="utf-8"?>
<formControlPr xmlns="http://schemas.microsoft.com/office/spreadsheetml/2009/9/main" objectType="CheckBox" lockText="1" noThreeD="1"/>
</file>

<file path=xl/ctrlProps/ctrlProp567.xml><?xml version="1.0" encoding="utf-8"?>
<formControlPr xmlns="http://schemas.microsoft.com/office/spreadsheetml/2009/9/main" objectType="CheckBox" checked="Checked" lockText="1" noThreeD="1"/>
</file>

<file path=xl/ctrlProps/ctrlProp568.xml><?xml version="1.0" encoding="utf-8"?>
<formControlPr xmlns="http://schemas.microsoft.com/office/spreadsheetml/2009/9/main" objectType="CheckBox" lockText="1" noThreeD="1"/>
</file>

<file path=xl/ctrlProps/ctrlProp569.xml><?xml version="1.0" encoding="utf-8"?>
<formControlPr xmlns="http://schemas.microsoft.com/office/spreadsheetml/2009/9/main" objectType="CheckBox" lockText="1" noThreeD="1"/>
</file>

<file path=xl/ctrlProps/ctrlProp570.xml><?xml version="1.0" encoding="utf-8"?>
<formControlPr xmlns="http://schemas.microsoft.com/office/spreadsheetml/2009/9/main" objectType="CheckBox" checked="Checked" lockText="1" noThreeD="1"/>
</file>

<file path=xl/ctrlProps/ctrlProp571.xml><?xml version="1.0" encoding="utf-8"?>
<formControlPr xmlns="http://schemas.microsoft.com/office/spreadsheetml/2009/9/main" objectType="CheckBox" lockText="1" noThreeD="1"/>
</file>

<file path=xl/ctrlProps/ctrlProp572.xml><?xml version="1.0" encoding="utf-8"?>
<formControlPr xmlns="http://schemas.microsoft.com/office/spreadsheetml/2009/9/main" objectType="CheckBox" checked="Checked" lockText="1" noThreeD="1"/>
</file>

<file path=xl/ctrlProps/ctrlProp573.xml><?xml version="1.0" encoding="utf-8"?>
<formControlPr xmlns="http://schemas.microsoft.com/office/spreadsheetml/2009/9/main" objectType="CheckBox" lockText="1" noThreeD="1"/>
</file>

<file path=xl/ctrlProps/ctrlProp574.xml><?xml version="1.0" encoding="utf-8"?>
<formControlPr xmlns="http://schemas.microsoft.com/office/spreadsheetml/2009/9/main" objectType="CheckBox" lockText="1" noThreeD="1"/>
</file>

<file path=xl/ctrlProps/ctrlProp575.xml><?xml version="1.0" encoding="utf-8"?>
<formControlPr xmlns="http://schemas.microsoft.com/office/spreadsheetml/2009/9/main" objectType="CheckBox" checked="Checked" lockText="1" noThreeD="1"/>
</file>

<file path=xl/ctrlProps/ctrlProp576.xml><?xml version="1.0" encoding="utf-8"?>
<formControlPr xmlns="http://schemas.microsoft.com/office/spreadsheetml/2009/9/main" objectType="CheckBox" lockText="1" noThreeD="1"/>
</file>

<file path=xl/ctrlProps/ctrlProp577.xml><?xml version="1.0" encoding="utf-8"?>
<formControlPr xmlns="http://schemas.microsoft.com/office/spreadsheetml/2009/9/main" objectType="CheckBox" lockText="1" noThreeD="1"/>
</file>

<file path=xl/ctrlProps/ctrlProp578.xml><?xml version="1.0" encoding="utf-8"?>
<formControlPr xmlns="http://schemas.microsoft.com/office/spreadsheetml/2009/9/main" objectType="CheckBox" lockText="1" noThreeD="1"/>
</file>

<file path=xl/ctrlProps/ctrlProp579.xml><?xml version="1.0" encoding="utf-8"?>
<formControlPr xmlns="http://schemas.microsoft.com/office/spreadsheetml/2009/9/main" objectType="CheckBox" checked="Checked" lockText="1" noThreeD="1"/>
</file>

<file path=xl/ctrlProps/ctrlProp580.xml><?xml version="1.0" encoding="utf-8"?>
<formControlPr xmlns="http://schemas.microsoft.com/office/spreadsheetml/2009/9/main" objectType="CheckBox" checked="Checked" lockText="1" noThreeD="1"/>
</file>

<file path=xl/ctrlProps/ctrlProp581.xml><?xml version="1.0" encoding="utf-8"?>
<formControlPr xmlns="http://schemas.microsoft.com/office/spreadsheetml/2009/9/main" objectType="CheckBox" lockText="1" noThreeD="1"/>
</file>

<file path=xl/ctrlProps/ctrlProp582.xml><?xml version="1.0" encoding="utf-8"?>
<formControlPr xmlns="http://schemas.microsoft.com/office/spreadsheetml/2009/9/main" objectType="CheckBox" lockText="1" noThreeD="1"/>
</file>

<file path=xl/ctrlProps/ctrlProp583.xml><?xml version="1.0" encoding="utf-8"?>
<formControlPr xmlns="http://schemas.microsoft.com/office/spreadsheetml/2009/9/main" objectType="CheckBox" lockText="1" noThreeD="1"/>
</file>

<file path=xl/ctrlProps/ctrlProp584.xml><?xml version="1.0" encoding="utf-8"?>
<formControlPr xmlns="http://schemas.microsoft.com/office/spreadsheetml/2009/9/main" objectType="CheckBox" checked="Checked" lockText="1" noThreeD="1"/>
</file>

<file path=xl/ctrlProps/ctrlProp585.xml><?xml version="1.0" encoding="utf-8"?>
<formControlPr xmlns="http://schemas.microsoft.com/office/spreadsheetml/2009/9/main" objectType="CheckBox" lockText="1" noThreeD="1"/>
</file>

<file path=xl/ctrlProps/ctrlProp586.xml><?xml version="1.0" encoding="utf-8"?>
<formControlPr xmlns="http://schemas.microsoft.com/office/spreadsheetml/2009/9/main" objectType="CheckBox" checked="Checked" lockText="1" noThreeD="1"/>
</file>

<file path=xl/ctrlProps/ctrlProp587.xml><?xml version="1.0" encoding="utf-8"?>
<formControlPr xmlns="http://schemas.microsoft.com/office/spreadsheetml/2009/9/main" objectType="CheckBox" lockText="1" noThreeD="1"/>
</file>

<file path=xl/ctrlProps/ctrlProp588.xml><?xml version="1.0" encoding="utf-8"?>
<formControlPr xmlns="http://schemas.microsoft.com/office/spreadsheetml/2009/9/main" objectType="CheckBox" lockText="1" noThreeD="1"/>
</file>

<file path=xl/ctrlProps/ctrlProp589.xml><?xml version="1.0" encoding="utf-8"?>
<formControlPr xmlns="http://schemas.microsoft.com/office/spreadsheetml/2009/9/main" objectType="CheckBox" lockText="1" noThreeD="1"/>
</file>

<file path=xl/ctrlProps/ctrlProp590.xml><?xml version="1.0" encoding="utf-8"?>
<formControlPr xmlns="http://schemas.microsoft.com/office/spreadsheetml/2009/9/main" objectType="CheckBox" checked="Checked" lockText="1" noThreeD="1"/>
</file>

<file path=xl/ctrlProps/ctrlProp591.xml><?xml version="1.0" encoding="utf-8"?>
<formControlPr xmlns="http://schemas.microsoft.com/office/spreadsheetml/2009/9/main" objectType="CheckBox" lockText="1" noThreeD="1"/>
</file>

<file path=xl/ctrlProps/ctrlProp592.xml><?xml version="1.0" encoding="utf-8"?>
<formControlPr xmlns="http://schemas.microsoft.com/office/spreadsheetml/2009/9/main" objectType="CheckBox" lockText="1" noThreeD="1"/>
</file>

<file path=xl/ctrlProps/ctrlProp593.xml><?xml version="1.0" encoding="utf-8"?>
<formControlPr xmlns="http://schemas.microsoft.com/office/spreadsheetml/2009/9/main" objectType="CheckBox" checked="Checked" lockText="1" noThreeD="1"/>
</file>

<file path=xl/ctrlProps/ctrlProp594.xml><?xml version="1.0" encoding="utf-8"?>
<formControlPr xmlns="http://schemas.microsoft.com/office/spreadsheetml/2009/9/main" objectType="CheckBox" lockText="1" noThreeD="1"/>
</file>

<file path=xl/ctrlProps/ctrlProp595.xml><?xml version="1.0" encoding="utf-8"?>
<formControlPr xmlns="http://schemas.microsoft.com/office/spreadsheetml/2009/9/main" objectType="CheckBox" checked="Checked" lockText="1" noThreeD="1"/>
</file>

<file path=xl/ctrlProps/ctrlProp596.xml><?xml version="1.0" encoding="utf-8"?>
<formControlPr xmlns="http://schemas.microsoft.com/office/spreadsheetml/2009/9/main" objectType="CheckBox" lockText="1" noThreeD="1"/>
</file>

<file path=xl/ctrlProps/ctrlProp597.xml><?xml version="1.0" encoding="utf-8"?>
<formControlPr xmlns="http://schemas.microsoft.com/office/spreadsheetml/2009/9/main" objectType="CheckBox" lockText="1" noThreeD="1"/>
</file>

<file path=xl/ctrlProps/ctrlProp598.xml><?xml version="1.0" encoding="utf-8"?>
<formControlPr xmlns="http://schemas.microsoft.com/office/spreadsheetml/2009/9/main" objectType="CheckBox" checked="Checked" lockText="1" noThreeD="1"/>
</file>

<file path=xl/ctrlProps/ctrlProp599.xml><?xml version="1.0" encoding="utf-8"?>
<formControlPr xmlns="http://schemas.microsoft.com/office/spreadsheetml/2009/9/main" objectType="CheckBox" lockText="1" noThreeD="1"/>
</file>

<file path=xl/ctrlProps/ctrlProp600.xml><?xml version="1.0" encoding="utf-8"?>
<formControlPr xmlns="http://schemas.microsoft.com/office/spreadsheetml/2009/9/main" objectType="CheckBox" lockText="1" noThreeD="1"/>
</file>

<file path=xl/ctrlProps/ctrlProp601.xml><?xml version="1.0" encoding="utf-8"?>
<formControlPr xmlns="http://schemas.microsoft.com/office/spreadsheetml/2009/9/main" objectType="CheckBox" lockText="1" noThreeD="1"/>
</file>

<file path=xl/ctrlProps/ctrlProp602.xml><?xml version="1.0" encoding="utf-8"?>
<formControlPr xmlns="http://schemas.microsoft.com/office/spreadsheetml/2009/9/main" objectType="CheckBox" checked="Checked" lockText="1" noThreeD="1"/>
</file>

<file path=xl/ctrlProps/ctrlProp603.xml><?xml version="1.0" encoding="utf-8"?>
<formControlPr xmlns="http://schemas.microsoft.com/office/spreadsheetml/2009/9/main" objectType="CheckBox" lockText="1" noThreeD="1"/>
</file>

<file path=xl/ctrlProps/ctrlProp604.xml><?xml version="1.0" encoding="utf-8"?>
<formControlPr xmlns="http://schemas.microsoft.com/office/spreadsheetml/2009/9/main" objectType="CheckBox" checked="Checked" lockText="1" noThreeD="1"/>
</file>

<file path=xl/ctrlProps/ctrlProp605.xml><?xml version="1.0" encoding="utf-8"?>
<formControlPr xmlns="http://schemas.microsoft.com/office/spreadsheetml/2009/9/main" objectType="CheckBox" lockText="1" noThreeD="1"/>
</file>

<file path=xl/ctrlProps/ctrlProp606.xml><?xml version="1.0" encoding="utf-8"?>
<formControlPr xmlns="http://schemas.microsoft.com/office/spreadsheetml/2009/9/main" objectType="CheckBox" lockText="1" noThreeD="1"/>
</file>

<file path=xl/ctrlProps/ctrlProp607.xml><?xml version="1.0" encoding="utf-8"?>
<formControlPr xmlns="http://schemas.microsoft.com/office/spreadsheetml/2009/9/main" objectType="CheckBox" lockText="1" noThreeD="1"/>
</file>

<file path=xl/ctrlProps/ctrlProp608.xml><?xml version="1.0" encoding="utf-8"?>
<formControlPr xmlns="http://schemas.microsoft.com/office/spreadsheetml/2009/9/main" objectType="CheckBox" checked="Checked" lockText="1" noThreeD="1"/>
</file>

<file path=xl/ctrlProps/ctrlProp609.xml><?xml version="1.0" encoding="utf-8"?>
<formControlPr xmlns="http://schemas.microsoft.com/office/spreadsheetml/2009/9/main" objectType="CheckBox" lockText="1" noThreeD="1"/>
</file>

<file path=xl/ctrlProps/ctrlProp610.xml><?xml version="1.0" encoding="utf-8"?>
<formControlPr xmlns="http://schemas.microsoft.com/office/spreadsheetml/2009/9/main" objectType="CheckBox" checked="Checked" lockText="1" noThreeD="1"/>
</file>

<file path=xl/ctrlProps/ctrlProp611.xml><?xml version="1.0" encoding="utf-8"?>
<formControlPr xmlns="http://schemas.microsoft.com/office/spreadsheetml/2009/9/main" objectType="CheckBox" lockText="1" noThreeD="1"/>
</file>

<file path=xl/ctrlProps/ctrlProp612.xml><?xml version="1.0" encoding="utf-8"?>
<formControlPr xmlns="http://schemas.microsoft.com/office/spreadsheetml/2009/9/main" objectType="CheckBox" lockText="1" noThreeD="1"/>
</file>

<file path=xl/ctrlProps/ctrlProp613.xml><?xml version="1.0" encoding="utf-8"?>
<formControlPr xmlns="http://schemas.microsoft.com/office/spreadsheetml/2009/9/main" objectType="CheckBox" lockText="1" noThreeD="1"/>
</file>

<file path=xl/ctrlProps/ctrlProp614.xml><?xml version="1.0" encoding="utf-8"?>
<formControlPr xmlns="http://schemas.microsoft.com/office/spreadsheetml/2009/9/main" objectType="CheckBox" checked="Checked" lockText="1" noThreeD="1"/>
</file>

<file path=xl/ctrlProps/ctrlProp615.xml><?xml version="1.0" encoding="utf-8"?>
<formControlPr xmlns="http://schemas.microsoft.com/office/spreadsheetml/2009/9/main" objectType="CheckBox" lockText="1" noThreeD="1"/>
</file>

<file path=xl/ctrlProps/ctrlProp616.xml><?xml version="1.0" encoding="utf-8"?>
<formControlPr xmlns="http://schemas.microsoft.com/office/spreadsheetml/2009/9/main" objectType="CheckBox" lockText="1" noThreeD="1"/>
</file>

<file path=xl/ctrlProps/ctrlProp617.xml><?xml version="1.0" encoding="utf-8"?>
<formControlPr xmlns="http://schemas.microsoft.com/office/spreadsheetml/2009/9/main" objectType="CheckBox" checked="Checked" lockText="1" noThreeD="1"/>
</file>

<file path=xl/ctrlProps/ctrlProp618.xml><?xml version="1.0" encoding="utf-8"?>
<formControlPr xmlns="http://schemas.microsoft.com/office/spreadsheetml/2009/9/main" objectType="CheckBox" lockText="1" noThreeD="1"/>
</file>

<file path=xl/ctrlProps/ctrlProp619.xml><?xml version="1.0" encoding="utf-8"?>
<formControlPr xmlns="http://schemas.microsoft.com/office/spreadsheetml/2009/9/main" objectType="CheckBox" lockText="1" noThreeD="1"/>
</file>

<file path=xl/ctrlProps/ctrlProp620.xml><?xml version="1.0" encoding="utf-8"?>
<formControlPr xmlns="http://schemas.microsoft.com/office/spreadsheetml/2009/9/main" objectType="CheckBox" lockText="1" noThreeD="1"/>
</file>

<file path=xl/ctrlProps/ctrlProp621.xml><?xml version="1.0" encoding="utf-8"?>
<formControlPr xmlns="http://schemas.microsoft.com/office/spreadsheetml/2009/9/main" objectType="CheckBox" checked="Checked" lockText="1" noThreeD="1"/>
</file>

<file path=xl/ctrlProps/ctrlProp622.xml><?xml version="1.0" encoding="utf-8"?>
<formControlPr xmlns="http://schemas.microsoft.com/office/spreadsheetml/2009/9/main" objectType="CheckBox" lockText="1" noThreeD="1"/>
</file>

<file path=xl/ctrlProps/ctrlProp623.xml><?xml version="1.0" encoding="utf-8"?>
<formControlPr xmlns="http://schemas.microsoft.com/office/spreadsheetml/2009/9/main" objectType="CheckBox" checked="Checked" lockText="1" noThreeD="1"/>
</file>

<file path=xl/ctrlProps/ctrlProp624.xml><?xml version="1.0" encoding="utf-8"?>
<formControlPr xmlns="http://schemas.microsoft.com/office/spreadsheetml/2009/9/main" objectType="CheckBox" lockText="1" noThreeD="1"/>
</file>

<file path=xl/ctrlProps/ctrlProp625.xml><?xml version="1.0" encoding="utf-8"?>
<formControlPr xmlns="http://schemas.microsoft.com/office/spreadsheetml/2009/9/main" objectType="CheckBox" lockText="1" noThreeD="1"/>
</file>

<file path=xl/ctrlProps/ctrlProp626.xml><?xml version="1.0" encoding="utf-8"?>
<formControlPr xmlns="http://schemas.microsoft.com/office/spreadsheetml/2009/9/main" objectType="CheckBox" lockText="1" noThreeD="1"/>
</file>

<file path=xl/ctrlProps/ctrlProp627.xml><?xml version="1.0" encoding="utf-8"?>
<formControlPr xmlns="http://schemas.microsoft.com/office/spreadsheetml/2009/9/main" objectType="CheckBox" checked="Checked" lockText="1" noThreeD="1"/>
</file>

<file path=xl/ctrlProps/ctrlProp628.xml><?xml version="1.0" encoding="utf-8"?>
<formControlPr xmlns="http://schemas.microsoft.com/office/spreadsheetml/2009/9/main" objectType="CheckBox" lockText="1" noThreeD="1"/>
</file>

<file path=xl/ctrlProps/ctrlProp629.xml><?xml version="1.0" encoding="utf-8"?>
<formControlPr xmlns="http://schemas.microsoft.com/office/spreadsheetml/2009/9/main" objectType="CheckBox" checked="Checked" lockText="1" noThreeD="1"/>
</file>

<file path=xl/ctrlProps/ctrlProp630.xml><?xml version="1.0" encoding="utf-8"?>
<formControlPr xmlns="http://schemas.microsoft.com/office/spreadsheetml/2009/9/main" objectType="CheckBox" lockText="1" noThreeD="1"/>
</file>

<file path=xl/ctrlProps/ctrlProp631.xml><?xml version="1.0" encoding="utf-8"?>
<formControlPr xmlns="http://schemas.microsoft.com/office/spreadsheetml/2009/9/main" objectType="CheckBox" lockText="1" noThreeD="1"/>
</file>

<file path=xl/ctrlProps/ctrlProp632.xml><?xml version="1.0" encoding="utf-8"?>
<formControlPr xmlns="http://schemas.microsoft.com/office/spreadsheetml/2009/9/main" objectType="CheckBox" checked="Checked" lockText="1" noThreeD="1"/>
</file>

<file path=xl/ctrlProps/ctrlProp633.xml><?xml version="1.0" encoding="utf-8"?>
<formControlPr xmlns="http://schemas.microsoft.com/office/spreadsheetml/2009/9/main" objectType="CheckBox" lockText="1" noThreeD="1"/>
</file>

<file path=xl/ctrlProps/ctrlProp634.xml><?xml version="1.0" encoding="utf-8"?>
<formControlPr xmlns="http://schemas.microsoft.com/office/spreadsheetml/2009/9/main" objectType="CheckBox" lockText="1" noThreeD="1"/>
</file>

<file path=xl/ctrlProps/ctrlProp635.xml><?xml version="1.0" encoding="utf-8"?>
<formControlPr xmlns="http://schemas.microsoft.com/office/spreadsheetml/2009/9/main" objectType="CheckBox" checked="Checked" lockText="1" noThreeD="1"/>
</file>

<file path=xl/ctrlProps/ctrlProp636.xml><?xml version="1.0" encoding="utf-8"?>
<formControlPr xmlns="http://schemas.microsoft.com/office/spreadsheetml/2009/9/main" objectType="CheckBox" lockText="1" noThreeD="1"/>
</file>

<file path=xl/ctrlProps/ctrlProp637.xml><?xml version="1.0" encoding="utf-8"?>
<formControlPr xmlns="http://schemas.microsoft.com/office/spreadsheetml/2009/9/main" objectType="CheckBox" lockText="1" noThreeD="1"/>
</file>

<file path=xl/ctrlProps/ctrlProp638.xml><?xml version="1.0" encoding="utf-8"?>
<formControlPr xmlns="http://schemas.microsoft.com/office/spreadsheetml/2009/9/main" objectType="CheckBox" checked="Checked" lockText="1" noThreeD="1"/>
</file>

<file path=xl/ctrlProps/ctrlProp639.xml><?xml version="1.0" encoding="utf-8"?>
<formControlPr xmlns="http://schemas.microsoft.com/office/spreadsheetml/2009/9/main" objectType="CheckBox" lockText="1" noThreeD="1"/>
</file>

<file path=xl/ctrlProps/ctrlProp640.xml><?xml version="1.0" encoding="utf-8"?>
<formControlPr xmlns="http://schemas.microsoft.com/office/spreadsheetml/2009/9/main" objectType="CheckBox" lockText="1" noThreeD="1"/>
</file>

<file path=xl/ctrlProps/ctrlProp641.xml><?xml version="1.0" encoding="utf-8"?>
<formControlPr xmlns="http://schemas.microsoft.com/office/spreadsheetml/2009/9/main" objectType="CheckBox" checked="Checked" lockText="1" noThreeD="1"/>
</file>

<file path=xl/ctrlProps/ctrlProp642.xml><?xml version="1.0" encoding="utf-8"?>
<formControlPr xmlns="http://schemas.microsoft.com/office/spreadsheetml/2009/9/main" objectType="CheckBox" lockText="1" noThreeD="1"/>
</file>

<file path=xl/ctrlProps/ctrlProp643.xml><?xml version="1.0" encoding="utf-8"?>
<formControlPr xmlns="http://schemas.microsoft.com/office/spreadsheetml/2009/9/main" objectType="CheckBox" lockText="1" noThreeD="1"/>
</file>

<file path=xl/ctrlProps/ctrlProp644.xml><?xml version="1.0" encoding="utf-8"?>
<formControlPr xmlns="http://schemas.microsoft.com/office/spreadsheetml/2009/9/main" objectType="CheckBox" checked="Checked" lockText="1" noThreeD="1"/>
</file>

<file path=xl/ctrlProps/ctrlProp645.xml><?xml version="1.0" encoding="utf-8"?>
<formControlPr xmlns="http://schemas.microsoft.com/office/spreadsheetml/2009/9/main" objectType="CheckBox" lockText="1" noThreeD="1"/>
</file>

<file path=xl/ctrlProps/ctrlProp646.xml><?xml version="1.0" encoding="utf-8"?>
<formControlPr xmlns="http://schemas.microsoft.com/office/spreadsheetml/2009/9/main" objectType="CheckBox" checked="Checked" lockText="1" noThreeD="1"/>
</file>

<file path=xl/ctrlProps/ctrlProp647.xml><?xml version="1.0" encoding="utf-8"?>
<formControlPr xmlns="http://schemas.microsoft.com/office/spreadsheetml/2009/9/main" objectType="CheckBox" lockText="1" noThreeD="1"/>
</file>

<file path=xl/ctrlProps/ctrlProp648.xml><?xml version="1.0" encoding="utf-8"?>
<formControlPr xmlns="http://schemas.microsoft.com/office/spreadsheetml/2009/9/main" objectType="CheckBox" lockText="1" noThreeD="1"/>
</file>

<file path=xl/ctrlProps/ctrlProp649.xml><?xml version="1.0" encoding="utf-8"?>
<formControlPr xmlns="http://schemas.microsoft.com/office/spreadsheetml/2009/9/main" objectType="CheckBox" checked="Checked" lockText="1" noThreeD="1"/>
</file>

<file path=xl/ctrlProps/ctrlProp650.xml><?xml version="1.0" encoding="utf-8"?>
<formControlPr xmlns="http://schemas.microsoft.com/office/spreadsheetml/2009/9/main" objectType="CheckBox" lockText="1" noThreeD="1"/>
</file>

<file path=xl/ctrlProps/ctrlProp651.xml><?xml version="1.0" encoding="utf-8"?>
<formControlPr xmlns="http://schemas.microsoft.com/office/spreadsheetml/2009/9/main" objectType="CheckBox" lockText="1" noThreeD="1"/>
</file>

<file path=xl/ctrlProps/ctrlProp652.xml><?xml version="1.0" encoding="utf-8"?>
<formControlPr xmlns="http://schemas.microsoft.com/office/spreadsheetml/2009/9/main" objectType="CheckBox" lockText="1" noThreeD="1"/>
</file>

<file path=xl/ctrlProps/ctrlProp653.xml><?xml version="1.0" encoding="utf-8"?>
<formControlPr xmlns="http://schemas.microsoft.com/office/spreadsheetml/2009/9/main" objectType="CheckBox" checked="Checked" lockText="1" noThreeD="1"/>
</file>

<file path=xl/ctrlProps/ctrlProp654.xml><?xml version="1.0" encoding="utf-8"?>
<formControlPr xmlns="http://schemas.microsoft.com/office/spreadsheetml/2009/9/main" objectType="CheckBox" lockText="1" noThreeD="1"/>
</file>

<file path=xl/ctrlProps/ctrlProp655.xml><?xml version="1.0" encoding="utf-8"?>
<formControlPr xmlns="http://schemas.microsoft.com/office/spreadsheetml/2009/9/main" objectType="CheckBox" lockText="1" noThreeD="1"/>
</file>

<file path=xl/ctrlProps/ctrlProp656.xml><?xml version="1.0" encoding="utf-8"?>
<formControlPr xmlns="http://schemas.microsoft.com/office/spreadsheetml/2009/9/main" objectType="CheckBox" checked="Checked" lockText="1" noThreeD="1"/>
</file>

<file path=xl/ctrlProps/ctrlProp657.xml><?xml version="1.0" encoding="utf-8"?>
<formControlPr xmlns="http://schemas.microsoft.com/office/spreadsheetml/2009/9/main" objectType="CheckBox" lockText="1" noThreeD="1"/>
</file>

<file path=xl/ctrlProps/ctrlProp658.xml><?xml version="1.0" encoding="utf-8"?>
<formControlPr xmlns="http://schemas.microsoft.com/office/spreadsheetml/2009/9/main" objectType="CheckBox" lockText="1" noThreeD="1"/>
</file>

<file path=xl/ctrlProps/ctrlProp659.xml><?xml version="1.0" encoding="utf-8"?>
<formControlPr xmlns="http://schemas.microsoft.com/office/spreadsheetml/2009/9/main" objectType="CheckBox" lockText="1" noThreeD="1"/>
</file>

<file path=xl/ctrlProps/ctrlProp660.xml><?xml version="1.0" encoding="utf-8"?>
<formControlPr xmlns="http://schemas.microsoft.com/office/spreadsheetml/2009/9/main" objectType="CheckBox" checked="Checked" lockText="1" noThreeD="1"/>
</file>

<file path=xl/ctrlProps/ctrlProp661.xml><?xml version="1.0" encoding="utf-8"?>
<formControlPr xmlns="http://schemas.microsoft.com/office/spreadsheetml/2009/9/main" objectType="CheckBox" lockText="1" noThreeD="1"/>
</file>

<file path=xl/ctrlProps/ctrlProp662.xml><?xml version="1.0" encoding="utf-8"?>
<formControlPr xmlns="http://schemas.microsoft.com/office/spreadsheetml/2009/9/main" objectType="CheckBox" checked="Checked" lockText="1" noThreeD="1"/>
</file>

<file path=xl/ctrlProps/ctrlProp663.xml><?xml version="1.0" encoding="utf-8"?>
<formControlPr xmlns="http://schemas.microsoft.com/office/spreadsheetml/2009/9/main" objectType="CheckBox" lockText="1" noThreeD="1"/>
</file>

<file path=xl/ctrlProps/ctrlProp664.xml><?xml version="1.0" encoding="utf-8"?>
<formControlPr xmlns="http://schemas.microsoft.com/office/spreadsheetml/2009/9/main" objectType="CheckBox" lockText="1" noThreeD="1"/>
</file>

<file path=xl/ctrlProps/ctrlProp665.xml><?xml version="1.0" encoding="utf-8"?>
<formControlPr xmlns="http://schemas.microsoft.com/office/spreadsheetml/2009/9/main" objectType="CheckBox" lockText="1" noThreeD="1"/>
</file>

<file path=xl/ctrlProps/ctrlProp666.xml><?xml version="1.0" encoding="utf-8"?>
<formControlPr xmlns="http://schemas.microsoft.com/office/spreadsheetml/2009/9/main" objectType="CheckBox" checked="Checked" lockText="1" noThreeD="1"/>
</file>

<file path=xl/ctrlProps/ctrlProp667.xml><?xml version="1.0" encoding="utf-8"?>
<formControlPr xmlns="http://schemas.microsoft.com/office/spreadsheetml/2009/9/main" objectType="CheckBox" lockText="1" noThreeD="1"/>
</file>

<file path=xl/ctrlProps/ctrlProp668.xml><?xml version="1.0" encoding="utf-8"?>
<formControlPr xmlns="http://schemas.microsoft.com/office/spreadsheetml/2009/9/main" objectType="CheckBox" checked="Checked" lockText="1" noThreeD="1"/>
</file>

<file path=xl/ctrlProps/ctrlProp669.xml><?xml version="1.0" encoding="utf-8"?>
<formControlPr xmlns="http://schemas.microsoft.com/office/spreadsheetml/2009/9/main" objectType="CheckBox" lockText="1" noThreeD="1"/>
</file>

<file path=xl/ctrlProps/ctrlProp670.xml><?xml version="1.0" encoding="utf-8"?>
<formControlPr xmlns="http://schemas.microsoft.com/office/spreadsheetml/2009/9/main" objectType="CheckBox" lockText="1" noThreeD="1"/>
</file>

<file path=xl/ctrlProps/ctrlProp671.xml><?xml version="1.0" encoding="utf-8"?>
<formControlPr xmlns="http://schemas.microsoft.com/office/spreadsheetml/2009/9/main" objectType="CheckBox" lockText="1" noThreeD="1"/>
</file>

<file path=xl/ctrlProps/ctrlProp672.xml><?xml version="1.0" encoding="utf-8"?>
<formControlPr xmlns="http://schemas.microsoft.com/office/spreadsheetml/2009/9/main" objectType="CheckBox" checked="Checked" lockText="1" noThreeD="1"/>
</file>

<file path=xl/ctrlProps/ctrlProp673.xml><?xml version="1.0" encoding="utf-8"?>
<formControlPr xmlns="http://schemas.microsoft.com/office/spreadsheetml/2009/9/main" objectType="CheckBox" lockText="1" noThreeD="1"/>
</file>

<file path=xl/ctrlProps/ctrlProp674.xml><?xml version="1.0" encoding="utf-8"?>
<formControlPr xmlns="http://schemas.microsoft.com/office/spreadsheetml/2009/9/main" objectType="CheckBox" checked="Checked" lockText="1" noThreeD="1"/>
</file>

<file path=xl/ctrlProps/ctrlProp675.xml><?xml version="1.0" encoding="utf-8"?>
<formControlPr xmlns="http://schemas.microsoft.com/office/spreadsheetml/2009/9/main" objectType="CheckBox" lockText="1" noThreeD="1"/>
</file>

<file path=xl/ctrlProps/ctrlProp676.xml><?xml version="1.0" encoding="utf-8"?>
<formControlPr xmlns="http://schemas.microsoft.com/office/spreadsheetml/2009/9/main" objectType="CheckBox" lockText="1" noThreeD="1"/>
</file>

<file path=xl/ctrlProps/ctrlProp677.xml><?xml version="1.0" encoding="utf-8"?>
<formControlPr xmlns="http://schemas.microsoft.com/office/spreadsheetml/2009/9/main" objectType="CheckBox" lockText="1" noThreeD="1"/>
</file>

<file path=xl/ctrlProps/ctrlProp678.xml><?xml version="1.0" encoding="utf-8"?>
<formControlPr xmlns="http://schemas.microsoft.com/office/spreadsheetml/2009/9/main" objectType="CheckBox" checked="Checked" lockText="1" noThreeD="1"/>
</file>

<file path=xl/ctrlProps/ctrlProp679.xml><?xml version="1.0" encoding="utf-8"?>
<formControlPr xmlns="http://schemas.microsoft.com/office/spreadsheetml/2009/9/main" objectType="CheckBox" checked="Checked" lockText="1" noThreeD="1"/>
</file>

<file path=xl/ctrlProps/ctrlProp680.xml><?xml version="1.0" encoding="utf-8"?>
<formControlPr xmlns="http://schemas.microsoft.com/office/spreadsheetml/2009/9/main" objectType="CheckBox" lockText="1" noThreeD="1"/>
</file>

<file path=xl/ctrlProps/ctrlProp681.xml><?xml version="1.0" encoding="utf-8"?>
<formControlPr xmlns="http://schemas.microsoft.com/office/spreadsheetml/2009/9/main" objectType="CheckBox" lockText="1" noThreeD="1"/>
</file>

<file path=xl/ctrlProps/ctrlProp682.xml><?xml version="1.0" encoding="utf-8"?>
<formControlPr xmlns="http://schemas.microsoft.com/office/spreadsheetml/2009/9/main" objectType="CheckBox" checked="Checked" lockText="1" noThreeD="1"/>
</file>

<file path=xl/ctrlProps/ctrlProp683.xml><?xml version="1.0" encoding="utf-8"?>
<formControlPr xmlns="http://schemas.microsoft.com/office/spreadsheetml/2009/9/main" objectType="CheckBox" lockText="1" noThreeD="1"/>
</file>

<file path=xl/ctrlProps/ctrlProp684.xml><?xml version="1.0" encoding="utf-8"?>
<formControlPr xmlns="http://schemas.microsoft.com/office/spreadsheetml/2009/9/main" objectType="CheckBox" lockText="1" noThreeD="1"/>
</file>

<file path=xl/ctrlProps/ctrlProp685.xml><?xml version="1.0" encoding="utf-8"?>
<formControlPr xmlns="http://schemas.microsoft.com/office/spreadsheetml/2009/9/main" objectType="CheckBox" checked="Checked" lockText="1" noThreeD="1"/>
</file>

<file path=xl/ctrlProps/ctrlProp686.xml><?xml version="1.0" encoding="utf-8"?>
<formControlPr xmlns="http://schemas.microsoft.com/office/spreadsheetml/2009/9/main" objectType="CheckBox" lockText="1" noThreeD="1"/>
</file>

<file path=xl/ctrlProps/ctrlProp68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4.png"/><Relationship Id="rId2" Type="http://schemas.openxmlformats.org/officeDocument/2006/relationships/image" Target="../media/image12.png"/><Relationship Id="rId1" Type="http://schemas.openxmlformats.org/officeDocument/2006/relationships/image" Target="../media/image43.png"/><Relationship Id="rId4" Type="http://schemas.openxmlformats.org/officeDocument/2006/relationships/image" Target="../media/image45.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1.emf"/><Relationship Id="rId13" Type="http://schemas.openxmlformats.org/officeDocument/2006/relationships/image" Target="../media/image26.emf"/><Relationship Id="rId18" Type="http://schemas.openxmlformats.org/officeDocument/2006/relationships/image" Target="../media/image31.emf"/><Relationship Id="rId26" Type="http://schemas.openxmlformats.org/officeDocument/2006/relationships/image" Target="../media/image15.emf"/><Relationship Id="rId3" Type="http://schemas.openxmlformats.org/officeDocument/2006/relationships/image" Target="../media/image16.emf"/><Relationship Id="rId21" Type="http://schemas.openxmlformats.org/officeDocument/2006/relationships/image" Target="../media/image34.emf"/><Relationship Id="rId7" Type="http://schemas.openxmlformats.org/officeDocument/2006/relationships/image" Target="../media/image20.emf"/><Relationship Id="rId12" Type="http://schemas.openxmlformats.org/officeDocument/2006/relationships/image" Target="../media/image25.emf"/><Relationship Id="rId17" Type="http://schemas.openxmlformats.org/officeDocument/2006/relationships/image" Target="../media/image30.emf"/><Relationship Id="rId25" Type="http://schemas.openxmlformats.org/officeDocument/2006/relationships/image" Target="../media/image38.emf"/><Relationship Id="rId2" Type="http://schemas.openxmlformats.org/officeDocument/2006/relationships/image" Target="../media/image14.emf"/><Relationship Id="rId16" Type="http://schemas.openxmlformats.org/officeDocument/2006/relationships/image" Target="../media/image29.emf"/><Relationship Id="rId20" Type="http://schemas.openxmlformats.org/officeDocument/2006/relationships/image" Target="../media/image33.emf"/><Relationship Id="rId29" Type="http://schemas.openxmlformats.org/officeDocument/2006/relationships/image" Target="../media/image41.emf"/><Relationship Id="rId1" Type="http://schemas.openxmlformats.org/officeDocument/2006/relationships/image" Target="../media/image13.emf"/><Relationship Id="rId6" Type="http://schemas.openxmlformats.org/officeDocument/2006/relationships/image" Target="../media/image19.emf"/><Relationship Id="rId11" Type="http://schemas.openxmlformats.org/officeDocument/2006/relationships/image" Target="../media/image24.emf"/><Relationship Id="rId24" Type="http://schemas.openxmlformats.org/officeDocument/2006/relationships/image" Target="../media/image37.emf"/><Relationship Id="rId5" Type="http://schemas.openxmlformats.org/officeDocument/2006/relationships/image" Target="../media/image18.emf"/><Relationship Id="rId15" Type="http://schemas.openxmlformats.org/officeDocument/2006/relationships/image" Target="../media/image28.emf"/><Relationship Id="rId23" Type="http://schemas.openxmlformats.org/officeDocument/2006/relationships/image" Target="../media/image36.emf"/><Relationship Id="rId28" Type="http://schemas.openxmlformats.org/officeDocument/2006/relationships/image" Target="../media/image40.emf"/><Relationship Id="rId10" Type="http://schemas.openxmlformats.org/officeDocument/2006/relationships/image" Target="../media/image23.emf"/><Relationship Id="rId19" Type="http://schemas.openxmlformats.org/officeDocument/2006/relationships/image" Target="../media/image32.emf"/><Relationship Id="rId4" Type="http://schemas.openxmlformats.org/officeDocument/2006/relationships/image" Target="../media/image17.emf"/><Relationship Id="rId9" Type="http://schemas.openxmlformats.org/officeDocument/2006/relationships/image" Target="../media/image22.emf"/><Relationship Id="rId14" Type="http://schemas.openxmlformats.org/officeDocument/2006/relationships/image" Target="../media/image27.emf"/><Relationship Id="rId22" Type="http://schemas.openxmlformats.org/officeDocument/2006/relationships/image" Target="../media/image35.emf"/><Relationship Id="rId27" Type="http://schemas.openxmlformats.org/officeDocument/2006/relationships/image" Target="../media/image39.emf"/><Relationship Id="rId30"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editAs="absolute">
    <xdr:from>
      <xdr:col>0</xdr:col>
      <xdr:colOff>45981</xdr:colOff>
      <xdr:row>0</xdr:row>
      <xdr:rowOff>52242</xdr:rowOff>
    </xdr:from>
    <xdr:to>
      <xdr:col>18</xdr:col>
      <xdr:colOff>0</xdr:colOff>
      <xdr:row>44</xdr:row>
      <xdr:rowOff>108857</xdr:rowOff>
    </xdr:to>
    <xdr:grpSp>
      <xdr:nvGrpSpPr>
        <xdr:cNvPr id="2" name="Goup1"/>
        <xdr:cNvGrpSpPr>
          <a:grpSpLocks noChangeAspect="1"/>
        </xdr:cNvGrpSpPr>
      </xdr:nvGrpSpPr>
      <xdr:grpSpPr bwMode="auto">
        <a:xfrm>
          <a:off x="45981" y="52242"/>
          <a:ext cx="12663090" cy="8452222"/>
          <a:chOff x="39703" y="89647"/>
          <a:chExt cx="12539582" cy="8709212"/>
        </a:xfrm>
      </xdr:grpSpPr>
      <xdr:sp macro="" textlink="">
        <xdr:nvSpPr>
          <xdr:cNvPr id="3" name="blueframe2"/>
          <xdr:cNvSpPr/>
        </xdr:nvSpPr>
        <xdr:spPr bwMode="auto">
          <a:xfrm>
            <a:off x="55469" y="89647"/>
            <a:ext cx="12517530" cy="7745679"/>
          </a:xfrm>
          <a:prstGeom prst="round2SameRect">
            <a:avLst>
              <a:gd name="adj1" fmla="val 5721"/>
              <a:gd name="adj2" fmla="val 0"/>
            </a:avLst>
          </a:prstGeom>
          <a:noFill/>
          <a:ln w="28575" cap="flat" cmpd="sng" algn="ctr">
            <a:solidFill>
              <a:srgbClr val="1F4B7D"/>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4" name="blueframe1"/>
          <xdr:cNvSpPr/>
        </xdr:nvSpPr>
        <xdr:spPr bwMode="auto">
          <a:xfrm rot="10800000">
            <a:off x="39703" y="7769844"/>
            <a:ext cx="12539582" cy="1029015"/>
          </a:xfrm>
          <a:prstGeom prst="round2SameRect">
            <a:avLst>
              <a:gd name="adj1" fmla="val 45000"/>
              <a:gd name="adj2" fmla="val 0"/>
            </a:avLst>
          </a:prstGeom>
          <a:solidFill>
            <a:schemeClr val="accent1">
              <a:lumMod val="50000"/>
            </a:schemeClr>
          </a:solidFill>
          <a:ln w="9525" cap="flat" cmpd="sng" algn="ctr">
            <a:solidFill>
              <a:srgbClr val="1F497D"/>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lientData/>
  </xdr:twoCellAnchor>
  <xdr:twoCellAnchor editAs="oneCell">
    <xdr:from>
      <xdr:col>3</xdr:col>
      <xdr:colOff>353786</xdr:colOff>
      <xdr:row>2</xdr:row>
      <xdr:rowOff>95250</xdr:rowOff>
    </xdr:from>
    <xdr:to>
      <xdr:col>9</xdr:col>
      <xdr:colOff>640201</xdr:colOff>
      <xdr:row>8</xdr:row>
      <xdr:rowOff>21928</xdr:rowOff>
    </xdr:to>
    <xdr:pic>
      <xdr:nvPicPr>
        <xdr:cNvPr id="5" name="Bosch_Logo"/>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4411" y="238125"/>
          <a:ext cx="4763165" cy="1107778"/>
        </a:xfrm>
        <a:prstGeom prst="rect">
          <a:avLst/>
        </a:prstGeom>
      </xdr:spPr>
    </xdr:pic>
    <xdr:clientData/>
  </xdr:twoCellAnchor>
  <xdr:twoCellAnchor editAs="oneCell">
    <xdr:from>
      <xdr:col>2</xdr:col>
      <xdr:colOff>149318</xdr:colOff>
      <xdr:row>15</xdr:row>
      <xdr:rowOff>172094</xdr:rowOff>
    </xdr:from>
    <xdr:to>
      <xdr:col>10</xdr:col>
      <xdr:colOff>730966</xdr:colOff>
      <xdr:row>38</xdr:row>
      <xdr:rowOff>64659</xdr:rowOff>
    </xdr:to>
    <xdr:pic>
      <xdr:nvPicPr>
        <xdr:cNvPr id="6" name="O_Training" hidden="1"/>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77943" y="3248669"/>
          <a:ext cx="6582398" cy="4216915"/>
        </a:xfrm>
        <a:prstGeom prst="rect">
          <a:avLst/>
        </a:prstGeom>
      </xdr:spPr>
    </xdr:pic>
    <xdr:clientData/>
  </xdr:twoCellAnchor>
  <xdr:twoCellAnchor editAs="oneCell">
    <xdr:from>
      <xdr:col>2</xdr:col>
      <xdr:colOff>145676</xdr:colOff>
      <xdr:row>15</xdr:row>
      <xdr:rowOff>172094</xdr:rowOff>
    </xdr:from>
    <xdr:to>
      <xdr:col>10</xdr:col>
      <xdr:colOff>727324</xdr:colOff>
      <xdr:row>38</xdr:row>
      <xdr:rowOff>64659</xdr:rowOff>
    </xdr:to>
    <xdr:pic>
      <xdr:nvPicPr>
        <xdr:cNvPr id="7" name="O_SimultaneousEngineering" hidden="1"/>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74301" y="3248669"/>
          <a:ext cx="6582398" cy="4216915"/>
        </a:xfrm>
        <a:prstGeom prst="rect">
          <a:avLst/>
        </a:prstGeom>
      </xdr:spPr>
    </xdr:pic>
    <xdr:clientData/>
  </xdr:twoCellAnchor>
  <xdr:twoCellAnchor editAs="oneCell">
    <xdr:from>
      <xdr:col>2</xdr:col>
      <xdr:colOff>145676</xdr:colOff>
      <xdr:row>15</xdr:row>
      <xdr:rowOff>172094</xdr:rowOff>
    </xdr:from>
    <xdr:to>
      <xdr:col>10</xdr:col>
      <xdr:colOff>727324</xdr:colOff>
      <xdr:row>38</xdr:row>
      <xdr:rowOff>64659</xdr:rowOff>
    </xdr:to>
    <xdr:pic>
      <xdr:nvPicPr>
        <xdr:cNvPr id="8" name="O_ProjectManagement" hidden="1"/>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74301" y="3248669"/>
          <a:ext cx="6582398" cy="4216915"/>
        </a:xfrm>
        <a:prstGeom prst="rect">
          <a:avLst/>
        </a:prstGeom>
      </xdr:spPr>
    </xdr:pic>
    <xdr:clientData/>
  </xdr:twoCellAnchor>
  <xdr:twoCellAnchor editAs="oneCell">
    <xdr:from>
      <xdr:col>2</xdr:col>
      <xdr:colOff>145676</xdr:colOff>
      <xdr:row>17</xdr:row>
      <xdr:rowOff>22413</xdr:rowOff>
    </xdr:from>
    <xdr:to>
      <xdr:col>10</xdr:col>
      <xdr:colOff>727324</xdr:colOff>
      <xdr:row>39</xdr:row>
      <xdr:rowOff>105478</xdr:rowOff>
    </xdr:to>
    <xdr:pic>
      <xdr:nvPicPr>
        <xdr:cNvPr id="9" name="O_ProcessOptimization" hidden="1"/>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74301" y="3460938"/>
          <a:ext cx="6582398" cy="4207390"/>
        </a:xfrm>
        <a:prstGeom prst="rect">
          <a:avLst/>
        </a:prstGeom>
      </xdr:spPr>
    </xdr:pic>
    <xdr:clientData/>
  </xdr:twoCellAnchor>
  <xdr:twoCellAnchor editAs="oneCell">
    <xdr:from>
      <xdr:col>2</xdr:col>
      <xdr:colOff>145676</xdr:colOff>
      <xdr:row>15</xdr:row>
      <xdr:rowOff>172094</xdr:rowOff>
    </xdr:from>
    <xdr:to>
      <xdr:col>10</xdr:col>
      <xdr:colOff>727324</xdr:colOff>
      <xdr:row>38</xdr:row>
      <xdr:rowOff>64659</xdr:rowOff>
    </xdr:to>
    <xdr:pic>
      <xdr:nvPicPr>
        <xdr:cNvPr id="10" name="O_ConnectedIndustrie4.0" hidden="1"/>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74301" y="3248669"/>
          <a:ext cx="6582398" cy="4216915"/>
        </a:xfrm>
        <a:prstGeom prst="rect">
          <a:avLst/>
        </a:prstGeom>
      </xdr:spPr>
    </xdr:pic>
    <xdr:clientData/>
  </xdr:twoCellAnchor>
  <xdr:twoCellAnchor editAs="oneCell">
    <xdr:from>
      <xdr:col>2</xdr:col>
      <xdr:colOff>145676</xdr:colOff>
      <xdr:row>15</xdr:row>
      <xdr:rowOff>158487</xdr:rowOff>
    </xdr:from>
    <xdr:to>
      <xdr:col>10</xdr:col>
      <xdr:colOff>727324</xdr:colOff>
      <xdr:row>38</xdr:row>
      <xdr:rowOff>51052</xdr:rowOff>
    </xdr:to>
    <xdr:pic>
      <xdr:nvPicPr>
        <xdr:cNvPr id="11" name="O_Manufacturing" hidden="1"/>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74301" y="3235062"/>
          <a:ext cx="6582398" cy="4216915"/>
        </a:xfrm>
        <a:prstGeom prst="rect">
          <a:avLst/>
        </a:prstGeom>
      </xdr:spPr>
    </xdr:pic>
    <xdr:clientData/>
  </xdr:twoCellAnchor>
  <xdr:twoCellAnchor editAs="oneCell">
    <xdr:from>
      <xdr:col>2</xdr:col>
      <xdr:colOff>145676</xdr:colOff>
      <xdr:row>15</xdr:row>
      <xdr:rowOff>158487</xdr:rowOff>
    </xdr:from>
    <xdr:to>
      <xdr:col>10</xdr:col>
      <xdr:colOff>727324</xdr:colOff>
      <xdr:row>38</xdr:row>
      <xdr:rowOff>57114</xdr:rowOff>
    </xdr:to>
    <xdr:pic>
      <xdr:nvPicPr>
        <xdr:cNvPr id="12" name="O_CMPELogo"/>
        <xdr:cNvPicPr>
          <a:picLocks/>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74301" y="3235062"/>
          <a:ext cx="6582398" cy="4222977"/>
        </a:xfrm>
        <a:prstGeom prst="rect">
          <a:avLst/>
        </a:prstGeom>
      </xdr:spPr>
    </xdr:pic>
    <xdr:clientData/>
  </xdr:twoCellAnchor>
  <xdr:twoCellAnchor editAs="oneCell">
    <xdr:from>
      <xdr:col>2</xdr:col>
      <xdr:colOff>145676</xdr:colOff>
      <xdr:row>15</xdr:row>
      <xdr:rowOff>158487</xdr:rowOff>
    </xdr:from>
    <xdr:to>
      <xdr:col>10</xdr:col>
      <xdr:colOff>727324</xdr:colOff>
      <xdr:row>38</xdr:row>
      <xdr:rowOff>51052</xdr:rowOff>
    </xdr:to>
    <xdr:pic>
      <xdr:nvPicPr>
        <xdr:cNvPr id="13" name="O_BPS" hidden="1"/>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74301" y="3235062"/>
          <a:ext cx="6582398" cy="4216915"/>
        </a:xfrm>
        <a:prstGeom prst="rect">
          <a:avLst/>
        </a:prstGeom>
      </xdr:spPr>
    </xdr:pic>
    <xdr:clientData/>
  </xdr:twoCellAnchor>
  <xdr:twoCellAnchor editAs="oneCell">
    <xdr:from>
      <xdr:col>0</xdr:col>
      <xdr:colOff>54429</xdr:colOff>
      <xdr:row>38</xdr:row>
      <xdr:rowOff>60846</xdr:rowOff>
    </xdr:from>
    <xdr:to>
      <xdr:col>18</xdr:col>
      <xdr:colOff>0</xdr:colOff>
      <xdr:row>40</xdr:row>
      <xdr:rowOff>3466</xdr:rowOff>
    </xdr:to>
    <xdr:pic>
      <xdr:nvPicPr>
        <xdr:cNvPr id="14" name="Rainbow"/>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4429" y="7476739"/>
          <a:ext cx="12654642" cy="2646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17</xdr:col>
      <xdr:colOff>397809</xdr:colOff>
      <xdr:row>38</xdr:row>
      <xdr:rowOff>68836</xdr:rowOff>
    </xdr:from>
    <xdr:to>
      <xdr:col>18</xdr:col>
      <xdr:colOff>0</xdr:colOff>
      <xdr:row>39</xdr:row>
      <xdr:rowOff>131267</xdr:rowOff>
    </xdr:to>
    <xdr:sp macro="" textlink="">
      <xdr:nvSpPr>
        <xdr:cNvPr id="15" name="Version"/>
        <xdr:cNvSpPr txBox="1"/>
      </xdr:nvSpPr>
      <xdr:spPr>
        <a:xfrm>
          <a:off x="11923059" y="7484729"/>
          <a:ext cx="786012" cy="2257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V2.0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123825</xdr:rowOff>
    </xdr:from>
    <xdr:to>
      <xdr:col>0</xdr:col>
      <xdr:colOff>1095375</xdr:colOff>
      <xdr:row>1</xdr:row>
      <xdr:rowOff>104775</xdr:rowOff>
    </xdr:to>
    <xdr:grpSp>
      <xdr:nvGrpSpPr>
        <xdr:cNvPr id="2" name="Group 1"/>
        <xdr:cNvGrpSpPr>
          <a:grpSpLocks/>
        </xdr:cNvGrpSpPr>
      </xdr:nvGrpSpPr>
      <xdr:grpSpPr bwMode="auto">
        <a:xfrm>
          <a:off x="209550" y="123825"/>
          <a:ext cx="885825" cy="228600"/>
          <a:chOff x="665" y="156"/>
          <a:chExt cx="189" cy="49"/>
        </a:xfrm>
      </xdr:grpSpPr>
      <xdr:pic>
        <xdr:nvPicPr>
          <xdr:cNvPr id="3" name="Picture 2" descr="Anker_CO_Display"/>
          <xdr:cNvPicPr preferRelativeResize="0">
            <a:picLocks noChangeArrowheads="1"/>
          </xdr:cNvPicPr>
        </xdr:nvPicPr>
        <xdr:blipFill>
          <a:blip xmlns:r="http://schemas.openxmlformats.org/officeDocument/2006/relationships" r:embed="rId1" cstate="print"/>
          <a:srcRect t="-2063"/>
          <a:stretch>
            <a:fillRect/>
          </a:stretch>
        </xdr:blipFill>
        <xdr:spPr bwMode="auto">
          <a:xfrm>
            <a:off x="665" y="161"/>
            <a:ext cx="37" cy="38"/>
          </a:xfrm>
          <a:prstGeom prst="rect">
            <a:avLst/>
          </a:prstGeom>
          <a:noFill/>
          <a:ln w="9525">
            <a:noFill/>
            <a:miter lim="800000"/>
            <a:headEnd/>
            <a:tailEnd/>
          </a:ln>
        </xdr:spPr>
      </xdr:pic>
      <xdr:pic>
        <xdr:nvPicPr>
          <xdr:cNvPr id="4" name="Picture 3"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0</xdr:row>
      <xdr:rowOff>123825</xdr:rowOff>
    </xdr:from>
    <xdr:to>
      <xdr:col>0</xdr:col>
      <xdr:colOff>1095375</xdr:colOff>
      <xdr:row>1</xdr:row>
      <xdr:rowOff>104775</xdr:rowOff>
    </xdr:to>
    <xdr:grpSp>
      <xdr:nvGrpSpPr>
        <xdr:cNvPr id="2" name="Group 25"/>
        <xdr:cNvGrpSpPr>
          <a:grpSpLocks/>
        </xdr:cNvGrpSpPr>
      </xdr:nvGrpSpPr>
      <xdr:grpSpPr bwMode="auto">
        <a:xfrm>
          <a:off x="209550" y="123825"/>
          <a:ext cx="885825" cy="228600"/>
          <a:chOff x="665" y="156"/>
          <a:chExt cx="189" cy="49"/>
        </a:xfrm>
      </xdr:grpSpPr>
      <xdr:pic>
        <xdr:nvPicPr>
          <xdr:cNvPr id="3" name="Picture 26" descr="Anker_CO_Display"/>
          <xdr:cNvPicPr preferRelativeResize="0">
            <a:picLocks noChangeArrowheads="1"/>
          </xdr:cNvPicPr>
        </xdr:nvPicPr>
        <xdr:blipFill>
          <a:blip xmlns:r="http://schemas.openxmlformats.org/officeDocument/2006/relationships" r:embed="rId1" cstate="print"/>
          <a:srcRect t="-2063"/>
          <a:stretch>
            <a:fillRect/>
          </a:stretch>
        </xdr:blipFill>
        <xdr:spPr bwMode="auto">
          <a:xfrm>
            <a:off x="665" y="161"/>
            <a:ext cx="37" cy="38"/>
          </a:xfrm>
          <a:prstGeom prst="rect">
            <a:avLst/>
          </a:prstGeom>
          <a:noFill/>
          <a:ln w="9525">
            <a:noFill/>
            <a:miter lim="800000"/>
            <a:headEnd/>
            <a:tailEnd/>
          </a:ln>
        </xdr:spPr>
      </xdr:pic>
      <xdr:pic>
        <xdr:nvPicPr>
          <xdr:cNvPr id="4" name="Picture 27"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323850</xdr:colOff>
      <xdr:row>0</xdr:row>
      <xdr:rowOff>28575</xdr:rowOff>
    </xdr:from>
    <xdr:to>
      <xdr:col>2</xdr:col>
      <xdr:colOff>561975</xdr:colOff>
      <xdr:row>1</xdr:row>
      <xdr:rowOff>228600</xdr:rowOff>
    </xdr:to>
    <xdr:sp macro="" textlink="">
      <xdr:nvSpPr>
        <xdr:cNvPr id="2" name="Rectangle 1"/>
        <xdr:cNvSpPr>
          <a:spLocks noChangeArrowheads="1"/>
        </xdr:cNvSpPr>
      </xdr:nvSpPr>
      <xdr:spPr bwMode="auto">
        <a:xfrm>
          <a:off x="1314450" y="28575"/>
          <a:ext cx="238125" cy="447675"/>
        </a:xfrm>
        <a:prstGeom prst="rect">
          <a:avLst/>
        </a:prstGeom>
        <a:solidFill>
          <a:srgbClr val="CCFFFF"/>
        </a:solidFill>
        <a:ln w="9525">
          <a:noFill/>
          <a:miter lim="800000"/>
          <a:headEnd/>
          <a:tailEnd/>
        </a:ln>
      </xdr:spPr>
    </xdr:sp>
    <xdr:clientData/>
  </xdr:twoCellAnchor>
  <xdr:twoCellAnchor>
    <xdr:from>
      <xdr:col>1</xdr:col>
      <xdr:colOff>161925</xdr:colOff>
      <xdr:row>71</xdr:row>
      <xdr:rowOff>95250</xdr:rowOff>
    </xdr:from>
    <xdr:to>
      <xdr:col>1</xdr:col>
      <xdr:colOff>238125</xdr:colOff>
      <xdr:row>71</xdr:row>
      <xdr:rowOff>171450</xdr:rowOff>
    </xdr:to>
    <xdr:sp macro="" textlink="">
      <xdr:nvSpPr>
        <xdr:cNvPr id="3" name="Oval 8"/>
        <xdr:cNvSpPr>
          <a:spLocks noChangeArrowheads="1"/>
        </xdr:cNvSpPr>
      </xdr:nvSpPr>
      <xdr:spPr bwMode="auto">
        <a:xfrm>
          <a:off x="676275" y="162401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72</xdr:row>
      <xdr:rowOff>95250</xdr:rowOff>
    </xdr:from>
    <xdr:to>
      <xdr:col>1</xdr:col>
      <xdr:colOff>238125</xdr:colOff>
      <xdr:row>72</xdr:row>
      <xdr:rowOff>171450</xdr:rowOff>
    </xdr:to>
    <xdr:sp macro="" textlink="">
      <xdr:nvSpPr>
        <xdr:cNvPr id="4" name="Oval 9"/>
        <xdr:cNvSpPr>
          <a:spLocks noChangeArrowheads="1"/>
        </xdr:cNvSpPr>
      </xdr:nvSpPr>
      <xdr:spPr bwMode="auto">
        <a:xfrm>
          <a:off x="676275" y="164877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73</xdr:row>
      <xdr:rowOff>95250</xdr:rowOff>
    </xdr:from>
    <xdr:to>
      <xdr:col>1</xdr:col>
      <xdr:colOff>238125</xdr:colOff>
      <xdr:row>73</xdr:row>
      <xdr:rowOff>171450</xdr:rowOff>
    </xdr:to>
    <xdr:sp macro="" textlink="">
      <xdr:nvSpPr>
        <xdr:cNvPr id="5" name="Oval 10"/>
        <xdr:cNvSpPr>
          <a:spLocks noChangeArrowheads="1"/>
        </xdr:cNvSpPr>
      </xdr:nvSpPr>
      <xdr:spPr bwMode="auto">
        <a:xfrm>
          <a:off x="676275" y="16735425"/>
          <a:ext cx="76200" cy="76200"/>
        </a:xfrm>
        <a:prstGeom prst="ellipse">
          <a:avLst/>
        </a:prstGeom>
        <a:solidFill>
          <a:srgbClr val="000080"/>
        </a:solidFill>
        <a:ln w="9525">
          <a:solidFill>
            <a:srgbClr val="003366"/>
          </a:solidFill>
          <a:round/>
          <a:headEnd/>
          <a:tailEnd/>
        </a:ln>
      </xdr:spPr>
    </xdr:sp>
    <xdr:clientData/>
  </xdr:twoCellAnchor>
  <xdr:twoCellAnchor>
    <xdr:from>
      <xdr:col>0</xdr:col>
      <xdr:colOff>76200</xdr:colOff>
      <xdr:row>0</xdr:row>
      <xdr:rowOff>123825</xdr:rowOff>
    </xdr:from>
    <xdr:to>
      <xdr:col>2</xdr:col>
      <xdr:colOff>47625</xdr:colOff>
      <xdr:row>1</xdr:row>
      <xdr:rowOff>104775</xdr:rowOff>
    </xdr:to>
    <xdr:grpSp>
      <xdr:nvGrpSpPr>
        <xdr:cNvPr id="8" name="Group 20"/>
        <xdr:cNvGrpSpPr>
          <a:grpSpLocks/>
        </xdr:cNvGrpSpPr>
      </xdr:nvGrpSpPr>
      <xdr:grpSpPr bwMode="auto">
        <a:xfrm>
          <a:off x="76200" y="123825"/>
          <a:ext cx="962025" cy="228600"/>
          <a:chOff x="665" y="156"/>
          <a:chExt cx="189" cy="49"/>
        </a:xfrm>
      </xdr:grpSpPr>
      <xdr:pic>
        <xdr:nvPicPr>
          <xdr:cNvPr id="9" name="Picture 21" descr="Anker_CO_Display"/>
          <xdr:cNvPicPr preferRelativeResize="0">
            <a:picLocks noChangeArrowheads="1"/>
          </xdr:cNvPicPr>
        </xdr:nvPicPr>
        <xdr:blipFill>
          <a:blip xmlns:r="http://schemas.openxmlformats.org/officeDocument/2006/relationships" r:embed="rId1" cstate="print"/>
          <a:srcRect t="-2063"/>
          <a:stretch>
            <a:fillRect/>
          </a:stretch>
        </xdr:blipFill>
        <xdr:spPr bwMode="auto">
          <a:xfrm>
            <a:off x="665" y="161"/>
            <a:ext cx="37" cy="38"/>
          </a:xfrm>
          <a:prstGeom prst="rect">
            <a:avLst/>
          </a:prstGeom>
          <a:noFill/>
          <a:ln w="9525">
            <a:noFill/>
            <a:miter lim="800000"/>
            <a:headEnd/>
            <a:tailEnd/>
          </a:ln>
        </xdr:spPr>
      </xdr:pic>
      <xdr:pic>
        <xdr:nvPicPr>
          <xdr:cNvPr id="10" name="Picture 22"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twoCellAnchor>
    <xdr:from>
      <xdr:col>1</xdr:col>
      <xdr:colOff>161925</xdr:colOff>
      <xdr:row>120</xdr:row>
      <xdr:rowOff>47625</xdr:rowOff>
    </xdr:from>
    <xdr:to>
      <xdr:col>1</xdr:col>
      <xdr:colOff>238125</xdr:colOff>
      <xdr:row>120</xdr:row>
      <xdr:rowOff>123825</xdr:rowOff>
    </xdr:to>
    <xdr:sp macro="" textlink="">
      <xdr:nvSpPr>
        <xdr:cNvPr id="11" name="Oval 33"/>
        <xdr:cNvSpPr>
          <a:spLocks noChangeArrowheads="1"/>
        </xdr:cNvSpPr>
      </xdr:nvSpPr>
      <xdr:spPr bwMode="auto">
        <a:xfrm>
          <a:off x="676275" y="274129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212</xdr:row>
      <xdr:rowOff>47625</xdr:rowOff>
    </xdr:from>
    <xdr:to>
      <xdr:col>1</xdr:col>
      <xdr:colOff>219075</xdr:colOff>
      <xdr:row>212</xdr:row>
      <xdr:rowOff>123825</xdr:rowOff>
    </xdr:to>
    <xdr:sp macro="" textlink="">
      <xdr:nvSpPr>
        <xdr:cNvPr id="12" name="Oval 34"/>
        <xdr:cNvSpPr>
          <a:spLocks noChangeArrowheads="1"/>
        </xdr:cNvSpPr>
      </xdr:nvSpPr>
      <xdr:spPr bwMode="auto">
        <a:xfrm>
          <a:off x="657225" y="477297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296</xdr:row>
      <xdr:rowOff>47625</xdr:rowOff>
    </xdr:from>
    <xdr:to>
      <xdr:col>1</xdr:col>
      <xdr:colOff>219075</xdr:colOff>
      <xdr:row>296</xdr:row>
      <xdr:rowOff>123825</xdr:rowOff>
    </xdr:to>
    <xdr:sp macro="" textlink="">
      <xdr:nvSpPr>
        <xdr:cNvPr id="13" name="Oval 35"/>
        <xdr:cNvSpPr>
          <a:spLocks noChangeArrowheads="1"/>
        </xdr:cNvSpPr>
      </xdr:nvSpPr>
      <xdr:spPr bwMode="auto">
        <a:xfrm>
          <a:off x="657225" y="628459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297</xdr:row>
      <xdr:rowOff>47625</xdr:rowOff>
    </xdr:from>
    <xdr:to>
      <xdr:col>1</xdr:col>
      <xdr:colOff>219075</xdr:colOff>
      <xdr:row>297</xdr:row>
      <xdr:rowOff>123825</xdr:rowOff>
    </xdr:to>
    <xdr:sp macro="" textlink="">
      <xdr:nvSpPr>
        <xdr:cNvPr id="14" name="Oval 36"/>
        <xdr:cNvSpPr>
          <a:spLocks noChangeArrowheads="1"/>
        </xdr:cNvSpPr>
      </xdr:nvSpPr>
      <xdr:spPr bwMode="auto">
        <a:xfrm>
          <a:off x="657225" y="633317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298</xdr:row>
      <xdr:rowOff>47625</xdr:rowOff>
    </xdr:from>
    <xdr:to>
      <xdr:col>1</xdr:col>
      <xdr:colOff>219075</xdr:colOff>
      <xdr:row>298</xdr:row>
      <xdr:rowOff>123825</xdr:rowOff>
    </xdr:to>
    <xdr:sp macro="" textlink="">
      <xdr:nvSpPr>
        <xdr:cNvPr id="15" name="Oval 37"/>
        <xdr:cNvSpPr>
          <a:spLocks noChangeArrowheads="1"/>
        </xdr:cNvSpPr>
      </xdr:nvSpPr>
      <xdr:spPr bwMode="auto">
        <a:xfrm>
          <a:off x="657225" y="634936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299</xdr:row>
      <xdr:rowOff>47625</xdr:rowOff>
    </xdr:from>
    <xdr:to>
      <xdr:col>1</xdr:col>
      <xdr:colOff>219075</xdr:colOff>
      <xdr:row>299</xdr:row>
      <xdr:rowOff>123825</xdr:rowOff>
    </xdr:to>
    <xdr:sp macro="" textlink="">
      <xdr:nvSpPr>
        <xdr:cNvPr id="16" name="Oval 38"/>
        <xdr:cNvSpPr>
          <a:spLocks noChangeArrowheads="1"/>
        </xdr:cNvSpPr>
      </xdr:nvSpPr>
      <xdr:spPr bwMode="auto">
        <a:xfrm>
          <a:off x="657225" y="638175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300</xdr:row>
      <xdr:rowOff>47625</xdr:rowOff>
    </xdr:from>
    <xdr:to>
      <xdr:col>1</xdr:col>
      <xdr:colOff>219075</xdr:colOff>
      <xdr:row>300</xdr:row>
      <xdr:rowOff>123825</xdr:rowOff>
    </xdr:to>
    <xdr:sp macro="" textlink="">
      <xdr:nvSpPr>
        <xdr:cNvPr id="17" name="Oval 39"/>
        <xdr:cNvSpPr>
          <a:spLocks noChangeArrowheads="1"/>
        </xdr:cNvSpPr>
      </xdr:nvSpPr>
      <xdr:spPr bwMode="auto">
        <a:xfrm>
          <a:off x="657225" y="639794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301</xdr:row>
      <xdr:rowOff>47625</xdr:rowOff>
    </xdr:from>
    <xdr:to>
      <xdr:col>1</xdr:col>
      <xdr:colOff>219075</xdr:colOff>
      <xdr:row>301</xdr:row>
      <xdr:rowOff>123825</xdr:rowOff>
    </xdr:to>
    <xdr:sp macro="" textlink="">
      <xdr:nvSpPr>
        <xdr:cNvPr id="18" name="Oval 40"/>
        <xdr:cNvSpPr>
          <a:spLocks noChangeArrowheads="1"/>
        </xdr:cNvSpPr>
      </xdr:nvSpPr>
      <xdr:spPr bwMode="auto">
        <a:xfrm>
          <a:off x="657225" y="643032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304</xdr:row>
      <xdr:rowOff>47625</xdr:rowOff>
    </xdr:from>
    <xdr:to>
      <xdr:col>1</xdr:col>
      <xdr:colOff>219075</xdr:colOff>
      <xdr:row>304</xdr:row>
      <xdr:rowOff>123825</xdr:rowOff>
    </xdr:to>
    <xdr:sp macro="" textlink="">
      <xdr:nvSpPr>
        <xdr:cNvPr id="19" name="Oval 41"/>
        <xdr:cNvSpPr>
          <a:spLocks noChangeArrowheads="1"/>
        </xdr:cNvSpPr>
      </xdr:nvSpPr>
      <xdr:spPr bwMode="auto">
        <a:xfrm>
          <a:off x="657225" y="651129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305</xdr:row>
      <xdr:rowOff>47625</xdr:rowOff>
    </xdr:from>
    <xdr:to>
      <xdr:col>1</xdr:col>
      <xdr:colOff>219075</xdr:colOff>
      <xdr:row>305</xdr:row>
      <xdr:rowOff>123825</xdr:rowOff>
    </xdr:to>
    <xdr:sp macro="" textlink="">
      <xdr:nvSpPr>
        <xdr:cNvPr id="20" name="Oval 42"/>
        <xdr:cNvSpPr>
          <a:spLocks noChangeArrowheads="1"/>
        </xdr:cNvSpPr>
      </xdr:nvSpPr>
      <xdr:spPr bwMode="auto">
        <a:xfrm>
          <a:off x="657225" y="654367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313</xdr:row>
      <xdr:rowOff>47625</xdr:rowOff>
    </xdr:from>
    <xdr:to>
      <xdr:col>1</xdr:col>
      <xdr:colOff>219075</xdr:colOff>
      <xdr:row>313</xdr:row>
      <xdr:rowOff>123825</xdr:rowOff>
    </xdr:to>
    <xdr:sp macro="" textlink="">
      <xdr:nvSpPr>
        <xdr:cNvPr id="21" name="Oval 43"/>
        <xdr:cNvSpPr>
          <a:spLocks noChangeArrowheads="1"/>
        </xdr:cNvSpPr>
      </xdr:nvSpPr>
      <xdr:spPr bwMode="auto">
        <a:xfrm>
          <a:off x="657225" y="677037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316</xdr:row>
      <xdr:rowOff>47625</xdr:rowOff>
    </xdr:from>
    <xdr:to>
      <xdr:col>1</xdr:col>
      <xdr:colOff>219075</xdr:colOff>
      <xdr:row>316</xdr:row>
      <xdr:rowOff>123825</xdr:rowOff>
    </xdr:to>
    <xdr:sp macro="" textlink="">
      <xdr:nvSpPr>
        <xdr:cNvPr id="22" name="Oval 44"/>
        <xdr:cNvSpPr>
          <a:spLocks noChangeArrowheads="1"/>
        </xdr:cNvSpPr>
      </xdr:nvSpPr>
      <xdr:spPr bwMode="auto">
        <a:xfrm>
          <a:off x="657225" y="683514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320</xdr:row>
      <xdr:rowOff>47625</xdr:rowOff>
    </xdr:from>
    <xdr:to>
      <xdr:col>1</xdr:col>
      <xdr:colOff>219075</xdr:colOff>
      <xdr:row>320</xdr:row>
      <xdr:rowOff>123825</xdr:rowOff>
    </xdr:to>
    <xdr:sp macro="" textlink="">
      <xdr:nvSpPr>
        <xdr:cNvPr id="23" name="Oval 47"/>
        <xdr:cNvSpPr>
          <a:spLocks noChangeArrowheads="1"/>
        </xdr:cNvSpPr>
      </xdr:nvSpPr>
      <xdr:spPr bwMode="auto">
        <a:xfrm>
          <a:off x="657225" y="694848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321</xdr:row>
      <xdr:rowOff>85725</xdr:rowOff>
    </xdr:from>
    <xdr:to>
      <xdr:col>1</xdr:col>
      <xdr:colOff>219075</xdr:colOff>
      <xdr:row>321</xdr:row>
      <xdr:rowOff>161925</xdr:rowOff>
    </xdr:to>
    <xdr:sp macro="" textlink="">
      <xdr:nvSpPr>
        <xdr:cNvPr id="24" name="Oval 48"/>
        <xdr:cNvSpPr>
          <a:spLocks noChangeArrowheads="1"/>
        </xdr:cNvSpPr>
      </xdr:nvSpPr>
      <xdr:spPr bwMode="auto">
        <a:xfrm>
          <a:off x="657225" y="698468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322</xdr:row>
      <xdr:rowOff>47625</xdr:rowOff>
    </xdr:from>
    <xdr:to>
      <xdr:col>1</xdr:col>
      <xdr:colOff>219075</xdr:colOff>
      <xdr:row>322</xdr:row>
      <xdr:rowOff>123825</xdr:rowOff>
    </xdr:to>
    <xdr:sp macro="" textlink="">
      <xdr:nvSpPr>
        <xdr:cNvPr id="25" name="Oval 49"/>
        <xdr:cNvSpPr>
          <a:spLocks noChangeArrowheads="1"/>
        </xdr:cNvSpPr>
      </xdr:nvSpPr>
      <xdr:spPr bwMode="auto">
        <a:xfrm>
          <a:off x="657225" y="699706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338</xdr:row>
      <xdr:rowOff>47625</xdr:rowOff>
    </xdr:from>
    <xdr:to>
      <xdr:col>1</xdr:col>
      <xdr:colOff>219075</xdr:colOff>
      <xdr:row>338</xdr:row>
      <xdr:rowOff>123825</xdr:rowOff>
    </xdr:to>
    <xdr:sp macro="" textlink="">
      <xdr:nvSpPr>
        <xdr:cNvPr id="26" name="Oval 50"/>
        <xdr:cNvSpPr>
          <a:spLocks noChangeArrowheads="1"/>
        </xdr:cNvSpPr>
      </xdr:nvSpPr>
      <xdr:spPr bwMode="auto">
        <a:xfrm>
          <a:off x="657225" y="725614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339</xdr:row>
      <xdr:rowOff>47625</xdr:rowOff>
    </xdr:from>
    <xdr:to>
      <xdr:col>1</xdr:col>
      <xdr:colOff>219075</xdr:colOff>
      <xdr:row>339</xdr:row>
      <xdr:rowOff>123825</xdr:rowOff>
    </xdr:to>
    <xdr:sp macro="" textlink="">
      <xdr:nvSpPr>
        <xdr:cNvPr id="27" name="Oval 51"/>
        <xdr:cNvSpPr>
          <a:spLocks noChangeArrowheads="1"/>
        </xdr:cNvSpPr>
      </xdr:nvSpPr>
      <xdr:spPr bwMode="auto">
        <a:xfrm>
          <a:off x="657225" y="730472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342</xdr:row>
      <xdr:rowOff>47625</xdr:rowOff>
    </xdr:from>
    <xdr:to>
      <xdr:col>1</xdr:col>
      <xdr:colOff>219075</xdr:colOff>
      <xdr:row>342</xdr:row>
      <xdr:rowOff>123825</xdr:rowOff>
    </xdr:to>
    <xdr:sp macro="" textlink="">
      <xdr:nvSpPr>
        <xdr:cNvPr id="28" name="Oval 52"/>
        <xdr:cNvSpPr>
          <a:spLocks noChangeArrowheads="1"/>
        </xdr:cNvSpPr>
      </xdr:nvSpPr>
      <xdr:spPr bwMode="auto">
        <a:xfrm>
          <a:off x="657225" y="736949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343</xdr:row>
      <xdr:rowOff>47625</xdr:rowOff>
    </xdr:from>
    <xdr:to>
      <xdr:col>1</xdr:col>
      <xdr:colOff>219075</xdr:colOff>
      <xdr:row>343</xdr:row>
      <xdr:rowOff>123825</xdr:rowOff>
    </xdr:to>
    <xdr:sp macro="" textlink="">
      <xdr:nvSpPr>
        <xdr:cNvPr id="29" name="Oval 53"/>
        <xdr:cNvSpPr>
          <a:spLocks noChangeArrowheads="1"/>
        </xdr:cNvSpPr>
      </xdr:nvSpPr>
      <xdr:spPr bwMode="auto">
        <a:xfrm>
          <a:off x="657225" y="740187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347</xdr:row>
      <xdr:rowOff>47625</xdr:rowOff>
    </xdr:from>
    <xdr:to>
      <xdr:col>1</xdr:col>
      <xdr:colOff>219075</xdr:colOff>
      <xdr:row>347</xdr:row>
      <xdr:rowOff>123825</xdr:rowOff>
    </xdr:to>
    <xdr:sp macro="" textlink="">
      <xdr:nvSpPr>
        <xdr:cNvPr id="30" name="Oval 54"/>
        <xdr:cNvSpPr>
          <a:spLocks noChangeArrowheads="1"/>
        </xdr:cNvSpPr>
      </xdr:nvSpPr>
      <xdr:spPr bwMode="auto">
        <a:xfrm>
          <a:off x="657225" y="748284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350</xdr:row>
      <xdr:rowOff>47625</xdr:rowOff>
    </xdr:from>
    <xdr:to>
      <xdr:col>1</xdr:col>
      <xdr:colOff>219075</xdr:colOff>
      <xdr:row>350</xdr:row>
      <xdr:rowOff>123825</xdr:rowOff>
    </xdr:to>
    <xdr:sp macro="" textlink="">
      <xdr:nvSpPr>
        <xdr:cNvPr id="31" name="Oval 55"/>
        <xdr:cNvSpPr>
          <a:spLocks noChangeArrowheads="1"/>
        </xdr:cNvSpPr>
      </xdr:nvSpPr>
      <xdr:spPr bwMode="auto">
        <a:xfrm>
          <a:off x="657225" y="754761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353</xdr:row>
      <xdr:rowOff>47625</xdr:rowOff>
    </xdr:from>
    <xdr:to>
      <xdr:col>1</xdr:col>
      <xdr:colOff>219075</xdr:colOff>
      <xdr:row>353</xdr:row>
      <xdr:rowOff>123825</xdr:rowOff>
    </xdr:to>
    <xdr:sp macro="" textlink="">
      <xdr:nvSpPr>
        <xdr:cNvPr id="32" name="Oval 56"/>
        <xdr:cNvSpPr>
          <a:spLocks noChangeArrowheads="1"/>
        </xdr:cNvSpPr>
      </xdr:nvSpPr>
      <xdr:spPr bwMode="auto">
        <a:xfrm>
          <a:off x="657225" y="762666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356</xdr:row>
      <xdr:rowOff>47625</xdr:rowOff>
    </xdr:from>
    <xdr:to>
      <xdr:col>1</xdr:col>
      <xdr:colOff>219075</xdr:colOff>
      <xdr:row>356</xdr:row>
      <xdr:rowOff>123825</xdr:rowOff>
    </xdr:to>
    <xdr:sp macro="" textlink="">
      <xdr:nvSpPr>
        <xdr:cNvPr id="33" name="Oval 57"/>
        <xdr:cNvSpPr>
          <a:spLocks noChangeArrowheads="1"/>
        </xdr:cNvSpPr>
      </xdr:nvSpPr>
      <xdr:spPr bwMode="auto">
        <a:xfrm>
          <a:off x="657225" y="770763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359</xdr:row>
      <xdr:rowOff>47625</xdr:rowOff>
    </xdr:from>
    <xdr:to>
      <xdr:col>1</xdr:col>
      <xdr:colOff>219075</xdr:colOff>
      <xdr:row>359</xdr:row>
      <xdr:rowOff>123825</xdr:rowOff>
    </xdr:to>
    <xdr:sp macro="" textlink="">
      <xdr:nvSpPr>
        <xdr:cNvPr id="34" name="Oval 58"/>
        <xdr:cNvSpPr>
          <a:spLocks noChangeArrowheads="1"/>
        </xdr:cNvSpPr>
      </xdr:nvSpPr>
      <xdr:spPr bwMode="auto">
        <a:xfrm>
          <a:off x="657225" y="778859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361</xdr:row>
      <xdr:rowOff>47625</xdr:rowOff>
    </xdr:from>
    <xdr:to>
      <xdr:col>1</xdr:col>
      <xdr:colOff>219075</xdr:colOff>
      <xdr:row>361</xdr:row>
      <xdr:rowOff>123825</xdr:rowOff>
    </xdr:to>
    <xdr:sp macro="" textlink="">
      <xdr:nvSpPr>
        <xdr:cNvPr id="35" name="Oval 59"/>
        <xdr:cNvSpPr>
          <a:spLocks noChangeArrowheads="1"/>
        </xdr:cNvSpPr>
      </xdr:nvSpPr>
      <xdr:spPr bwMode="auto">
        <a:xfrm>
          <a:off x="657225" y="786955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363</xdr:row>
      <xdr:rowOff>47625</xdr:rowOff>
    </xdr:from>
    <xdr:to>
      <xdr:col>1</xdr:col>
      <xdr:colOff>219075</xdr:colOff>
      <xdr:row>363</xdr:row>
      <xdr:rowOff>123825</xdr:rowOff>
    </xdr:to>
    <xdr:sp macro="" textlink="">
      <xdr:nvSpPr>
        <xdr:cNvPr id="36" name="Oval 60"/>
        <xdr:cNvSpPr>
          <a:spLocks noChangeArrowheads="1"/>
        </xdr:cNvSpPr>
      </xdr:nvSpPr>
      <xdr:spPr bwMode="auto">
        <a:xfrm>
          <a:off x="657225" y="793432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364</xdr:row>
      <xdr:rowOff>47625</xdr:rowOff>
    </xdr:from>
    <xdr:to>
      <xdr:col>1</xdr:col>
      <xdr:colOff>219075</xdr:colOff>
      <xdr:row>364</xdr:row>
      <xdr:rowOff>123825</xdr:rowOff>
    </xdr:to>
    <xdr:sp macro="" textlink="">
      <xdr:nvSpPr>
        <xdr:cNvPr id="37" name="Oval 61"/>
        <xdr:cNvSpPr>
          <a:spLocks noChangeArrowheads="1"/>
        </xdr:cNvSpPr>
      </xdr:nvSpPr>
      <xdr:spPr bwMode="auto">
        <a:xfrm>
          <a:off x="657225" y="796671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366</xdr:row>
      <xdr:rowOff>47625</xdr:rowOff>
    </xdr:from>
    <xdr:to>
      <xdr:col>1</xdr:col>
      <xdr:colOff>219075</xdr:colOff>
      <xdr:row>366</xdr:row>
      <xdr:rowOff>123825</xdr:rowOff>
    </xdr:to>
    <xdr:sp macro="" textlink="">
      <xdr:nvSpPr>
        <xdr:cNvPr id="38" name="Oval 62"/>
        <xdr:cNvSpPr>
          <a:spLocks noChangeArrowheads="1"/>
        </xdr:cNvSpPr>
      </xdr:nvSpPr>
      <xdr:spPr bwMode="auto">
        <a:xfrm>
          <a:off x="657225" y="803148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367</xdr:row>
      <xdr:rowOff>47625</xdr:rowOff>
    </xdr:from>
    <xdr:to>
      <xdr:col>1</xdr:col>
      <xdr:colOff>219075</xdr:colOff>
      <xdr:row>367</xdr:row>
      <xdr:rowOff>123825</xdr:rowOff>
    </xdr:to>
    <xdr:sp macro="" textlink="">
      <xdr:nvSpPr>
        <xdr:cNvPr id="39" name="Oval 63"/>
        <xdr:cNvSpPr>
          <a:spLocks noChangeArrowheads="1"/>
        </xdr:cNvSpPr>
      </xdr:nvSpPr>
      <xdr:spPr bwMode="auto">
        <a:xfrm>
          <a:off x="657225" y="804767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368</xdr:row>
      <xdr:rowOff>47625</xdr:rowOff>
    </xdr:from>
    <xdr:to>
      <xdr:col>1</xdr:col>
      <xdr:colOff>219075</xdr:colOff>
      <xdr:row>368</xdr:row>
      <xdr:rowOff>123825</xdr:rowOff>
    </xdr:to>
    <xdr:sp macro="" textlink="">
      <xdr:nvSpPr>
        <xdr:cNvPr id="40" name="Oval 64"/>
        <xdr:cNvSpPr>
          <a:spLocks noChangeArrowheads="1"/>
        </xdr:cNvSpPr>
      </xdr:nvSpPr>
      <xdr:spPr bwMode="auto">
        <a:xfrm>
          <a:off x="657225" y="806386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369</xdr:row>
      <xdr:rowOff>47625</xdr:rowOff>
    </xdr:from>
    <xdr:to>
      <xdr:col>1</xdr:col>
      <xdr:colOff>219075</xdr:colOff>
      <xdr:row>369</xdr:row>
      <xdr:rowOff>123825</xdr:rowOff>
    </xdr:to>
    <xdr:sp macro="" textlink="">
      <xdr:nvSpPr>
        <xdr:cNvPr id="41" name="Oval 65"/>
        <xdr:cNvSpPr>
          <a:spLocks noChangeArrowheads="1"/>
        </xdr:cNvSpPr>
      </xdr:nvSpPr>
      <xdr:spPr bwMode="auto">
        <a:xfrm>
          <a:off x="657225" y="811244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380</xdr:row>
      <xdr:rowOff>47625</xdr:rowOff>
    </xdr:from>
    <xdr:to>
      <xdr:col>1</xdr:col>
      <xdr:colOff>219075</xdr:colOff>
      <xdr:row>380</xdr:row>
      <xdr:rowOff>123825</xdr:rowOff>
    </xdr:to>
    <xdr:sp macro="" textlink="">
      <xdr:nvSpPr>
        <xdr:cNvPr id="42" name="Oval 66"/>
        <xdr:cNvSpPr>
          <a:spLocks noChangeArrowheads="1"/>
        </xdr:cNvSpPr>
      </xdr:nvSpPr>
      <xdr:spPr bwMode="auto">
        <a:xfrm>
          <a:off x="657225" y="817721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382</xdr:row>
      <xdr:rowOff>47625</xdr:rowOff>
    </xdr:from>
    <xdr:to>
      <xdr:col>1</xdr:col>
      <xdr:colOff>219075</xdr:colOff>
      <xdr:row>382</xdr:row>
      <xdr:rowOff>123825</xdr:rowOff>
    </xdr:to>
    <xdr:sp macro="" textlink="">
      <xdr:nvSpPr>
        <xdr:cNvPr id="43" name="Oval 67"/>
        <xdr:cNvSpPr>
          <a:spLocks noChangeArrowheads="1"/>
        </xdr:cNvSpPr>
      </xdr:nvSpPr>
      <xdr:spPr bwMode="auto">
        <a:xfrm>
          <a:off x="657225" y="824865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383</xdr:row>
      <xdr:rowOff>47625</xdr:rowOff>
    </xdr:from>
    <xdr:to>
      <xdr:col>1</xdr:col>
      <xdr:colOff>219075</xdr:colOff>
      <xdr:row>383</xdr:row>
      <xdr:rowOff>123825</xdr:rowOff>
    </xdr:to>
    <xdr:sp macro="" textlink="">
      <xdr:nvSpPr>
        <xdr:cNvPr id="44" name="Oval 68"/>
        <xdr:cNvSpPr>
          <a:spLocks noChangeArrowheads="1"/>
        </xdr:cNvSpPr>
      </xdr:nvSpPr>
      <xdr:spPr bwMode="auto">
        <a:xfrm>
          <a:off x="657225" y="827817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385</xdr:row>
      <xdr:rowOff>47625</xdr:rowOff>
    </xdr:from>
    <xdr:to>
      <xdr:col>1</xdr:col>
      <xdr:colOff>219075</xdr:colOff>
      <xdr:row>385</xdr:row>
      <xdr:rowOff>123825</xdr:rowOff>
    </xdr:to>
    <xdr:sp macro="" textlink="">
      <xdr:nvSpPr>
        <xdr:cNvPr id="45" name="Oval 69"/>
        <xdr:cNvSpPr>
          <a:spLocks noChangeArrowheads="1"/>
        </xdr:cNvSpPr>
      </xdr:nvSpPr>
      <xdr:spPr bwMode="auto">
        <a:xfrm>
          <a:off x="657225" y="837152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386</xdr:row>
      <xdr:rowOff>47625</xdr:rowOff>
    </xdr:from>
    <xdr:to>
      <xdr:col>1</xdr:col>
      <xdr:colOff>219075</xdr:colOff>
      <xdr:row>386</xdr:row>
      <xdr:rowOff>123825</xdr:rowOff>
    </xdr:to>
    <xdr:sp macro="" textlink="">
      <xdr:nvSpPr>
        <xdr:cNvPr id="46" name="Oval 70"/>
        <xdr:cNvSpPr>
          <a:spLocks noChangeArrowheads="1"/>
        </xdr:cNvSpPr>
      </xdr:nvSpPr>
      <xdr:spPr bwMode="auto">
        <a:xfrm>
          <a:off x="657225" y="840390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387</xdr:row>
      <xdr:rowOff>47625</xdr:rowOff>
    </xdr:from>
    <xdr:to>
      <xdr:col>1</xdr:col>
      <xdr:colOff>219075</xdr:colOff>
      <xdr:row>387</xdr:row>
      <xdr:rowOff>123825</xdr:rowOff>
    </xdr:to>
    <xdr:sp macro="" textlink="">
      <xdr:nvSpPr>
        <xdr:cNvPr id="47" name="Oval 71"/>
        <xdr:cNvSpPr>
          <a:spLocks noChangeArrowheads="1"/>
        </xdr:cNvSpPr>
      </xdr:nvSpPr>
      <xdr:spPr bwMode="auto">
        <a:xfrm>
          <a:off x="657225" y="843629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388</xdr:row>
      <xdr:rowOff>47625</xdr:rowOff>
    </xdr:from>
    <xdr:to>
      <xdr:col>1</xdr:col>
      <xdr:colOff>219075</xdr:colOff>
      <xdr:row>388</xdr:row>
      <xdr:rowOff>123825</xdr:rowOff>
    </xdr:to>
    <xdr:sp macro="" textlink="">
      <xdr:nvSpPr>
        <xdr:cNvPr id="48" name="Oval 72"/>
        <xdr:cNvSpPr>
          <a:spLocks noChangeArrowheads="1"/>
        </xdr:cNvSpPr>
      </xdr:nvSpPr>
      <xdr:spPr bwMode="auto">
        <a:xfrm>
          <a:off x="657225" y="846867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390</xdr:row>
      <xdr:rowOff>85725</xdr:rowOff>
    </xdr:from>
    <xdr:to>
      <xdr:col>1</xdr:col>
      <xdr:colOff>219075</xdr:colOff>
      <xdr:row>390</xdr:row>
      <xdr:rowOff>161925</xdr:rowOff>
    </xdr:to>
    <xdr:sp macro="" textlink="">
      <xdr:nvSpPr>
        <xdr:cNvPr id="49" name="Oval 73"/>
        <xdr:cNvSpPr>
          <a:spLocks noChangeArrowheads="1"/>
        </xdr:cNvSpPr>
      </xdr:nvSpPr>
      <xdr:spPr bwMode="auto">
        <a:xfrm>
          <a:off x="657225" y="853725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391</xdr:row>
      <xdr:rowOff>47625</xdr:rowOff>
    </xdr:from>
    <xdr:to>
      <xdr:col>1</xdr:col>
      <xdr:colOff>219075</xdr:colOff>
      <xdr:row>391</xdr:row>
      <xdr:rowOff>123825</xdr:rowOff>
    </xdr:to>
    <xdr:sp macro="" textlink="">
      <xdr:nvSpPr>
        <xdr:cNvPr id="50" name="Oval 74"/>
        <xdr:cNvSpPr>
          <a:spLocks noChangeArrowheads="1"/>
        </xdr:cNvSpPr>
      </xdr:nvSpPr>
      <xdr:spPr bwMode="auto">
        <a:xfrm>
          <a:off x="657225" y="854964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392</xdr:row>
      <xdr:rowOff>47625</xdr:rowOff>
    </xdr:from>
    <xdr:to>
      <xdr:col>1</xdr:col>
      <xdr:colOff>219075</xdr:colOff>
      <xdr:row>392</xdr:row>
      <xdr:rowOff>123825</xdr:rowOff>
    </xdr:to>
    <xdr:sp macro="" textlink="">
      <xdr:nvSpPr>
        <xdr:cNvPr id="51" name="Oval 75"/>
        <xdr:cNvSpPr>
          <a:spLocks noChangeArrowheads="1"/>
        </xdr:cNvSpPr>
      </xdr:nvSpPr>
      <xdr:spPr bwMode="auto">
        <a:xfrm>
          <a:off x="657225" y="858202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393</xdr:row>
      <xdr:rowOff>47625</xdr:rowOff>
    </xdr:from>
    <xdr:to>
      <xdr:col>1</xdr:col>
      <xdr:colOff>219075</xdr:colOff>
      <xdr:row>393</xdr:row>
      <xdr:rowOff>123825</xdr:rowOff>
    </xdr:to>
    <xdr:sp macro="" textlink="">
      <xdr:nvSpPr>
        <xdr:cNvPr id="52" name="Oval 76"/>
        <xdr:cNvSpPr>
          <a:spLocks noChangeArrowheads="1"/>
        </xdr:cNvSpPr>
      </xdr:nvSpPr>
      <xdr:spPr bwMode="auto">
        <a:xfrm>
          <a:off x="657225" y="863060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394</xdr:row>
      <xdr:rowOff>47625</xdr:rowOff>
    </xdr:from>
    <xdr:to>
      <xdr:col>1</xdr:col>
      <xdr:colOff>219075</xdr:colOff>
      <xdr:row>394</xdr:row>
      <xdr:rowOff>123825</xdr:rowOff>
    </xdr:to>
    <xdr:sp macro="" textlink="">
      <xdr:nvSpPr>
        <xdr:cNvPr id="53" name="Oval 77"/>
        <xdr:cNvSpPr>
          <a:spLocks noChangeArrowheads="1"/>
        </xdr:cNvSpPr>
      </xdr:nvSpPr>
      <xdr:spPr bwMode="auto">
        <a:xfrm>
          <a:off x="657225" y="866298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397</xdr:row>
      <xdr:rowOff>47625</xdr:rowOff>
    </xdr:from>
    <xdr:to>
      <xdr:col>1</xdr:col>
      <xdr:colOff>219075</xdr:colOff>
      <xdr:row>397</xdr:row>
      <xdr:rowOff>123825</xdr:rowOff>
    </xdr:to>
    <xdr:sp macro="" textlink="">
      <xdr:nvSpPr>
        <xdr:cNvPr id="54" name="Oval 78"/>
        <xdr:cNvSpPr>
          <a:spLocks noChangeArrowheads="1"/>
        </xdr:cNvSpPr>
      </xdr:nvSpPr>
      <xdr:spPr bwMode="auto">
        <a:xfrm>
          <a:off x="657225" y="876014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398</xdr:row>
      <xdr:rowOff>47625</xdr:rowOff>
    </xdr:from>
    <xdr:to>
      <xdr:col>1</xdr:col>
      <xdr:colOff>219075</xdr:colOff>
      <xdr:row>398</xdr:row>
      <xdr:rowOff>123825</xdr:rowOff>
    </xdr:to>
    <xdr:sp macro="" textlink="">
      <xdr:nvSpPr>
        <xdr:cNvPr id="55" name="Oval 79"/>
        <xdr:cNvSpPr>
          <a:spLocks noChangeArrowheads="1"/>
        </xdr:cNvSpPr>
      </xdr:nvSpPr>
      <xdr:spPr bwMode="auto">
        <a:xfrm>
          <a:off x="657225" y="879252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401</xdr:row>
      <xdr:rowOff>47625</xdr:rowOff>
    </xdr:from>
    <xdr:to>
      <xdr:col>1</xdr:col>
      <xdr:colOff>219075</xdr:colOff>
      <xdr:row>401</xdr:row>
      <xdr:rowOff>123825</xdr:rowOff>
    </xdr:to>
    <xdr:sp macro="" textlink="">
      <xdr:nvSpPr>
        <xdr:cNvPr id="56" name="Oval 80"/>
        <xdr:cNvSpPr>
          <a:spLocks noChangeArrowheads="1"/>
        </xdr:cNvSpPr>
      </xdr:nvSpPr>
      <xdr:spPr bwMode="auto">
        <a:xfrm>
          <a:off x="657225" y="887730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403</xdr:row>
      <xdr:rowOff>47625</xdr:rowOff>
    </xdr:from>
    <xdr:to>
      <xdr:col>1</xdr:col>
      <xdr:colOff>219075</xdr:colOff>
      <xdr:row>403</xdr:row>
      <xdr:rowOff>123825</xdr:rowOff>
    </xdr:to>
    <xdr:sp macro="" textlink="">
      <xdr:nvSpPr>
        <xdr:cNvPr id="58" name="Oval 82"/>
        <xdr:cNvSpPr>
          <a:spLocks noChangeArrowheads="1"/>
        </xdr:cNvSpPr>
      </xdr:nvSpPr>
      <xdr:spPr bwMode="auto">
        <a:xfrm>
          <a:off x="657225" y="895254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404</xdr:row>
      <xdr:rowOff>47625</xdr:rowOff>
    </xdr:from>
    <xdr:to>
      <xdr:col>1</xdr:col>
      <xdr:colOff>219075</xdr:colOff>
      <xdr:row>404</xdr:row>
      <xdr:rowOff>123825</xdr:rowOff>
    </xdr:to>
    <xdr:sp macro="" textlink="">
      <xdr:nvSpPr>
        <xdr:cNvPr id="59" name="Oval 83"/>
        <xdr:cNvSpPr>
          <a:spLocks noChangeArrowheads="1"/>
        </xdr:cNvSpPr>
      </xdr:nvSpPr>
      <xdr:spPr bwMode="auto">
        <a:xfrm>
          <a:off x="657225" y="898493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405</xdr:row>
      <xdr:rowOff>47625</xdr:rowOff>
    </xdr:from>
    <xdr:to>
      <xdr:col>1</xdr:col>
      <xdr:colOff>219075</xdr:colOff>
      <xdr:row>405</xdr:row>
      <xdr:rowOff>123825</xdr:rowOff>
    </xdr:to>
    <xdr:sp macro="" textlink="">
      <xdr:nvSpPr>
        <xdr:cNvPr id="60" name="Oval 84"/>
        <xdr:cNvSpPr>
          <a:spLocks noChangeArrowheads="1"/>
        </xdr:cNvSpPr>
      </xdr:nvSpPr>
      <xdr:spPr bwMode="auto">
        <a:xfrm>
          <a:off x="657225" y="905446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415</xdr:row>
      <xdr:rowOff>47625</xdr:rowOff>
    </xdr:from>
    <xdr:to>
      <xdr:col>1</xdr:col>
      <xdr:colOff>219075</xdr:colOff>
      <xdr:row>415</xdr:row>
      <xdr:rowOff>123825</xdr:rowOff>
    </xdr:to>
    <xdr:sp macro="" textlink="">
      <xdr:nvSpPr>
        <xdr:cNvPr id="61" name="Oval 85"/>
        <xdr:cNvSpPr>
          <a:spLocks noChangeArrowheads="1"/>
        </xdr:cNvSpPr>
      </xdr:nvSpPr>
      <xdr:spPr bwMode="auto">
        <a:xfrm>
          <a:off x="657225" y="916019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416</xdr:row>
      <xdr:rowOff>47625</xdr:rowOff>
    </xdr:from>
    <xdr:to>
      <xdr:col>1</xdr:col>
      <xdr:colOff>219075</xdr:colOff>
      <xdr:row>416</xdr:row>
      <xdr:rowOff>123825</xdr:rowOff>
    </xdr:to>
    <xdr:sp macro="" textlink="">
      <xdr:nvSpPr>
        <xdr:cNvPr id="62" name="Oval 86"/>
        <xdr:cNvSpPr>
          <a:spLocks noChangeArrowheads="1"/>
        </xdr:cNvSpPr>
      </xdr:nvSpPr>
      <xdr:spPr bwMode="auto">
        <a:xfrm>
          <a:off x="657225" y="919257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123825</xdr:colOff>
      <xdr:row>421</xdr:row>
      <xdr:rowOff>47625</xdr:rowOff>
    </xdr:from>
    <xdr:to>
      <xdr:col>1</xdr:col>
      <xdr:colOff>266700</xdr:colOff>
      <xdr:row>421</xdr:row>
      <xdr:rowOff>190500</xdr:rowOff>
    </xdr:to>
    <xdr:sp macro="" textlink="">
      <xdr:nvSpPr>
        <xdr:cNvPr id="63" name="Oval 87"/>
        <xdr:cNvSpPr>
          <a:spLocks noChangeArrowheads="1"/>
        </xdr:cNvSpPr>
      </xdr:nvSpPr>
      <xdr:spPr bwMode="auto">
        <a:xfrm>
          <a:off x="638175" y="93259275"/>
          <a:ext cx="142875" cy="123825"/>
        </a:xfrm>
        <a:prstGeom prst="ellipse">
          <a:avLst/>
        </a:prstGeom>
        <a:solidFill>
          <a:srgbClr val="3366FF"/>
        </a:solidFill>
        <a:ln w="9525">
          <a:solidFill>
            <a:srgbClr val="000000"/>
          </a:solidFill>
          <a:round/>
          <a:headEnd/>
          <a:tailEnd/>
        </a:ln>
      </xdr:spPr>
    </xdr:sp>
    <xdr:clientData/>
  </xdr:twoCellAnchor>
  <xdr:twoCellAnchor>
    <xdr:from>
      <xdr:col>1</xdr:col>
      <xdr:colOff>123825</xdr:colOff>
      <xdr:row>420</xdr:row>
      <xdr:rowOff>47625</xdr:rowOff>
    </xdr:from>
    <xdr:to>
      <xdr:col>1</xdr:col>
      <xdr:colOff>266700</xdr:colOff>
      <xdr:row>421</xdr:row>
      <xdr:rowOff>0</xdr:rowOff>
    </xdr:to>
    <xdr:sp macro="" textlink="">
      <xdr:nvSpPr>
        <xdr:cNvPr id="64" name="Oval 88"/>
        <xdr:cNvSpPr>
          <a:spLocks noChangeArrowheads="1"/>
        </xdr:cNvSpPr>
      </xdr:nvSpPr>
      <xdr:spPr bwMode="auto">
        <a:xfrm>
          <a:off x="638175" y="93087825"/>
          <a:ext cx="142875" cy="123825"/>
        </a:xfrm>
        <a:prstGeom prst="ellipse">
          <a:avLst/>
        </a:prstGeom>
        <a:solidFill>
          <a:srgbClr val="000000"/>
        </a:solidFill>
        <a:ln w="9525">
          <a:solidFill>
            <a:srgbClr val="000000"/>
          </a:solidFill>
          <a:round/>
          <a:headEnd/>
          <a:tailEnd/>
        </a:ln>
      </xdr:spPr>
    </xdr:sp>
    <xdr:clientData/>
  </xdr:twoCellAnchor>
  <xdr:twoCellAnchor>
    <xdr:from>
      <xdr:col>1</xdr:col>
      <xdr:colOff>123825</xdr:colOff>
      <xdr:row>422</xdr:row>
      <xdr:rowOff>47625</xdr:rowOff>
    </xdr:from>
    <xdr:to>
      <xdr:col>1</xdr:col>
      <xdr:colOff>266700</xdr:colOff>
      <xdr:row>422</xdr:row>
      <xdr:rowOff>190500</xdr:rowOff>
    </xdr:to>
    <xdr:sp macro="" textlink="">
      <xdr:nvSpPr>
        <xdr:cNvPr id="65" name="Oval 89"/>
        <xdr:cNvSpPr>
          <a:spLocks noChangeArrowheads="1"/>
        </xdr:cNvSpPr>
      </xdr:nvSpPr>
      <xdr:spPr bwMode="auto">
        <a:xfrm>
          <a:off x="638175" y="93430725"/>
          <a:ext cx="142875" cy="123825"/>
        </a:xfrm>
        <a:prstGeom prst="ellipse">
          <a:avLst/>
        </a:prstGeom>
        <a:solidFill>
          <a:srgbClr val="000080"/>
        </a:solidFill>
        <a:ln w="9525">
          <a:solidFill>
            <a:srgbClr val="000000"/>
          </a:solidFill>
          <a:round/>
          <a:headEnd/>
          <a:tailEnd/>
        </a:ln>
      </xdr:spPr>
    </xdr:sp>
    <xdr:clientData/>
  </xdr:twoCellAnchor>
  <xdr:twoCellAnchor>
    <xdr:from>
      <xdr:col>1</xdr:col>
      <xdr:colOff>133350</xdr:colOff>
      <xdr:row>423</xdr:row>
      <xdr:rowOff>47625</xdr:rowOff>
    </xdr:from>
    <xdr:to>
      <xdr:col>1</xdr:col>
      <xdr:colOff>266700</xdr:colOff>
      <xdr:row>424</xdr:row>
      <xdr:rowOff>9525</xdr:rowOff>
    </xdr:to>
    <xdr:sp macro="" textlink="">
      <xdr:nvSpPr>
        <xdr:cNvPr id="66" name="Oval 90"/>
        <xdr:cNvSpPr>
          <a:spLocks noChangeArrowheads="1"/>
        </xdr:cNvSpPr>
      </xdr:nvSpPr>
      <xdr:spPr bwMode="auto">
        <a:xfrm>
          <a:off x="647700" y="93602175"/>
          <a:ext cx="133350" cy="133350"/>
        </a:xfrm>
        <a:prstGeom prst="ellipse">
          <a:avLst/>
        </a:prstGeom>
        <a:gradFill rotWithShape="1">
          <a:gsLst>
            <a:gs pos="0">
              <a:srgbClr val="00FF00"/>
            </a:gs>
            <a:gs pos="50000">
              <a:srgbClr val="FFFF00"/>
            </a:gs>
            <a:gs pos="100000">
              <a:srgbClr val="00FF00"/>
            </a:gs>
          </a:gsLst>
          <a:lin ang="5400000" scaled="1"/>
        </a:gradFill>
        <a:ln w="9525">
          <a:solidFill>
            <a:srgbClr val="000000"/>
          </a:solidFill>
          <a:round/>
          <a:headEnd/>
          <a:tailEnd/>
        </a:ln>
      </xdr:spPr>
    </xdr:sp>
    <xdr:clientData/>
  </xdr:twoCellAnchor>
  <xdr:twoCellAnchor>
    <xdr:from>
      <xdr:col>1</xdr:col>
      <xdr:colOff>133350</xdr:colOff>
      <xdr:row>424</xdr:row>
      <xdr:rowOff>38100</xdr:rowOff>
    </xdr:from>
    <xdr:to>
      <xdr:col>1</xdr:col>
      <xdr:colOff>266700</xdr:colOff>
      <xdr:row>425</xdr:row>
      <xdr:rowOff>0</xdr:rowOff>
    </xdr:to>
    <xdr:sp macro="" textlink="">
      <xdr:nvSpPr>
        <xdr:cNvPr id="67" name="Oval 91"/>
        <xdr:cNvSpPr>
          <a:spLocks noChangeArrowheads="1"/>
        </xdr:cNvSpPr>
      </xdr:nvSpPr>
      <xdr:spPr bwMode="auto">
        <a:xfrm>
          <a:off x="647700" y="93764100"/>
          <a:ext cx="133350" cy="133350"/>
        </a:xfrm>
        <a:prstGeom prst="ellipse">
          <a:avLst/>
        </a:prstGeom>
        <a:solidFill>
          <a:srgbClr val="FFCC00"/>
        </a:solidFill>
        <a:ln w="9525">
          <a:solidFill>
            <a:srgbClr val="000000"/>
          </a:solidFill>
          <a:round/>
          <a:headEnd/>
          <a:tailEnd/>
        </a:ln>
      </xdr:spPr>
    </xdr:sp>
    <xdr:clientData/>
  </xdr:twoCellAnchor>
  <xdr:twoCellAnchor>
    <xdr:from>
      <xdr:col>1</xdr:col>
      <xdr:colOff>123825</xdr:colOff>
      <xdr:row>425</xdr:row>
      <xdr:rowOff>47625</xdr:rowOff>
    </xdr:from>
    <xdr:to>
      <xdr:col>1</xdr:col>
      <xdr:colOff>266700</xdr:colOff>
      <xdr:row>425</xdr:row>
      <xdr:rowOff>190500</xdr:rowOff>
    </xdr:to>
    <xdr:sp macro="" textlink="">
      <xdr:nvSpPr>
        <xdr:cNvPr id="68" name="Oval 92"/>
        <xdr:cNvSpPr>
          <a:spLocks noChangeArrowheads="1"/>
        </xdr:cNvSpPr>
      </xdr:nvSpPr>
      <xdr:spPr bwMode="auto">
        <a:xfrm>
          <a:off x="638175" y="93945075"/>
          <a:ext cx="142875" cy="123825"/>
        </a:xfrm>
        <a:prstGeom prst="ellipse">
          <a:avLst/>
        </a:prstGeom>
        <a:solidFill>
          <a:srgbClr val="FFFFFF"/>
        </a:solidFill>
        <a:ln w="9525">
          <a:solidFill>
            <a:srgbClr val="000000"/>
          </a:solidFill>
          <a:round/>
          <a:headEnd/>
          <a:tailEnd/>
        </a:ln>
      </xdr:spPr>
    </xdr:sp>
    <xdr:clientData/>
  </xdr:twoCellAnchor>
  <xdr:twoCellAnchor>
    <xdr:from>
      <xdr:col>1</xdr:col>
      <xdr:colOff>123825</xdr:colOff>
      <xdr:row>426</xdr:row>
      <xdr:rowOff>47625</xdr:rowOff>
    </xdr:from>
    <xdr:to>
      <xdr:col>1</xdr:col>
      <xdr:colOff>266700</xdr:colOff>
      <xdr:row>426</xdr:row>
      <xdr:rowOff>190500</xdr:rowOff>
    </xdr:to>
    <xdr:sp macro="" textlink="">
      <xdr:nvSpPr>
        <xdr:cNvPr id="69" name="Oval 93"/>
        <xdr:cNvSpPr>
          <a:spLocks noChangeArrowheads="1"/>
        </xdr:cNvSpPr>
      </xdr:nvSpPr>
      <xdr:spPr bwMode="auto">
        <a:xfrm>
          <a:off x="638175" y="94116525"/>
          <a:ext cx="142875" cy="123825"/>
        </a:xfrm>
        <a:prstGeom prst="ellipse">
          <a:avLst/>
        </a:prstGeom>
        <a:solidFill>
          <a:srgbClr val="FF0000"/>
        </a:solidFill>
        <a:ln w="9525">
          <a:solidFill>
            <a:srgbClr val="000000"/>
          </a:solidFill>
          <a:round/>
          <a:headEnd/>
          <a:tailEnd/>
        </a:ln>
      </xdr:spPr>
    </xdr:sp>
    <xdr:clientData/>
  </xdr:twoCellAnchor>
  <xdr:twoCellAnchor>
    <xdr:from>
      <xdr:col>1</xdr:col>
      <xdr:colOff>142875</xdr:colOff>
      <xdr:row>429</xdr:row>
      <xdr:rowOff>47625</xdr:rowOff>
    </xdr:from>
    <xdr:to>
      <xdr:col>1</xdr:col>
      <xdr:colOff>219075</xdr:colOff>
      <xdr:row>429</xdr:row>
      <xdr:rowOff>123825</xdr:rowOff>
    </xdr:to>
    <xdr:sp macro="" textlink="">
      <xdr:nvSpPr>
        <xdr:cNvPr id="70" name="Oval 94"/>
        <xdr:cNvSpPr>
          <a:spLocks noChangeArrowheads="1"/>
        </xdr:cNvSpPr>
      </xdr:nvSpPr>
      <xdr:spPr bwMode="auto">
        <a:xfrm>
          <a:off x="657225" y="946118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431</xdr:row>
      <xdr:rowOff>47625</xdr:rowOff>
    </xdr:from>
    <xdr:to>
      <xdr:col>1</xdr:col>
      <xdr:colOff>219075</xdr:colOff>
      <xdr:row>431</xdr:row>
      <xdr:rowOff>123825</xdr:rowOff>
    </xdr:to>
    <xdr:sp macro="" textlink="">
      <xdr:nvSpPr>
        <xdr:cNvPr id="71" name="Oval 95"/>
        <xdr:cNvSpPr>
          <a:spLocks noChangeArrowheads="1"/>
        </xdr:cNvSpPr>
      </xdr:nvSpPr>
      <xdr:spPr bwMode="auto">
        <a:xfrm>
          <a:off x="657225" y="954309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433</xdr:row>
      <xdr:rowOff>47625</xdr:rowOff>
    </xdr:from>
    <xdr:to>
      <xdr:col>1</xdr:col>
      <xdr:colOff>219075</xdr:colOff>
      <xdr:row>433</xdr:row>
      <xdr:rowOff>123825</xdr:rowOff>
    </xdr:to>
    <xdr:sp macro="" textlink="">
      <xdr:nvSpPr>
        <xdr:cNvPr id="72" name="Oval 96"/>
        <xdr:cNvSpPr>
          <a:spLocks noChangeArrowheads="1"/>
        </xdr:cNvSpPr>
      </xdr:nvSpPr>
      <xdr:spPr bwMode="auto">
        <a:xfrm>
          <a:off x="657225" y="960786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434</xdr:row>
      <xdr:rowOff>47625</xdr:rowOff>
    </xdr:from>
    <xdr:to>
      <xdr:col>1</xdr:col>
      <xdr:colOff>219075</xdr:colOff>
      <xdr:row>434</xdr:row>
      <xdr:rowOff>123825</xdr:rowOff>
    </xdr:to>
    <xdr:sp macro="" textlink="">
      <xdr:nvSpPr>
        <xdr:cNvPr id="73" name="Oval 97"/>
        <xdr:cNvSpPr>
          <a:spLocks noChangeArrowheads="1"/>
        </xdr:cNvSpPr>
      </xdr:nvSpPr>
      <xdr:spPr bwMode="auto">
        <a:xfrm>
          <a:off x="657225" y="963263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438</xdr:row>
      <xdr:rowOff>47625</xdr:rowOff>
    </xdr:from>
    <xdr:to>
      <xdr:col>1</xdr:col>
      <xdr:colOff>219075</xdr:colOff>
      <xdr:row>438</xdr:row>
      <xdr:rowOff>123825</xdr:rowOff>
    </xdr:to>
    <xdr:sp macro="" textlink="">
      <xdr:nvSpPr>
        <xdr:cNvPr id="74" name="Oval 98"/>
        <xdr:cNvSpPr>
          <a:spLocks noChangeArrowheads="1"/>
        </xdr:cNvSpPr>
      </xdr:nvSpPr>
      <xdr:spPr bwMode="auto">
        <a:xfrm>
          <a:off x="657225" y="972978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440</xdr:row>
      <xdr:rowOff>47625</xdr:rowOff>
    </xdr:from>
    <xdr:to>
      <xdr:col>1</xdr:col>
      <xdr:colOff>219075</xdr:colOff>
      <xdr:row>440</xdr:row>
      <xdr:rowOff>123825</xdr:rowOff>
    </xdr:to>
    <xdr:sp macro="" textlink="">
      <xdr:nvSpPr>
        <xdr:cNvPr id="75" name="Oval 101"/>
        <xdr:cNvSpPr>
          <a:spLocks noChangeArrowheads="1"/>
        </xdr:cNvSpPr>
      </xdr:nvSpPr>
      <xdr:spPr bwMode="auto">
        <a:xfrm>
          <a:off x="657225" y="979455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444</xdr:row>
      <xdr:rowOff>47625</xdr:rowOff>
    </xdr:from>
    <xdr:to>
      <xdr:col>1</xdr:col>
      <xdr:colOff>219075</xdr:colOff>
      <xdr:row>444</xdr:row>
      <xdr:rowOff>123825</xdr:rowOff>
    </xdr:to>
    <xdr:sp macro="" textlink="">
      <xdr:nvSpPr>
        <xdr:cNvPr id="76" name="Oval 102"/>
        <xdr:cNvSpPr>
          <a:spLocks noChangeArrowheads="1"/>
        </xdr:cNvSpPr>
      </xdr:nvSpPr>
      <xdr:spPr bwMode="auto">
        <a:xfrm>
          <a:off x="657225" y="990695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447</xdr:row>
      <xdr:rowOff>47625</xdr:rowOff>
    </xdr:from>
    <xdr:to>
      <xdr:col>1</xdr:col>
      <xdr:colOff>219075</xdr:colOff>
      <xdr:row>447</xdr:row>
      <xdr:rowOff>123825</xdr:rowOff>
    </xdr:to>
    <xdr:sp macro="" textlink="">
      <xdr:nvSpPr>
        <xdr:cNvPr id="77" name="Oval 103"/>
        <xdr:cNvSpPr>
          <a:spLocks noChangeArrowheads="1"/>
        </xdr:cNvSpPr>
      </xdr:nvSpPr>
      <xdr:spPr bwMode="auto">
        <a:xfrm>
          <a:off x="657225" y="997172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459</xdr:row>
      <xdr:rowOff>47625</xdr:rowOff>
    </xdr:from>
    <xdr:to>
      <xdr:col>1</xdr:col>
      <xdr:colOff>219075</xdr:colOff>
      <xdr:row>459</xdr:row>
      <xdr:rowOff>123825</xdr:rowOff>
    </xdr:to>
    <xdr:sp macro="" textlink="">
      <xdr:nvSpPr>
        <xdr:cNvPr id="78" name="Oval 104"/>
        <xdr:cNvSpPr>
          <a:spLocks noChangeArrowheads="1"/>
        </xdr:cNvSpPr>
      </xdr:nvSpPr>
      <xdr:spPr bwMode="auto">
        <a:xfrm>
          <a:off x="657225" y="1005268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463</xdr:row>
      <xdr:rowOff>47625</xdr:rowOff>
    </xdr:from>
    <xdr:to>
      <xdr:col>1</xdr:col>
      <xdr:colOff>219075</xdr:colOff>
      <xdr:row>463</xdr:row>
      <xdr:rowOff>123825</xdr:rowOff>
    </xdr:to>
    <xdr:sp macro="" textlink="">
      <xdr:nvSpPr>
        <xdr:cNvPr id="79" name="Oval 106"/>
        <xdr:cNvSpPr>
          <a:spLocks noChangeArrowheads="1"/>
        </xdr:cNvSpPr>
      </xdr:nvSpPr>
      <xdr:spPr bwMode="auto">
        <a:xfrm>
          <a:off x="657225" y="1014984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464</xdr:row>
      <xdr:rowOff>47625</xdr:rowOff>
    </xdr:from>
    <xdr:to>
      <xdr:col>1</xdr:col>
      <xdr:colOff>219075</xdr:colOff>
      <xdr:row>464</xdr:row>
      <xdr:rowOff>123825</xdr:rowOff>
    </xdr:to>
    <xdr:sp macro="" textlink="">
      <xdr:nvSpPr>
        <xdr:cNvPr id="80" name="Oval 107"/>
        <xdr:cNvSpPr>
          <a:spLocks noChangeArrowheads="1"/>
        </xdr:cNvSpPr>
      </xdr:nvSpPr>
      <xdr:spPr bwMode="auto">
        <a:xfrm>
          <a:off x="657225" y="1018222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465</xdr:row>
      <xdr:rowOff>47625</xdr:rowOff>
    </xdr:from>
    <xdr:to>
      <xdr:col>1</xdr:col>
      <xdr:colOff>219075</xdr:colOff>
      <xdr:row>465</xdr:row>
      <xdr:rowOff>123825</xdr:rowOff>
    </xdr:to>
    <xdr:sp macro="" textlink="">
      <xdr:nvSpPr>
        <xdr:cNvPr id="81" name="Oval 108"/>
        <xdr:cNvSpPr>
          <a:spLocks noChangeArrowheads="1"/>
        </xdr:cNvSpPr>
      </xdr:nvSpPr>
      <xdr:spPr bwMode="auto">
        <a:xfrm>
          <a:off x="657225" y="1023080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466</xdr:row>
      <xdr:rowOff>47625</xdr:rowOff>
    </xdr:from>
    <xdr:to>
      <xdr:col>1</xdr:col>
      <xdr:colOff>219075</xdr:colOff>
      <xdr:row>466</xdr:row>
      <xdr:rowOff>123825</xdr:rowOff>
    </xdr:to>
    <xdr:sp macro="" textlink="">
      <xdr:nvSpPr>
        <xdr:cNvPr id="82" name="Oval 109"/>
        <xdr:cNvSpPr>
          <a:spLocks noChangeArrowheads="1"/>
        </xdr:cNvSpPr>
      </xdr:nvSpPr>
      <xdr:spPr bwMode="auto">
        <a:xfrm>
          <a:off x="657225" y="1024699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471</xdr:row>
      <xdr:rowOff>85725</xdr:rowOff>
    </xdr:from>
    <xdr:to>
      <xdr:col>1</xdr:col>
      <xdr:colOff>219075</xdr:colOff>
      <xdr:row>471</xdr:row>
      <xdr:rowOff>161925</xdr:rowOff>
    </xdr:to>
    <xdr:sp macro="" textlink="">
      <xdr:nvSpPr>
        <xdr:cNvPr id="83" name="Oval 110"/>
        <xdr:cNvSpPr>
          <a:spLocks noChangeArrowheads="1"/>
        </xdr:cNvSpPr>
      </xdr:nvSpPr>
      <xdr:spPr bwMode="auto">
        <a:xfrm>
          <a:off x="657225" y="1036415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473</xdr:row>
      <xdr:rowOff>85725</xdr:rowOff>
    </xdr:from>
    <xdr:to>
      <xdr:col>1</xdr:col>
      <xdr:colOff>219075</xdr:colOff>
      <xdr:row>473</xdr:row>
      <xdr:rowOff>161925</xdr:rowOff>
    </xdr:to>
    <xdr:sp macro="" textlink="">
      <xdr:nvSpPr>
        <xdr:cNvPr id="84" name="Oval 111"/>
        <xdr:cNvSpPr>
          <a:spLocks noChangeArrowheads="1"/>
        </xdr:cNvSpPr>
      </xdr:nvSpPr>
      <xdr:spPr bwMode="auto">
        <a:xfrm>
          <a:off x="657225" y="1041273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474</xdr:row>
      <xdr:rowOff>47625</xdr:rowOff>
    </xdr:from>
    <xdr:to>
      <xdr:col>1</xdr:col>
      <xdr:colOff>219075</xdr:colOff>
      <xdr:row>474</xdr:row>
      <xdr:rowOff>123825</xdr:rowOff>
    </xdr:to>
    <xdr:sp macro="" textlink="">
      <xdr:nvSpPr>
        <xdr:cNvPr id="85" name="Oval 112"/>
        <xdr:cNvSpPr>
          <a:spLocks noChangeArrowheads="1"/>
        </xdr:cNvSpPr>
      </xdr:nvSpPr>
      <xdr:spPr bwMode="auto">
        <a:xfrm>
          <a:off x="657225" y="1042797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476</xdr:row>
      <xdr:rowOff>47625</xdr:rowOff>
    </xdr:from>
    <xdr:to>
      <xdr:col>1</xdr:col>
      <xdr:colOff>219075</xdr:colOff>
      <xdr:row>476</xdr:row>
      <xdr:rowOff>123825</xdr:rowOff>
    </xdr:to>
    <xdr:sp macro="" textlink="">
      <xdr:nvSpPr>
        <xdr:cNvPr id="86" name="Oval 113"/>
        <xdr:cNvSpPr>
          <a:spLocks noChangeArrowheads="1"/>
        </xdr:cNvSpPr>
      </xdr:nvSpPr>
      <xdr:spPr bwMode="auto">
        <a:xfrm>
          <a:off x="657225" y="1050131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479</xdr:row>
      <xdr:rowOff>47625</xdr:rowOff>
    </xdr:from>
    <xdr:to>
      <xdr:col>1</xdr:col>
      <xdr:colOff>219075</xdr:colOff>
      <xdr:row>479</xdr:row>
      <xdr:rowOff>123825</xdr:rowOff>
    </xdr:to>
    <xdr:sp macro="" textlink="">
      <xdr:nvSpPr>
        <xdr:cNvPr id="87" name="Oval 114"/>
        <xdr:cNvSpPr>
          <a:spLocks noChangeArrowheads="1"/>
        </xdr:cNvSpPr>
      </xdr:nvSpPr>
      <xdr:spPr bwMode="auto">
        <a:xfrm>
          <a:off x="657225" y="1056608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480</xdr:row>
      <xdr:rowOff>85725</xdr:rowOff>
    </xdr:from>
    <xdr:to>
      <xdr:col>1</xdr:col>
      <xdr:colOff>219075</xdr:colOff>
      <xdr:row>480</xdr:row>
      <xdr:rowOff>161925</xdr:rowOff>
    </xdr:to>
    <xdr:sp macro="" textlink="">
      <xdr:nvSpPr>
        <xdr:cNvPr id="88" name="Oval 115"/>
        <xdr:cNvSpPr>
          <a:spLocks noChangeArrowheads="1"/>
        </xdr:cNvSpPr>
      </xdr:nvSpPr>
      <xdr:spPr bwMode="auto">
        <a:xfrm>
          <a:off x="657225" y="1060227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481</xdr:row>
      <xdr:rowOff>85725</xdr:rowOff>
    </xdr:from>
    <xdr:to>
      <xdr:col>1</xdr:col>
      <xdr:colOff>219075</xdr:colOff>
      <xdr:row>481</xdr:row>
      <xdr:rowOff>161925</xdr:rowOff>
    </xdr:to>
    <xdr:sp macro="" textlink="">
      <xdr:nvSpPr>
        <xdr:cNvPr id="89" name="Oval 116"/>
        <xdr:cNvSpPr>
          <a:spLocks noChangeArrowheads="1"/>
        </xdr:cNvSpPr>
      </xdr:nvSpPr>
      <xdr:spPr bwMode="auto">
        <a:xfrm>
          <a:off x="657225" y="1063466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482</xdr:row>
      <xdr:rowOff>85725</xdr:rowOff>
    </xdr:from>
    <xdr:to>
      <xdr:col>1</xdr:col>
      <xdr:colOff>219075</xdr:colOff>
      <xdr:row>482</xdr:row>
      <xdr:rowOff>161925</xdr:rowOff>
    </xdr:to>
    <xdr:sp macro="" textlink="">
      <xdr:nvSpPr>
        <xdr:cNvPr id="90" name="Oval 117"/>
        <xdr:cNvSpPr>
          <a:spLocks noChangeArrowheads="1"/>
        </xdr:cNvSpPr>
      </xdr:nvSpPr>
      <xdr:spPr bwMode="auto">
        <a:xfrm>
          <a:off x="657225" y="1065085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483</xdr:row>
      <xdr:rowOff>85725</xdr:rowOff>
    </xdr:from>
    <xdr:to>
      <xdr:col>1</xdr:col>
      <xdr:colOff>219075</xdr:colOff>
      <xdr:row>483</xdr:row>
      <xdr:rowOff>161925</xdr:rowOff>
    </xdr:to>
    <xdr:sp macro="" textlink="">
      <xdr:nvSpPr>
        <xdr:cNvPr id="91" name="Oval 118"/>
        <xdr:cNvSpPr>
          <a:spLocks noChangeArrowheads="1"/>
        </xdr:cNvSpPr>
      </xdr:nvSpPr>
      <xdr:spPr bwMode="auto">
        <a:xfrm>
          <a:off x="657225" y="1066704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484</xdr:row>
      <xdr:rowOff>47625</xdr:rowOff>
    </xdr:from>
    <xdr:to>
      <xdr:col>1</xdr:col>
      <xdr:colOff>219075</xdr:colOff>
      <xdr:row>484</xdr:row>
      <xdr:rowOff>123825</xdr:rowOff>
    </xdr:to>
    <xdr:sp macro="" textlink="">
      <xdr:nvSpPr>
        <xdr:cNvPr id="92" name="Oval 119"/>
        <xdr:cNvSpPr>
          <a:spLocks noChangeArrowheads="1"/>
        </xdr:cNvSpPr>
      </xdr:nvSpPr>
      <xdr:spPr bwMode="auto">
        <a:xfrm>
          <a:off x="657225" y="1068324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487</xdr:row>
      <xdr:rowOff>47625</xdr:rowOff>
    </xdr:from>
    <xdr:to>
      <xdr:col>1</xdr:col>
      <xdr:colOff>219075</xdr:colOff>
      <xdr:row>487</xdr:row>
      <xdr:rowOff>123825</xdr:rowOff>
    </xdr:to>
    <xdr:sp macro="" textlink="">
      <xdr:nvSpPr>
        <xdr:cNvPr id="93" name="Oval 120"/>
        <xdr:cNvSpPr>
          <a:spLocks noChangeArrowheads="1"/>
        </xdr:cNvSpPr>
      </xdr:nvSpPr>
      <xdr:spPr bwMode="auto">
        <a:xfrm>
          <a:off x="657225" y="1078039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488</xdr:row>
      <xdr:rowOff>47625</xdr:rowOff>
    </xdr:from>
    <xdr:to>
      <xdr:col>1</xdr:col>
      <xdr:colOff>219075</xdr:colOff>
      <xdr:row>488</xdr:row>
      <xdr:rowOff>123825</xdr:rowOff>
    </xdr:to>
    <xdr:sp macro="" textlink="">
      <xdr:nvSpPr>
        <xdr:cNvPr id="94" name="Oval 121"/>
        <xdr:cNvSpPr>
          <a:spLocks noChangeArrowheads="1"/>
        </xdr:cNvSpPr>
      </xdr:nvSpPr>
      <xdr:spPr bwMode="auto">
        <a:xfrm>
          <a:off x="657225" y="1084516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489</xdr:row>
      <xdr:rowOff>47625</xdr:rowOff>
    </xdr:from>
    <xdr:to>
      <xdr:col>1</xdr:col>
      <xdr:colOff>219075</xdr:colOff>
      <xdr:row>489</xdr:row>
      <xdr:rowOff>123825</xdr:rowOff>
    </xdr:to>
    <xdr:sp macro="" textlink="">
      <xdr:nvSpPr>
        <xdr:cNvPr id="95" name="Oval 122"/>
        <xdr:cNvSpPr>
          <a:spLocks noChangeArrowheads="1"/>
        </xdr:cNvSpPr>
      </xdr:nvSpPr>
      <xdr:spPr bwMode="auto">
        <a:xfrm>
          <a:off x="657225" y="1087755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499</xdr:row>
      <xdr:rowOff>47625</xdr:rowOff>
    </xdr:from>
    <xdr:to>
      <xdr:col>1</xdr:col>
      <xdr:colOff>219075</xdr:colOff>
      <xdr:row>499</xdr:row>
      <xdr:rowOff>123825</xdr:rowOff>
    </xdr:to>
    <xdr:sp macro="" textlink="">
      <xdr:nvSpPr>
        <xdr:cNvPr id="96" name="Oval 123"/>
        <xdr:cNvSpPr>
          <a:spLocks noChangeArrowheads="1"/>
        </xdr:cNvSpPr>
      </xdr:nvSpPr>
      <xdr:spPr bwMode="auto">
        <a:xfrm>
          <a:off x="657225" y="1094232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502</xdr:row>
      <xdr:rowOff>47625</xdr:rowOff>
    </xdr:from>
    <xdr:to>
      <xdr:col>1</xdr:col>
      <xdr:colOff>219075</xdr:colOff>
      <xdr:row>502</xdr:row>
      <xdr:rowOff>123825</xdr:rowOff>
    </xdr:to>
    <xdr:sp macro="" textlink="">
      <xdr:nvSpPr>
        <xdr:cNvPr id="97" name="Oval 124"/>
        <xdr:cNvSpPr>
          <a:spLocks noChangeArrowheads="1"/>
        </xdr:cNvSpPr>
      </xdr:nvSpPr>
      <xdr:spPr bwMode="auto">
        <a:xfrm>
          <a:off x="657225" y="1100709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505</xdr:row>
      <xdr:rowOff>47625</xdr:rowOff>
    </xdr:from>
    <xdr:to>
      <xdr:col>1</xdr:col>
      <xdr:colOff>219075</xdr:colOff>
      <xdr:row>505</xdr:row>
      <xdr:rowOff>123825</xdr:rowOff>
    </xdr:to>
    <xdr:sp macro="" textlink="">
      <xdr:nvSpPr>
        <xdr:cNvPr id="98" name="Oval 125"/>
        <xdr:cNvSpPr>
          <a:spLocks noChangeArrowheads="1"/>
        </xdr:cNvSpPr>
      </xdr:nvSpPr>
      <xdr:spPr bwMode="auto">
        <a:xfrm>
          <a:off x="657225" y="1107186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506</xdr:row>
      <xdr:rowOff>47625</xdr:rowOff>
    </xdr:from>
    <xdr:to>
      <xdr:col>1</xdr:col>
      <xdr:colOff>219075</xdr:colOff>
      <xdr:row>506</xdr:row>
      <xdr:rowOff>123825</xdr:rowOff>
    </xdr:to>
    <xdr:sp macro="" textlink="">
      <xdr:nvSpPr>
        <xdr:cNvPr id="99" name="Oval 126"/>
        <xdr:cNvSpPr>
          <a:spLocks noChangeArrowheads="1"/>
        </xdr:cNvSpPr>
      </xdr:nvSpPr>
      <xdr:spPr bwMode="auto">
        <a:xfrm>
          <a:off x="657225" y="1110424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508</xdr:row>
      <xdr:rowOff>47625</xdr:rowOff>
    </xdr:from>
    <xdr:to>
      <xdr:col>1</xdr:col>
      <xdr:colOff>219075</xdr:colOff>
      <xdr:row>508</xdr:row>
      <xdr:rowOff>123825</xdr:rowOff>
    </xdr:to>
    <xdr:sp macro="" textlink="">
      <xdr:nvSpPr>
        <xdr:cNvPr id="100" name="Oval 127"/>
        <xdr:cNvSpPr>
          <a:spLocks noChangeArrowheads="1"/>
        </xdr:cNvSpPr>
      </xdr:nvSpPr>
      <xdr:spPr bwMode="auto">
        <a:xfrm>
          <a:off x="657225" y="1119378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510</xdr:row>
      <xdr:rowOff>47625</xdr:rowOff>
    </xdr:from>
    <xdr:to>
      <xdr:col>1</xdr:col>
      <xdr:colOff>219075</xdr:colOff>
      <xdr:row>510</xdr:row>
      <xdr:rowOff>123825</xdr:rowOff>
    </xdr:to>
    <xdr:sp macro="" textlink="">
      <xdr:nvSpPr>
        <xdr:cNvPr id="101" name="Oval 128"/>
        <xdr:cNvSpPr>
          <a:spLocks noChangeArrowheads="1"/>
        </xdr:cNvSpPr>
      </xdr:nvSpPr>
      <xdr:spPr bwMode="auto">
        <a:xfrm>
          <a:off x="657225" y="1127474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511</xdr:row>
      <xdr:rowOff>47625</xdr:rowOff>
    </xdr:from>
    <xdr:to>
      <xdr:col>1</xdr:col>
      <xdr:colOff>219075</xdr:colOff>
      <xdr:row>511</xdr:row>
      <xdr:rowOff>123825</xdr:rowOff>
    </xdr:to>
    <xdr:sp macro="" textlink="">
      <xdr:nvSpPr>
        <xdr:cNvPr id="102" name="Oval 129"/>
        <xdr:cNvSpPr>
          <a:spLocks noChangeArrowheads="1"/>
        </xdr:cNvSpPr>
      </xdr:nvSpPr>
      <xdr:spPr bwMode="auto">
        <a:xfrm>
          <a:off x="657225" y="1130712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513</xdr:row>
      <xdr:rowOff>47625</xdr:rowOff>
    </xdr:from>
    <xdr:to>
      <xdr:col>1</xdr:col>
      <xdr:colOff>219075</xdr:colOff>
      <xdr:row>513</xdr:row>
      <xdr:rowOff>123825</xdr:rowOff>
    </xdr:to>
    <xdr:sp macro="" textlink="">
      <xdr:nvSpPr>
        <xdr:cNvPr id="103" name="Oval 130"/>
        <xdr:cNvSpPr>
          <a:spLocks noChangeArrowheads="1"/>
        </xdr:cNvSpPr>
      </xdr:nvSpPr>
      <xdr:spPr bwMode="auto">
        <a:xfrm>
          <a:off x="657225" y="1135284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515</xdr:row>
      <xdr:rowOff>47625</xdr:rowOff>
    </xdr:from>
    <xdr:to>
      <xdr:col>1</xdr:col>
      <xdr:colOff>219075</xdr:colOff>
      <xdr:row>515</xdr:row>
      <xdr:rowOff>123825</xdr:rowOff>
    </xdr:to>
    <xdr:sp macro="" textlink="">
      <xdr:nvSpPr>
        <xdr:cNvPr id="104" name="Oval 131"/>
        <xdr:cNvSpPr>
          <a:spLocks noChangeArrowheads="1"/>
        </xdr:cNvSpPr>
      </xdr:nvSpPr>
      <xdr:spPr bwMode="auto">
        <a:xfrm>
          <a:off x="657225" y="1141761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516</xdr:row>
      <xdr:rowOff>47625</xdr:rowOff>
    </xdr:from>
    <xdr:to>
      <xdr:col>1</xdr:col>
      <xdr:colOff>219075</xdr:colOff>
      <xdr:row>516</xdr:row>
      <xdr:rowOff>123825</xdr:rowOff>
    </xdr:to>
    <xdr:sp macro="" textlink="">
      <xdr:nvSpPr>
        <xdr:cNvPr id="105" name="Oval 132"/>
        <xdr:cNvSpPr>
          <a:spLocks noChangeArrowheads="1"/>
        </xdr:cNvSpPr>
      </xdr:nvSpPr>
      <xdr:spPr bwMode="auto">
        <a:xfrm>
          <a:off x="657225" y="1145000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517</xdr:row>
      <xdr:rowOff>47625</xdr:rowOff>
    </xdr:from>
    <xdr:to>
      <xdr:col>1</xdr:col>
      <xdr:colOff>219075</xdr:colOff>
      <xdr:row>517</xdr:row>
      <xdr:rowOff>123825</xdr:rowOff>
    </xdr:to>
    <xdr:sp macro="" textlink="">
      <xdr:nvSpPr>
        <xdr:cNvPr id="106" name="Oval 133"/>
        <xdr:cNvSpPr>
          <a:spLocks noChangeArrowheads="1"/>
        </xdr:cNvSpPr>
      </xdr:nvSpPr>
      <xdr:spPr bwMode="auto">
        <a:xfrm>
          <a:off x="657225" y="1148524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518</xdr:row>
      <xdr:rowOff>47625</xdr:rowOff>
    </xdr:from>
    <xdr:to>
      <xdr:col>1</xdr:col>
      <xdr:colOff>219075</xdr:colOff>
      <xdr:row>518</xdr:row>
      <xdr:rowOff>123825</xdr:rowOff>
    </xdr:to>
    <xdr:sp macro="" textlink="">
      <xdr:nvSpPr>
        <xdr:cNvPr id="107" name="Oval 134"/>
        <xdr:cNvSpPr>
          <a:spLocks noChangeArrowheads="1"/>
        </xdr:cNvSpPr>
      </xdr:nvSpPr>
      <xdr:spPr bwMode="auto">
        <a:xfrm>
          <a:off x="657225" y="1150143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521</xdr:row>
      <xdr:rowOff>47625</xdr:rowOff>
    </xdr:from>
    <xdr:to>
      <xdr:col>1</xdr:col>
      <xdr:colOff>219075</xdr:colOff>
      <xdr:row>521</xdr:row>
      <xdr:rowOff>123825</xdr:rowOff>
    </xdr:to>
    <xdr:sp macro="" textlink="">
      <xdr:nvSpPr>
        <xdr:cNvPr id="108" name="Oval 135"/>
        <xdr:cNvSpPr>
          <a:spLocks noChangeArrowheads="1"/>
        </xdr:cNvSpPr>
      </xdr:nvSpPr>
      <xdr:spPr bwMode="auto">
        <a:xfrm>
          <a:off x="657225" y="1159859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522</xdr:row>
      <xdr:rowOff>85725</xdr:rowOff>
    </xdr:from>
    <xdr:to>
      <xdr:col>1</xdr:col>
      <xdr:colOff>219075</xdr:colOff>
      <xdr:row>522</xdr:row>
      <xdr:rowOff>161925</xdr:rowOff>
    </xdr:to>
    <xdr:sp macro="" textlink="">
      <xdr:nvSpPr>
        <xdr:cNvPr id="109" name="Oval 136"/>
        <xdr:cNvSpPr>
          <a:spLocks noChangeArrowheads="1"/>
        </xdr:cNvSpPr>
      </xdr:nvSpPr>
      <xdr:spPr bwMode="auto">
        <a:xfrm>
          <a:off x="657225" y="1163478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523</xdr:row>
      <xdr:rowOff>47625</xdr:rowOff>
    </xdr:from>
    <xdr:to>
      <xdr:col>1</xdr:col>
      <xdr:colOff>219075</xdr:colOff>
      <xdr:row>523</xdr:row>
      <xdr:rowOff>123825</xdr:rowOff>
    </xdr:to>
    <xdr:sp macro="" textlink="">
      <xdr:nvSpPr>
        <xdr:cNvPr id="110" name="Oval 137"/>
        <xdr:cNvSpPr>
          <a:spLocks noChangeArrowheads="1"/>
        </xdr:cNvSpPr>
      </xdr:nvSpPr>
      <xdr:spPr bwMode="auto">
        <a:xfrm>
          <a:off x="657225" y="1164717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524</xdr:row>
      <xdr:rowOff>47625</xdr:rowOff>
    </xdr:from>
    <xdr:to>
      <xdr:col>1</xdr:col>
      <xdr:colOff>219075</xdr:colOff>
      <xdr:row>524</xdr:row>
      <xdr:rowOff>123825</xdr:rowOff>
    </xdr:to>
    <xdr:sp macro="" textlink="">
      <xdr:nvSpPr>
        <xdr:cNvPr id="111" name="Oval 138"/>
        <xdr:cNvSpPr>
          <a:spLocks noChangeArrowheads="1"/>
        </xdr:cNvSpPr>
      </xdr:nvSpPr>
      <xdr:spPr bwMode="auto">
        <a:xfrm>
          <a:off x="657225" y="1169574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526</xdr:row>
      <xdr:rowOff>47625</xdr:rowOff>
    </xdr:from>
    <xdr:to>
      <xdr:col>1</xdr:col>
      <xdr:colOff>219075</xdr:colOff>
      <xdr:row>526</xdr:row>
      <xdr:rowOff>123825</xdr:rowOff>
    </xdr:to>
    <xdr:sp macro="" textlink="">
      <xdr:nvSpPr>
        <xdr:cNvPr id="112" name="Oval 139"/>
        <xdr:cNvSpPr>
          <a:spLocks noChangeArrowheads="1"/>
        </xdr:cNvSpPr>
      </xdr:nvSpPr>
      <xdr:spPr bwMode="auto">
        <a:xfrm>
          <a:off x="657225" y="1171194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541</xdr:row>
      <xdr:rowOff>47625</xdr:rowOff>
    </xdr:from>
    <xdr:to>
      <xdr:col>1</xdr:col>
      <xdr:colOff>219075</xdr:colOff>
      <xdr:row>541</xdr:row>
      <xdr:rowOff>123825</xdr:rowOff>
    </xdr:to>
    <xdr:sp macro="" textlink="">
      <xdr:nvSpPr>
        <xdr:cNvPr id="113" name="Oval 140"/>
        <xdr:cNvSpPr>
          <a:spLocks noChangeArrowheads="1"/>
        </xdr:cNvSpPr>
      </xdr:nvSpPr>
      <xdr:spPr bwMode="auto">
        <a:xfrm>
          <a:off x="657225" y="1186815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542</xdr:row>
      <xdr:rowOff>47625</xdr:rowOff>
    </xdr:from>
    <xdr:to>
      <xdr:col>1</xdr:col>
      <xdr:colOff>219075</xdr:colOff>
      <xdr:row>542</xdr:row>
      <xdr:rowOff>123825</xdr:rowOff>
    </xdr:to>
    <xdr:sp macro="" textlink="">
      <xdr:nvSpPr>
        <xdr:cNvPr id="114" name="Oval 141"/>
        <xdr:cNvSpPr>
          <a:spLocks noChangeArrowheads="1"/>
        </xdr:cNvSpPr>
      </xdr:nvSpPr>
      <xdr:spPr bwMode="auto">
        <a:xfrm>
          <a:off x="657225" y="1192911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551</xdr:row>
      <xdr:rowOff>85725</xdr:rowOff>
    </xdr:from>
    <xdr:to>
      <xdr:col>1</xdr:col>
      <xdr:colOff>219075</xdr:colOff>
      <xdr:row>551</xdr:row>
      <xdr:rowOff>161925</xdr:rowOff>
    </xdr:to>
    <xdr:sp macro="" textlink="">
      <xdr:nvSpPr>
        <xdr:cNvPr id="115" name="Oval 142"/>
        <xdr:cNvSpPr>
          <a:spLocks noChangeArrowheads="1"/>
        </xdr:cNvSpPr>
      </xdr:nvSpPr>
      <xdr:spPr bwMode="auto">
        <a:xfrm>
          <a:off x="657225" y="1215199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554</xdr:row>
      <xdr:rowOff>85725</xdr:rowOff>
    </xdr:from>
    <xdr:to>
      <xdr:col>1</xdr:col>
      <xdr:colOff>219075</xdr:colOff>
      <xdr:row>554</xdr:row>
      <xdr:rowOff>161925</xdr:rowOff>
    </xdr:to>
    <xdr:sp macro="" textlink="">
      <xdr:nvSpPr>
        <xdr:cNvPr id="116" name="Oval 143"/>
        <xdr:cNvSpPr>
          <a:spLocks noChangeArrowheads="1"/>
        </xdr:cNvSpPr>
      </xdr:nvSpPr>
      <xdr:spPr bwMode="auto">
        <a:xfrm>
          <a:off x="657225" y="1220057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556</xdr:row>
      <xdr:rowOff>85725</xdr:rowOff>
    </xdr:from>
    <xdr:to>
      <xdr:col>1</xdr:col>
      <xdr:colOff>219075</xdr:colOff>
      <xdr:row>556</xdr:row>
      <xdr:rowOff>161925</xdr:rowOff>
    </xdr:to>
    <xdr:sp macro="" textlink="">
      <xdr:nvSpPr>
        <xdr:cNvPr id="117" name="Oval 144"/>
        <xdr:cNvSpPr>
          <a:spLocks noChangeArrowheads="1"/>
        </xdr:cNvSpPr>
      </xdr:nvSpPr>
      <xdr:spPr bwMode="auto">
        <a:xfrm>
          <a:off x="657225" y="1224915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560</xdr:row>
      <xdr:rowOff>85725</xdr:rowOff>
    </xdr:from>
    <xdr:to>
      <xdr:col>1</xdr:col>
      <xdr:colOff>219075</xdr:colOff>
      <xdr:row>560</xdr:row>
      <xdr:rowOff>161925</xdr:rowOff>
    </xdr:to>
    <xdr:sp macro="" textlink="">
      <xdr:nvSpPr>
        <xdr:cNvPr id="118" name="Oval 145"/>
        <xdr:cNvSpPr>
          <a:spLocks noChangeArrowheads="1"/>
        </xdr:cNvSpPr>
      </xdr:nvSpPr>
      <xdr:spPr bwMode="auto">
        <a:xfrm>
          <a:off x="657225" y="1238821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558</xdr:row>
      <xdr:rowOff>85725</xdr:rowOff>
    </xdr:from>
    <xdr:to>
      <xdr:col>1</xdr:col>
      <xdr:colOff>219075</xdr:colOff>
      <xdr:row>558</xdr:row>
      <xdr:rowOff>161925</xdr:rowOff>
    </xdr:to>
    <xdr:sp macro="" textlink="">
      <xdr:nvSpPr>
        <xdr:cNvPr id="119" name="Oval 146"/>
        <xdr:cNvSpPr>
          <a:spLocks noChangeArrowheads="1"/>
        </xdr:cNvSpPr>
      </xdr:nvSpPr>
      <xdr:spPr bwMode="auto">
        <a:xfrm>
          <a:off x="657225" y="1231487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563</xdr:row>
      <xdr:rowOff>47625</xdr:rowOff>
    </xdr:from>
    <xdr:to>
      <xdr:col>1</xdr:col>
      <xdr:colOff>219075</xdr:colOff>
      <xdr:row>563</xdr:row>
      <xdr:rowOff>123825</xdr:rowOff>
    </xdr:to>
    <xdr:sp macro="" textlink="">
      <xdr:nvSpPr>
        <xdr:cNvPr id="120" name="Oval 147"/>
        <xdr:cNvSpPr>
          <a:spLocks noChangeArrowheads="1"/>
        </xdr:cNvSpPr>
      </xdr:nvSpPr>
      <xdr:spPr bwMode="auto">
        <a:xfrm>
          <a:off x="657225" y="1244917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564</xdr:row>
      <xdr:rowOff>47625</xdr:rowOff>
    </xdr:from>
    <xdr:to>
      <xdr:col>1</xdr:col>
      <xdr:colOff>219075</xdr:colOff>
      <xdr:row>564</xdr:row>
      <xdr:rowOff>123825</xdr:rowOff>
    </xdr:to>
    <xdr:sp macro="" textlink="">
      <xdr:nvSpPr>
        <xdr:cNvPr id="121" name="Oval 148"/>
        <xdr:cNvSpPr>
          <a:spLocks noChangeArrowheads="1"/>
        </xdr:cNvSpPr>
      </xdr:nvSpPr>
      <xdr:spPr bwMode="auto">
        <a:xfrm>
          <a:off x="657225" y="1248156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565</xdr:row>
      <xdr:rowOff>47625</xdr:rowOff>
    </xdr:from>
    <xdr:to>
      <xdr:col>1</xdr:col>
      <xdr:colOff>219075</xdr:colOff>
      <xdr:row>565</xdr:row>
      <xdr:rowOff>123825</xdr:rowOff>
    </xdr:to>
    <xdr:sp macro="" textlink="">
      <xdr:nvSpPr>
        <xdr:cNvPr id="122" name="Oval 149"/>
        <xdr:cNvSpPr>
          <a:spLocks noChangeArrowheads="1"/>
        </xdr:cNvSpPr>
      </xdr:nvSpPr>
      <xdr:spPr bwMode="auto">
        <a:xfrm>
          <a:off x="657225" y="1251394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566</xdr:row>
      <xdr:rowOff>47625</xdr:rowOff>
    </xdr:from>
    <xdr:to>
      <xdr:col>1</xdr:col>
      <xdr:colOff>219075</xdr:colOff>
      <xdr:row>566</xdr:row>
      <xdr:rowOff>123825</xdr:rowOff>
    </xdr:to>
    <xdr:sp macro="" textlink="">
      <xdr:nvSpPr>
        <xdr:cNvPr id="123" name="Oval 150"/>
        <xdr:cNvSpPr>
          <a:spLocks noChangeArrowheads="1"/>
        </xdr:cNvSpPr>
      </xdr:nvSpPr>
      <xdr:spPr bwMode="auto">
        <a:xfrm>
          <a:off x="657225" y="1254633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568</xdr:row>
      <xdr:rowOff>47625</xdr:rowOff>
    </xdr:from>
    <xdr:to>
      <xdr:col>1</xdr:col>
      <xdr:colOff>219075</xdr:colOff>
      <xdr:row>568</xdr:row>
      <xdr:rowOff>123825</xdr:rowOff>
    </xdr:to>
    <xdr:sp macro="" textlink="">
      <xdr:nvSpPr>
        <xdr:cNvPr id="124" name="Oval 151"/>
        <xdr:cNvSpPr>
          <a:spLocks noChangeArrowheads="1"/>
        </xdr:cNvSpPr>
      </xdr:nvSpPr>
      <xdr:spPr bwMode="auto">
        <a:xfrm>
          <a:off x="657225" y="1261110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569</xdr:row>
      <xdr:rowOff>85725</xdr:rowOff>
    </xdr:from>
    <xdr:to>
      <xdr:col>1</xdr:col>
      <xdr:colOff>219075</xdr:colOff>
      <xdr:row>569</xdr:row>
      <xdr:rowOff>161925</xdr:rowOff>
    </xdr:to>
    <xdr:sp macro="" textlink="">
      <xdr:nvSpPr>
        <xdr:cNvPr id="125" name="Oval 152"/>
        <xdr:cNvSpPr>
          <a:spLocks noChangeArrowheads="1"/>
        </xdr:cNvSpPr>
      </xdr:nvSpPr>
      <xdr:spPr bwMode="auto">
        <a:xfrm>
          <a:off x="657225" y="1264729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570</xdr:row>
      <xdr:rowOff>47625</xdr:rowOff>
    </xdr:from>
    <xdr:to>
      <xdr:col>1</xdr:col>
      <xdr:colOff>219075</xdr:colOff>
      <xdr:row>570</xdr:row>
      <xdr:rowOff>123825</xdr:rowOff>
    </xdr:to>
    <xdr:sp macro="" textlink="">
      <xdr:nvSpPr>
        <xdr:cNvPr id="126" name="Oval 153"/>
        <xdr:cNvSpPr>
          <a:spLocks noChangeArrowheads="1"/>
        </xdr:cNvSpPr>
      </xdr:nvSpPr>
      <xdr:spPr bwMode="auto">
        <a:xfrm>
          <a:off x="657225" y="1267777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581</xdr:row>
      <xdr:rowOff>85725</xdr:rowOff>
    </xdr:from>
    <xdr:to>
      <xdr:col>1</xdr:col>
      <xdr:colOff>219075</xdr:colOff>
      <xdr:row>581</xdr:row>
      <xdr:rowOff>161925</xdr:rowOff>
    </xdr:to>
    <xdr:sp macro="" textlink="">
      <xdr:nvSpPr>
        <xdr:cNvPr id="127" name="Oval 154"/>
        <xdr:cNvSpPr>
          <a:spLocks noChangeArrowheads="1"/>
        </xdr:cNvSpPr>
      </xdr:nvSpPr>
      <xdr:spPr bwMode="auto">
        <a:xfrm>
          <a:off x="657225" y="1273016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582</xdr:row>
      <xdr:rowOff>47625</xdr:rowOff>
    </xdr:from>
    <xdr:to>
      <xdr:col>1</xdr:col>
      <xdr:colOff>219075</xdr:colOff>
      <xdr:row>582</xdr:row>
      <xdr:rowOff>123825</xdr:rowOff>
    </xdr:to>
    <xdr:sp macro="" textlink="">
      <xdr:nvSpPr>
        <xdr:cNvPr id="128" name="Oval 155"/>
        <xdr:cNvSpPr>
          <a:spLocks noChangeArrowheads="1"/>
        </xdr:cNvSpPr>
      </xdr:nvSpPr>
      <xdr:spPr bwMode="auto">
        <a:xfrm>
          <a:off x="657225" y="1274254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583</xdr:row>
      <xdr:rowOff>47625</xdr:rowOff>
    </xdr:from>
    <xdr:to>
      <xdr:col>1</xdr:col>
      <xdr:colOff>219075</xdr:colOff>
      <xdr:row>583</xdr:row>
      <xdr:rowOff>123825</xdr:rowOff>
    </xdr:to>
    <xdr:sp macro="" textlink="">
      <xdr:nvSpPr>
        <xdr:cNvPr id="129" name="Oval 156"/>
        <xdr:cNvSpPr>
          <a:spLocks noChangeArrowheads="1"/>
        </xdr:cNvSpPr>
      </xdr:nvSpPr>
      <xdr:spPr bwMode="auto">
        <a:xfrm>
          <a:off x="657225" y="1277493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584</xdr:row>
      <xdr:rowOff>47625</xdr:rowOff>
    </xdr:from>
    <xdr:to>
      <xdr:col>1</xdr:col>
      <xdr:colOff>219075</xdr:colOff>
      <xdr:row>584</xdr:row>
      <xdr:rowOff>123825</xdr:rowOff>
    </xdr:to>
    <xdr:sp macro="" textlink="">
      <xdr:nvSpPr>
        <xdr:cNvPr id="130" name="Oval 157"/>
        <xdr:cNvSpPr>
          <a:spLocks noChangeArrowheads="1"/>
        </xdr:cNvSpPr>
      </xdr:nvSpPr>
      <xdr:spPr bwMode="auto">
        <a:xfrm>
          <a:off x="657225" y="1280731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585</xdr:row>
      <xdr:rowOff>47625</xdr:rowOff>
    </xdr:from>
    <xdr:to>
      <xdr:col>1</xdr:col>
      <xdr:colOff>219075</xdr:colOff>
      <xdr:row>585</xdr:row>
      <xdr:rowOff>123825</xdr:rowOff>
    </xdr:to>
    <xdr:sp macro="" textlink="">
      <xdr:nvSpPr>
        <xdr:cNvPr id="131" name="Oval 158"/>
        <xdr:cNvSpPr>
          <a:spLocks noChangeArrowheads="1"/>
        </xdr:cNvSpPr>
      </xdr:nvSpPr>
      <xdr:spPr bwMode="auto">
        <a:xfrm>
          <a:off x="657225" y="1283970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586</xdr:row>
      <xdr:rowOff>47625</xdr:rowOff>
    </xdr:from>
    <xdr:to>
      <xdr:col>1</xdr:col>
      <xdr:colOff>219075</xdr:colOff>
      <xdr:row>586</xdr:row>
      <xdr:rowOff>123825</xdr:rowOff>
    </xdr:to>
    <xdr:sp macro="" textlink="">
      <xdr:nvSpPr>
        <xdr:cNvPr id="132" name="Oval 159"/>
        <xdr:cNvSpPr>
          <a:spLocks noChangeArrowheads="1"/>
        </xdr:cNvSpPr>
      </xdr:nvSpPr>
      <xdr:spPr bwMode="auto">
        <a:xfrm>
          <a:off x="657225" y="1288827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588</xdr:row>
      <xdr:rowOff>47625</xdr:rowOff>
    </xdr:from>
    <xdr:to>
      <xdr:col>1</xdr:col>
      <xdr:colOff>219075</xdr:colOff>
      <xdr:row>588</xdr:row>
      <xdr:rowOff>123825</xdr:rowOff>
    </xdr:to>
    <xdr:sp macro="" textlink="">
      <xdr:nvSpPr>
        <xdr:cNvPr id="133" name="Oval 160"/>
        <xdr:cNvSpPr>
          <a:spLocks noChangeArrowheads="1"/>
        </xdr:cNvSpPr>
      </xdr:nvSpPr>
      <xdr:spPr bwMode="auto">
        <a:xfrm>
          <a:off x="657225" y="1298543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589</xdr:row>
      <xdr:rowOff>47625</xdr:rowOff>
    </xdr:from>
    <xdr:to>
      <xdr:col>1</xdr:col>
      <xdr:colOff>219075</xdr:colOff>
      <xdr:row>589</xdr:row>
      <xdr:rowOff>123825</xdr:rowOff>
    </xdr:to>
    <xdr:sp macro="" textlink="">
      <xdr:nvSpPr>
        <xdr:cNvPr id="134" name="Oval 161"/>
        <xdr:cNvSpPr>
          <a:spLocks noChangeArrowheads="1"/>
        </xdr:cNvSpPr>
      </xdr:nvSpPr>
      <xdr:spPr bwMode="auto">
        <a:xfrm>
          <a:off x="657225" y="1303401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590</xdr:row>
      <xdr:rowOff>47625</xdr:rowOff>
    </xdr:from>
    <xdr:to>
      <xdr:col>1</xdr:col>
      <xdr:colOff>219075</xdr:colOff>
      <xdr:row>590</xdr:row>
      <xdr:rowOff>123825</xdr:rowOff>
    </xdr:to>
    <xdr:sp macro="" textlink="">
      <xdr:nvSpPr>
        <xdr:cNvPr id="135" name="Oval 162"/>
        <xdr:cNvSpPr>
          <a:spLocks noChangeArrowheads="1"/>
        </xdr:cNvSpPr>
      </xdr:nvSpPr>
      <xdr:spPr bwMode="auto">
        <a:xfrm>
          <a:off x="657225" y="1308258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591</xdr:row>
      <xdr:rowOff>47625</xdr:rowOff>
    </xdr:from>
    <xdr:to>
      <xdr:col>1</xdr:col>
      <xdr:colOff>219075</xdr:colOff>
      <xdr:row>591</xdr:row>
      <xdr:rowOff>123825</xdr:rowOff>
    </xdr:to>
    <xdr:sp macro="" textlink="">
      <xdr:nvSpPr>
        <xdr:cNvPr id="136" name="Oval 163"/>
        <xdr:cNvSpPr>
          <a:spLocks noChangeArrowheads="1"/>
        </xdr:cNvSpPr>
      </xdr:nvSpPr>
      <xdr:spPr bwMode="auto">
        <a:xfrm>
          <a:off x="657225" y="1313116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592</xdr:row>
      <xdr:rowOff>47625</xdr:rowOff>
    </xdr:from>
    <xdr:to>
      <xdr:col>1</xdr:col>
      <xdr:colOff>219075</xdr:colOff>
      <xdr:row>592</xdr:row>
      <xdr:rowOff>123825</xdr:rowOff>
    </xdr:to>
    <xdr:sp macro="" textlink="">
      <xdr:nvSpPr>
        <xdr:cNvPr id="137" name="Oval 164"/>
        <xdr:cNvSpPr>
          <a:spLocks noChangeArrowheads="1"/>
        </xdr:cNvSpPr>
      </xdr:nvSpPr>
      <xdr:spPr bwMode="auto">
        <a:xfrm>
          <a:off x="657225" y="1317974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594</xdr:row>
      <xdr:rowOff>85725</xdr:rowOff>
    </xdr:from>
    <xdr:to>
      <xdr:col>1</xdr:col>
      <xdr:colOff>219075</xdr:colOff>
      <xdr:row>594</xdr:row>
      <xdr:rowOff>161925</xdr:rowOff>
    </xdr:to>
    <xdr:sp macro="" textlink="">
      <xdr:nvSpPr>
        <xdr:cNvPr id="138" name="Oval 165"/>
        <xdr:cNvSpPr>
          <a:spLocks noChangeArrowheads="1"/>
        </xdr:cNvSpPr>
      </xdr:nvSpPr>
      <xdr:spPr bwMode="auto">
        <a:xfrm>
          <a:off x="657225" y="1324832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598</xdr:row>
      <xdr:rowOff>85725</xdr:rowOff>
    </xdr:from>
    <xdr:to>
      <xdr:col>1</xdr:col>
      <xdr:colOff>219075</xdr:colOff>
      <xdr:row>598</xdr:row>
      <xdr:rowOff>161925</xdr:rowOff>
    </xdr:to>
    <xdr:sp macro="" textlink="">
      <xdr:nvSpPr>
        <xdr:cNvPr id="139" name="Oval 166"/>
        <xdr:cNvSpPr>
          <a:spLocks noChangeArrowheads="1"/>
        </xdr:cNvSpPr>
      </xdr:nvSpPr>
      <xdr:spPr bwMode="auto">
        <a:xfrm>
          <a:off x="657225" y="133292850"/>
          <a:ext cx="76200" cy="76200"/>
        </a:xfrm>
        <a:prstGeom prst="ellipse">
          <a:avLst/>
        </a:prstGeom>
        <a:solidFill>
          <a:srgbClr val="000080"/>
        </a:solidFill>
        <a:ln w="9525">
          <a:solidFill>
            <a:srgbClr val="003366"/>
          </a:solidFill>
          <a:round/>
          <a:headEnd/>
          <a:tailEnd/>
        </a:ln>
      </xdr:spPr>
    </xdr:sp>
    <xdr:clientData/>
  </xdr:twoCellAnchor>
  <xdr:twoCellAnchor>
    <xdr:from>
      <xdr:col>2</xdr:col>
      <xdr:colOff>114300</xdr:colOff>
      <xdr:row>599</xdr:row>
      <xdr:rowOff>66675</xdr:rowOff>
    </xdr:from>
    <xdr:to>
      <xdr:col>2</xdr:col>
      <xdr:colOff>2733675</xdr:colOff>
      <xdr:row>611</xdr:row>
      <xdr:rowOff>0</xdr:rowOff>
    </xdr:to>
    <xdr:pic>
      <xdr:nvPicPr>
        <xdr:cNvPr id="140" name="Picture 167"/>
        <xdr:cNvPicPr>
          <a:picLocks noChangeAspect="1" noChangeArrowheads="1"/>
        </xdr:cNvPicPr>
      </xdr:nvPicPr>
      <xdr:blipFill>
        <a:blip xmlns:r="http://schemas.openxmlformats.org/officeDocument/2006/relationships" r:embed="rId3" cstate="print"/>
        <a:srcRect/>
        <a:stretch>
          <a:fillRect/>
        </a:stretch>
      </xdr:blipFill>
      <xdr:spPr bwMode="auto">
        <a:xfrm>
          <a:off x="1104900" y="133597650"/>
          <a:ext cx="2619375" cy="2114550"/>
        </a:xfrm>
        <a:prstGeom prst="rect">
          <a:avLst/>
        </a:prstGeom>
        <a:noFill/>
        <a:ln w="9525">
          <a:noFill/>
          <a:miter lim="800000"/>
          <a:headEnd/>
          <a:tailEnd/>
        </a:ln>
      </xdr:spPr>
    </xdr:pic>
    <xdr:clientData/>
  </xdr:twoCellAnchor>
  <xdr:twoCellAnchor>
    <xdr:from>
      <xdr:col>2</xdr:col>
      <xdr:colOff>295275</xdr:colOff>
      <xdr:row>606</xdr:row>
      <xdr:rowOff>57150</xdr:rowOff>
    </xdr:from>
    <xdr:to>
      <xdr:col>2</xdr:col>
      <xdr:colOff>1057275</xdr:colOff>
      <xdr:row>607</xdr:row>
      <xdr:rowOff>123825</xdr:rowOff>
    </xdr:to>
    <xdr:sp macro="" textlink="">
      <xdr:nvSpPr>
        <xdr:cNvPr id="141" name="Line 168"/>
        <xdr:cNvSpPr>
          <a:spLocks noChangeShapeType="1"/>
        </xdr:cNvSpPr>
      </xdr:nvSpPr>
      <xdr:spPr bwMode="auto">
        <a:xfrm flipV="1">
          <a:off x="1285875" y="134893050"/>
          <a:ext cx="762000" cy="228600"/>
        </a:xfrm>
        <a:prstGeom prst="line">
          <a:avLst/>
        </a:prstGeom>
        <a:noFill/>
        <a:ln w="28575">
          <a:solidFill>
            <a:srgbClr val="FF0000"/>
          </a:solidFill>
          <a:round/>
          <a:headEnd/>
          <a:tailEnd/>
        </a:ln>
      </xdr:spPr>
    </xdr:sp>
    <xdr:clientData/>
  </xdr:twoCellAnchor>
  <xdr:twoCellAnchor>
    <xdr:from>
      <xdr:col>2</xdr:col>
      <xdr:colOff>1781175</xdr:colOff>
      <xdr:row>606</xdr:row>
      <xdr:rowOff>19050</xdr:rowOff>
    </xdr:from>
    <xdr:to>
      <xdr:col>2</xdr:col>
      <xdr:colOff>2543175</xdr:colOff>
      <xdr:row>607</xdr:row>
      <xdr:rowOff>85725</xdr:rowOff>
    </xdr:to>
    <xdr:sp macro="" textlink="">
      <xdr:nvSpPr>
        <xdr:cNvPr id="142" name="Line 169"/>
        <xdr:cNvSpPr>
          <a:spLocks noChangeShapeType="1"/>
        </xdr:cNvSpPr>
      </xdr:nvSpPr>
      <xdr:spPr bwMode="auto">
        <a:xfrm flipV="1">
          <a:off x="2771775" y="134854950"/>
          <a:ext cx="762000" cy="228600"/>
        </a:xfrm>
        <a:prstGeom prst="line">
          <a:avLst/>
        </a:prstGeom>
        <a:noFill/>
        <a:ln w="28575">
          <a:solidFill>
            <a:srgbClr val="FF0000"/>
          </a:solidFill>
          <a:round/>
          <a:headEnd/>
          <a:tailEnd/>
        </a:ln>
      </xdr:spPr>
    </xdr:sp>
    <xdr:clientData/>
  </xdr:twoCellAnchor>
  <xdr:twoCellAnchor>
    <xdr:from>
      <xdr:col>2</xdr:col>
      <xdr:colOff>1838325</xdr:colOff>
      <xdr:row>600</xdr:row>
      <xdr:rowOff>19050</xdr:rowOff>
    </xdr:from>
    <xdr:to>
      <xdr:col>2</xdr:col>
      <xdr:colOff>2600325</xdr:colOff>
      <xdr:row>601</xdr:row>
      <xdr:rowOff>85725</xdr:rowOff>
    </xdr:to>
    <xdr:sp macro="" textlink="">
      <xdr:nvSpPr>
        <xdr:cNvPr id="143" name="Line 170"/>
        <xdr:cNvSpPr>
          <a:spLocks noChangeShapeType="1"/>
        </xdr:cNvSpPr>
      </xdr:nvSpPr>
      <xdr:spPr bwMode="auto">
        <a:xfrm flipV="1">
          <a:off x="2828925" y="133797675"/>
          <a:ext cx="762000" cy="228600"/>
        </a:xfrm>
        <a:prstGeom prst="line">
          <a:avLst/>
        </a:prstGeom>
        <a:noFill/>
        <a:ln w="28575">
          <a:solidFill>
            <a:srgbClr val="FF0000"/>
          </a:solidFill>
          <a:round/>
          <a:headEnd/>
          <a:tailEnd/>
        </a:ln>
      </xdr:spPr>
    </xdr:sp>
    <xdr:clientData/>
  </xdr:twoCellAnchor>
  <xdr:twoCellAnchor>
    <xdr:from>
      <xdr:col>2</xdr:col>
      <xdr:colOff>257175</xdr:colOff>
      <xdr:row>600</xdr:row>
      <xdr:rowOff>19050</xdr:rowOff>
    </xdr:from>
    <xdr:to>
      <xdr:col>2</xdr:col>
      <xdr:colOff>1038225</xdr:colOff>
      <xdr:row>600</xdr:row>
      <xdr:rowOff>152400</xdr:rowOff>
    </xdr:to>
    <xdr:sp macro="" textlink="">
      <xdr:nvSpPr>
        <xdr:cNvPr id="144" name="Line 171"/>
        <xdr:cNvSpPr>
          <a:spLocks noChangeShapeType="1"/>
        </xdr:cNvSpPr>
      </xdr:nvSpPr>
      <xdr:spPr bwMode="auto">
        <a:xfrm flipV="1">
          <a:off x="1247775" y="133797675"/>
          <a:ext cx="781050" cy="133350"/>
        </a:xfrm>
        <a:prstGeom prst="line">
          <a:avLst/>
        </a:prstGeom>
        <a:noFill/>
        <a:ln w="28575">
          <a:solidFill>
            <a:srgbClr val="FF0000"/>
          </a:solidFill>
          <a:round/>
          <a:headEnd/>
          <a:tailEnd/>
        </a:ln>
      </xdr:spPr>
    </xdr:sp>
    <xdr:clientData/>
  </xdr:twoCellAnchor>
  <xdr:twoCellAnchor>
    <xdr:from>
      <xdr:col>2</xdr:col>
      <xdr:colOff>180975</xdr:colOff>
      <xdr:row>602</xdr:row>
      <xdr:rowOff>152400</xdr:rowOff>
    </xdr:from>
    <xdr:to>
      <xdr:col>2</xdr:col>
      <xdr:colOff>523875</xdr:colOff>
      <xdr:row>604</xdr:row>
      <xdr:rowOff>76200</xdr:rowOff>
    </xdr:to>
    <xdr:sp macro="" textlink="">
      <xdr:nvSpPr>
        <xdr:cNvPr id="145" name="Line 172"/>
        <xdr:cNvSpPr>
          <a:spLocks noChangeShapeType="1"/>
        </xdr:cNvSpPr>
      </xdr:nvSpPr>
      <xdr:spPr bwMode="auto">
        <a:xfrm flipV="1">
          <a:off x="1171575" y="134254875"/>
          <a:ext cx="342900" cy="333375"/>
        </a:xfrm>
        <a:prstGeom prst="line">
          <a:avLst/>
        </a:prstGeom>
        <a:noFill/>
        <a:ln w="28575">
          <a:solidFill>
            <a:srgbClr val="FF0000"/>
          </a:solidFill>
          <a:round/>
          <a:headEnd/>
          <a:tailEnd/>
        </a:ln>
      </xdr:spPr>
    </xdr:sp>
    <xdr:clientData/>
  </xdr:twoCellAnchor>
  <xdr:twoCellAnchor>
    <xdr:from>
      <xdr:col>1</xdr:col>
      <xdr:colOff>142875</xdr:colOff>
      <xdr:row>622</xdr:row>
      <xdr:rowOff>85725</xdr:rowOff>
    </xdr:from>
    <xdr:to>
      <xdr:col>1</xdr:col>
      <xdr:colOff>219075</xdr:colOff>
      <xdr:row>622</xdr:row>
      <xdr:rowOff>161925</xdr:rowOff>
    </xdr:to>
    <xdr:sp macro="" textlink="">
      <xdr:nvSpPr>
        <xdr:cNvPr id="146" name="Oval 173"/>
        <xdr:cNvSpPr>
          <a:spLocks noChangeArrowheads="1"/>
        </xdr:cNvSpPr>
      </xdr:nvSpPr>
      <xdr:spPr bwMode="auto">
        <a:xfrm>
          <a:off x="657225" y="1368647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625</xdr:row>
      <xdr:rowOff>47625</xdr:rowOff>
    </xdr:from>
    <xdr:to>
      <xdr:col>1</xdr:col>
      <xdr:colOff>219075</xdr:colOff>
      <xdr:row>625</xdr:row>
      <xdr:rowOff>123825</xdr:rowOff>
    </xdr:to>
    <xdr:sp macro="" textlink="">
      <xdr:nvSpPr>
        <xdr:cNvPr id="147" name="Oval 174"/>
        <xdr:cNvSpPr>
          <a:spLocks noChangeArrowheads="1"/>
        </xdr:cNvSpPr>
      </xdr:nvSpPr>
      <xdr:spPr bwMode="auto">
        <a:xfrm>
          <a:off x="657225" y="1373124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626</xdr:row>
      <xdr:rowOff>47625</xdr:rowOff>
    </xdr:from>
    <xdr:to>
      <xdr:col>1</xdr:col>
      <xdr:colOff>219075</xdr:colOff>
      <xdr:row>626</xdr:row>
      <xdr:rowOff>123825</xdr:rowOff>
    </xdr:to>
    <xdr:sp macro="" textlink="">
      <xdr:nvSpPr>
        <xdr:cNvPr id="148" name="Oval 175"/>
        <xdr:cNvSpPr>
          <a:spLocks noChangeArrowheads="1"/>
        </xdr:cNvSpPr>
      </xdr:nvSpPr>
      <xdr:spPr bwMode="auto">
        <a:xfrm>
          <a:off x="657225" y="1374743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629</xdr:row>
      <xdr:rowOff>47625</xdr:rowOff>
    </xdr:from>
    <xdr:to>
      <xdr:col>1</xdr:col>
      <xdr:colOff>219075</xdr:colOff>
      <xdr:row>629</xdr:row>
      <xdr:rowOff>123825</xdr:rowOff>
    </xdr:to>
    <xdr:sp macro="" textlink="">
      <xdr:nvSpPr>
        <xdr:cNvPr id="149" name="Oval 176"/>
        <xdr:cNvSpPr>
          <a:spLocks noChangeArrowheads="1"/>
        </xdr:cNvSpPr>
      </xdr:nvSpPr>
      <xdr:spPr bwMode="auto">
        <a:xfrm>
          <a:off x="657225" y="1381220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630</xdr:row>
      <xdr:rowOff>47625</xdr:rowOff>
    </xdr:from>
    <xdr:to>
      <xdr:col>1</xdr:col>
      <xdr:colOff>219075</xdr:colOff>
      <xdr:row>630</xdr:row>
      <xdr:rowOff>123825</xdr:rowOff>
    </xdr:to>
    <xdr:sp macro="" textlink="">
      <xdr:nvSpPr>
        <xdr:cNvPr id="150" name="Oval 177"/>
        <xdr:cNvSpPr>
          <a:spLocks noChangeArrowheads="1"/>
        </xdr:cNvSpPr>
      </xdr:nvSpPr>
      <xdr:spPr bwMode="auto">
        <a:xfrm>
          <a:off x="657225" y="1398651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631</xdr:row>
      <xdr:rowOff>47625</xdr:rowOff>
    </xdr:from>
    <xdr:to>
      <xdr:col>1</xdr:col>
      <xdr:colOff>219075</xdr:colOff>
      <xdr:row>631</xdr:row>
      <xdr:rowOff>123825</xdr:rowOff>
    </xdr:to>
    <xdr:sp macro="" textlink="">
      <xdr:nvSpPr>
        <xdr:cNvPr id="151" name="Oval 178"/>
        <xdr:cNvSpPr>
          <a:spLocks noChangeArrowheads="1"/>
        </xdr:cNvSpPr>
      </xdr:nvSpPr>
      <xdr:spPr bwMode="auto">
        <a:xfrm>
          <a:off x="657225" y="1401889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634</xdr:row>
      <xdr:rowOff>47625</xdr:rowOff>
    </xdr:from>
    <xdr:to>
      <xdr:col>1</xdr:col>
      <xdr:colOff>219075</xdr:colOff>
      <xdr:row>634</xdr:row>
      <xdr:rowOff>123825</xdr:rowOff>
    </xdr:to>
    <xdr:sp macro="" textlink="">
      <xdr:nvSpPr>
        <xdr:cNvPr id="152" name="Oval 179"/>
        <xdr:cNvSpPr>
          <a:spLocks noChangeArrowheads="1"/>
        </xdr:cNvSpPr>
      </xdr:nvSpPr>
      <xdr:spPr bwMode="auto">
        <a:xfrm>
          <a:off x="657225" y="1410843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637</xdr:row>
      <xdr:rowOff>47625</xdr:rowOff>
    </xdr:from>
    <xdr:to>
      <xdr:col>1</xdr:col>
      <xdr:colOff>219075</xdr:colOff>
      <xdr:row>637</xdr:row>
      <xdr:rowOff>123825</xdr:rowOff>
    </xdr:to>
    <xdr:sp macro="" textlink="">
      <xdr:nvSpPr>
        <xdr:cNvPr id="153" name="Oval 180"/>
        <xdr:cNvSpPr>
          <a:spLocks noChangeArrowheads="1"/>
        </xdr:cNvSpPr>
      </xdr:nvSpPr>
      <xdr:spPr bwMode="auto">
        <a:xfrm>
          <a:off x="657225" y="1417320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638</xdr:row>
      <xdr:rowOff>47625</xdr:rowOff>
    </xdr:from>
    <xdr:to>
      <xdr:col>1</xdr:col>
      <xdr:colOff>219075</xdr:colOff>
      <xdr:row>638</xdr:row>
      <xdr:rowOff>123825</xdr:rowOff>
    </xdr:to>
    <xdr:sp macro="" textlink="">
      <xdr:nvSpPr>
        <xdr:cNvPr id="154" name="Oval 181"/>
        <xdr:cNvSpPr>
          <a:spLocks noChangeArrowheads="1"/>
        </xdr:cNvSpPr>
      </xdr:nvSpPr>
      <xdr:spPr bwMode="auto">
        <a:xfrm>
          <a:off x="657225" y="1420558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639</xdr:row>
      <xdr:rowOff>47625</xdr:rowOff>
    </xdr:from>
    <xdr:to>
      <xdr:col>1</xdr:col>
      <xdr:colOff>219075</xdr:colOff>
      <xdr:row>639</xdr:row>
      <xdr:rowOff>123825</xdr:rowOff>
    </xdr:to>
    <xdr:sp macro="" textlink="">
      <xdr:nvSpPr>
        <xdr:cNvPr id="155" name="Oval 182"/>
        <xdr:cNvSpPr>
          <a:spLocks noChangeArrowheads="1"/>
        </xdr:cNvSpPr>
      </xdr:nvSpPr>
      <xdr:spPr bwMode="auto">
        <a:xfrm>
          <a:off x="657225" y="1423797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641</xdr:row>
      <xdr:rowOff>47625</xdr:rowOff>
    </xdr:from>
    <xdr:to>
      <xdr:col>1</xdr:col>
      <xdr:colOff>219075</xdr:colOff>
      <xdr:row>641</xdr:row>
      <xdr:rowOff>123825</xdr:rowOff>
    </xdr:to>
    <xdr:sp macro="" textlink="">
      <xdr:nvSpPr>
        <xdr:cNvPr id="156" name="Oval 183"/>
        <xdr:cNvSpPr>
          <a:spLocks noChangeArrowheads="1"/>
        </xdr:cNvSpPr>
      </xdr:nvSpPr>
      <xdr:spPr bwMode="auto">
        <a:xfrm>
          <a:off x="657225" y="1428654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640</xdr:row>
      <xdr:rowOff>85725</xdr:rowOff>
    </xdr:from>
    <xdr:to>
      <xdr:col>1</xdr:col>
      <xdr:colOff>219075</xdr:colOff>
      <xdr:row>640</xdr:row>
      <xdr:rowOff>161925</xdr:rowOff>
    </xdr:to>
    <xdr:sp macro="" textlink="">
      <xdr:nvSpPr>
        <xdr:cNvPr id="157" name="Oval 184"/>
        <xdr:cNvSpPr>
          <a:spLocks noChangeArrowheads="1"/>
        </xdr:cNvSpPr>
      </xdr:nvSpPr>
      <xdr:spPr bwMode="auto">
        <a:xfrm>
          <a:off x="657225" y="1427416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642</xdr:row>
      <xdr:rowOff>47625</xdr:rowOff>
    </xdr:from>
    <xdr:to>
      <xdr:col>1</xdr:col>
      <xdr:colOff>219075</xdr:colOff>
      <xdr:row>642</xdr:row>
      <xdr:rowOff>123825</xdr:rowOff>
    </xdr:to>
    <xdr:sp macro="" textlink="">
      <xdr:nvSpPr>
        <xdr:cNvPr id="158" name="Oval 185"/>
        <xdr:cNvSpPr>
          <a:spLocks noChangeArrowheads="1"/>
        </xdr:cNvSpPr>
      </xdr:nvSpPr>
      <xdr:spPr bwMode="auto">
        <a:xfrm>
          <a:off x="657225" y="1431893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645</xdr:row>
      <xdr:rowOff>47625</xdr:rowOff>
    </xdr:from>
    <xdr:to>
      <xdr:col>1</xdr:col>
      <xdr:colOff>219075</xdr:colOff>
      <xdr:row>645</xdr:row>
      <xdr:rowOff>123825</xdr:rowOff>
    </xdr:to>
    <xdr:sp macro="" textlink="">
      <xdr:nvSpPr>
        <xdr:cNvPr id="159" name="Oval 186"/>
        <xdr:cNvSpPr>
          <a:spLocks noChangeArrowheads="1"/>
        </xdr:cNvSpPr>
      </xdr:nvSpPr>
      <xdr:spPr bwMode="auto">
        <a:xfrm>
          <a:off x="657225" y="1442466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656</xdr:row>
      <xdr:rowOff>76200</xdr:rowOff>
    </xdr:from>
    <xdr:to>
      <xdr:col>1</xdr:col>
      <xdr:colOff>219075</xdr:colOff>
      <xdr:row>656</xdr:row>
      <xdr:rowOff>190500</xdr:rowOff>
    </xdr:to>
    <xdr:sp macro="" textlink="">
      <xdr:nvSpPr>
        <xdr:cNvPr id="160" name="Oval 187"/>
        <xdr:cNvSpPr>
          <a:spLocks noChangeArrowheads="1"/>
        </xdr:cNvSpPr>
      </xdr:nvSpPr>
      <xdr:spPr bwMode="auto">
        <a:xfrm>
          <a:off x="657225" y="144760950"/>
          <a:ext cx="76200" cy="1143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659</xdr:row>
      <xdr:rowOff>47625</xdr:rowOff>
    </xdr:from>
    <xdr:to>
      <xdr:col>1</xdr:col>
      <xdr:colOff>219075</xdr:colOff>
      <xdr:row>659</xdr:row>
      <xdr:rowOff>123825</xdr:rowOff>
    </xdr:to>
    <xdr:sp macro="" textlink="">
      <xdr:nvSpPr>
        <xdr:cNvPr id="161" name="Oval 188"/>
        <xdr:cNvSpPr>
          <a:spLocks noChangeArrowheads="1"/>
        </xdr:cNvSpPr>
      </xdr:nvSpPr>
      <xdr:spPr bwMode="auto">
        <a:xfrm>
          <a:off x="657225" y="1455420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660</xdr:row>
      <xdr:rowOff>47625</xdr:rowOff>
    </xdr:from>
    <xdr:to>
      <xdr:col>1</xdr:col>
      <xdr:colOff>219075</xdr:colOff>
      <xdr:row>660</xdr:row>
      <xdr:rowOff>123825</xdr:rowOff>
    </xdr:to>
    <xdr:sp macro="" textlink="">
      <xdr:nvSpPr>
        <xdr:cNvPr id="162" name="Oval 189"/>
        <xdr:cNvSpPr>
          <a:spLocks noChangeArrowheads="1"/>
        </xdr:cNvSpPr>
      </xdr:nvSpPr>
      <xdr:spPr bwMode="auto">
        <a:xfrm>
          <a:off x="657225" y="1460277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664</xdr:row>
      <xdr:rowOff>47625</xdr:rowOff>
    </xdr:from>
    <xdr:to>
      <xdr:col>1</xdr:col>
      <xdr:colOff>219075</xdr:colOff>
      <xdr:row>664</xdr:row>
      <xdr:rowOff>123825</xdr:rowOff>
    </xdr:to>
    <xdr:sp macro="" textlink="">
      <xdr:nvSpPr>
        <xdr:cNvPr id="163" name="Oval 190"/>
        <xdr:cNvSpPr>
          <a:spLocks noChangeArrowheads="1"/>
        </xdr:cNvSpPr>
      </xdr:nvSpPr>
      <xdr:spPr bwMode="auto">
        <a:xfrm>
          <a:off x="657225" y="1469993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667</xdr:row>
      <xdr:rowOff>47625</xdr:rowOff>
    </xdr:from>
    <xdr:to>
      <xdr:col>1</xdr:col>
      <xdr:colOff>219075</xdr:colOff>
      <xdr:row>667</xdr:row>
      <xdr:rowOff>123825</xdr:rowOff>
    </xdr:to>
    <xdr:sp macro="" textlink="">
      <xdr:nvSpPr>
        <xdr:cNvPr id="164" name="Oval 191"/>
        <xdr:cNvSpPr>
          <a:spLocks noChangeArrowheads="1"/>
        </xdr:cNvSpPr>
      </xdr:nvSpPr>
      <xdr:spPr bwMode="auto">
        <a:xfrm>
          <a:off x="657225" y="1478089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757</xdr:row>
      <xdr:rowOff>47625</xdr:rowOff>
    </xdr:from>
    <xdr:to>
      <xdr:col>1</xdr:col>
      <xdr:colOff>219075</xdr:colOff>
      <xdr:row>757</xdr:row>
      <xdr:rowOff>123825</xdr:rowOff>
    </xdr:to>
    <xdr:sp macro="" textlink="">
      <xdr:nvSpPr>
        <xdr:cNvPr id="165" name="Oval 204"/>
        <xdr:cNvSpPr>
          <a:spLocks noChangeArrowheads="1"/>
        </xdr:cNvSpPr>
      </xdr:nvSpPr>
      <xdr:spPr bwMode="auto">
        <a:xfrm>
          <a:off x="657225" y="1605057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758</xdr:row>
      <xdr:rowOff>47625</xdr:rowOff>
    </xdr:from>
    <xdr:to>
      <xdr:col>1</xdr:col>
      <xdr:colOff>219075</xdr:colOff>
      <xdr:row>758</xdr:row>
      <xdr:rowOff>123825</xdr:rowOff>
    </xdr:to>
    <xdr:sp macro="" textlink="">
      <xdr:nvSpPr>
        <xdr:cNvPr id="166" name="Oval 205"/>
        <xdr:cNvSpPr>
          <a:spLocks noChangeArrowheads="1"/>
        </xdr:cNvSpPr>
      </xdr:nvSpPr>
      <xdr:spPr bwMode="auto">
        <a:xfrm>
          <a:off x="657225" y="1606677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759</xdr:row>
      <xdr:rowOff>47625</xdr:rowOff>
    </xdr:from>
    <xdr:to>
      <xdr:col>1</xdr:col>
      <xdr:colOff>219075</xdr:colOff>
      <xdr:row>759</xdr:row>
      <xdr:rowOff>123825</xdr:rowOff>
    </xdr:to>
    <xdr:sp macro="" textlink="">
      <xdr:nvSpPr>
        <xdr:cNvPr id="167" name="Oval 207"/>
        <xdr:cNvSpPr>
          <a:spLocks noChangeArrowheads="1"/>
        </xdr:cNvSpPr>
      </xdr:nvSpPr>
      <xdr:spPr bwMode="auto">
        <a:xfrm>
          <a:off x="657225" y="1608296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760</xdr:row>
      <xdr:rowOff>47625</xdr:rowOff>
    </xdr:from>
    <xdr:to>
      <xdr:col>1</xdr:col>
      <xdr:colOff>219075</xdr:colOff>
      <xdr:row>760</xdr:row>
      <xdr:rowOff>123825</xdr:rowOff>
    </xdr:to>
    <xdr:sp macro="" textlink="">
      <xdr:nvSpPr>
        <xdr:cNvPr id="168" name="Oval 210"/>
        <xdr:cNvSpPr>
          <a:spLocks noChangeArrowheads="1"/>
        </xdr:cNvSpPr>
      </xdr:nvSpPr>
      <xdr:spPr bwMode="auto">
        <a:xfrm>
          <a:off x="657225" y="160991550"/>
          <a:ext cx="76200" cy="76200"/>
        </a:xfrm>
        <a:prstGeom prst="ellipse">
          <a:avLst/>
        </a:prstGeom>
        <a:solidFill>
          <a:srgbClr val="000080"/>
        </a:solidFill>
        <a:ln w="9525">
          <a:solidFill>
            <a:srgbClr val="003366"/>
          </a:solidFill>
          <a:round/>
          <a:headEnd/>
          <a:tailEnd/>
        </a:ln>
      </xdr:spPr>
    </xdr:sp>
    <xdr:clientData/>
  </xdr:twoCellAnchor>
  <xdr:twoCellAnchor>
    <xdr:from>
      <xdr:col>0</xdr:col>
      <xdr:colOff>371475</xdr:colOff>
      <xdr:row>724</xdr:row>
      <xdr:rowOff>152400</xdr:rowOff>
    </xdr:from>
    <xdr:to>
      <xdr:col>1</xdr:col>
      <xdr:colOff>314325</xdr:colOff>
      <xdr:row>737</xdr:row>
      <xdr:rowOff>0</xdr:rowOff>
    </xdr:to>
    <xdr:sp macro="" textlink="">
      <xdr:nvSpPr>
        <xdr:cNvPr id="169" name="Freeform 211"/>
        <xdr:cNvSpPr>
          <a:spLocks/>
        </xdr:cNvSpPr>
      </xdr:nvSpPr>
      <xdr:spPr bwMode="auto">
        <a:xfrm>
          <a:off x="371475" y="155067000"/>
          <a:ext cx="457200" cy="2295525"/>
        </a:xfrm>
        <a:custGeom>
          <a:avLst/>
          <a:gdLst>
            <a:gd name="T0" fmla="*/ 2147483647 w 48"/>
            <a:gd name="T1" fmla="*/ 2147483647 h 260"/>
            <a:gd name="T2" fmla="*/ 0 w 48"/>
            <a:gd name="T3" fmla="*/ 2147483647 h 260"/>
            <a:gd name="T4" fmla="*/ 0 w 48"/>
            <a:gd name="T5" fmla="*/ 0 h 260"/>
            <a:gd name="T6" fmla="*/ 2147483647 w 48"/>
            <a:gd name="T7" fmla="*/ 0 h 260"/>
            <a:gd name="T8" fmla="*/ 0 60000 65536"/>
            <a:gd name="T9" fmla="*/ 0 60000 65536"/>
            <a:gd name="T10" fmla="*/ 0 60000 65536"/>
            <a:gd name="T11" fmla="*/ 0 60000 65536"/>
            <a:gd name="T12" fmla="*/ 0 w 48"/>
            <a:gd name="T13" fmla="*/ 0 h 260"/>
            <a:gd name="T14" fmla="*/ 48 w 48"/>
            <a:gd name="T15" fmla="*/ 260 h 260"/>
          </a:gdLst>
          <a:ahLst/>
          <a:cxnLst>
            <a:cxn ang="T8">
              <a:pos x="T0" y="T1"/>
            </a:cxn>
            <a:cxn ang="T9">
              <a:pos x="T2" y="T3"/>
            </a:cxn>
            <a:cxn ang="T10">
              <a:pos x="T4" y="T5"/>
            </a:cxn>
            <a:cxn ang="T11">
              <a:pos x="T6" y="T7"/>
            </a:cxn>
          </a:cxnLst>
          <a:rect l="T12" t="T13" r="T14" b="T15"/>
          <a:pathLst>
            <a:path w="48" h="260">
              <a:moveTo>
                <a:pt x="48" y="260"/>
              </a:moveTo>
              <a:lnTo>
                <a:pt x="0" y="260"/>
              </a:lnTo>
              <a:lnTo>
                <a:pt x="0" y="0"/>
              </a:lnTo>
              <a:lnTo>
                <a:pt x="40" y="0"/>
              </a:lnTo>
            </a:path>
          </a:pathLst>
        </a:custGeom>
        <a:noFill/>
        <a:ln w="28575" cmpd="sng">
          <a:solidFill>
            <a:srgbClr val="FFCC99"/>
          </a:solidFill>
          <a:round/>
          <a:headEnd type="none" w="med" len="med"/>
          <a:tailEnd type="triangle" w="med" len="med"/>
        </a:ln>
      </xdr:spPr>
    </xdr:sp>
    <xdr:clientData/>
  </xdr:twoCellAnchor>
  <xdr:twoCellAnchor>
    <xdr:from>
      <xdr:col>1</xdr:col>
      <xdr:colOff>0</xdr:colOff>
      <xdr:row>726</xdr:row>
      <xdr:rowOff>133350</xdr:rowOff>
    </xdr:from>
    <xdr:to>
      <xdr:col>1</xdr:col>
      <xdr:colOff>323850</xdr:colOff>
      <xdr:row>730</xdr:row>
      <xdr:rowOff>0</xdr:rowOff>
    </xdr:to>
    <xdr:sp macro="" textlink="">
      <xdr:nvSpPr>
        <xdr:cNvPr id="170" name="Freeform 212"/>
        <xdr:cNvSpPr>
          <a:spLocks/>
        </xdr:cNvSpPr>
      </xdr:nvSpPr>
      <xdr:spPr bwMode="auto">
        <a:xfrm>
          <a:off x="514350" y="155419425"/>
          <a:ext cx="323850" cy="628650"/>
        </a:xfrm>
        <a:custGeom>
          <a:avLst/>
          <a:gdLst>
            <a:gd name="T0" fmla="*/ 2147483647 w 34"/>
            <a:gd name="T1" fmla="*/ 2147483647 h 120"/>
            <a:gd name="T2" fmla="*/ 0 w 34"/>
            <a:gd name="T3" fmla="*/ 2147483647 h 120"/>
            <a:gd name="T4" fmla="*/ 0 w 34"/>
            <a:gd name="T5" fmla="*/ 0 h 120"/>
            <a:gd name="T6" fmla="*/ 2147483647 w 34"/>
            <a:gd name="T7" fmla="*/ 0 h 120"/>
            <a:gd name="T8" fmla="*/ 0 60000 65536"/>
            <a:gd name="T9" fmla="*/ 0 60000 65536"/>
            <a:gd name="T10" fmla="*/ 0 60000 65536"/>
            <a:gd name="T11" fmla="*/ 0 60000 65536"/>
            <a:gd name="T12" fmla="*/ 0 w 34"/>
            <a:gd name="T13" fmla="*/ 0 h 120"/>
            <a:gd name="T14" fmla="*/ 34 w 34"/>
            <a:gd name="T15" fmla="*/ 120 h 120"/>
          </a:gdLst>
          <a:ahLst/>
          <a:cxnLst>
            <a:cxn ang="T8">
              <a:pos x="T0" y="T1"/>
            </a:cxn>
            <a:cxn ang="T9">
              <a:pos x="T2" y="T3"/>
            </a:cxn>
            <a:cxn ang="T10">
              <a:pos x="T4" y="T5"/>
            </a:cxn>
            <a:cxn ang="T11">
              <a:pos x="T6" y="T7"/>
            </a:cxn>
          </a:cxnLst>
          <a:rect l="T12" t="T13" r="T14" b="T15"/>
          <a:pathLst>
            <a:path w="34" h="120">
              <a:moveTo>
                <a:pt x="34" y="120"/>
              </a:moveTo>
              <a:lnTo>
                <a:pt x="0" y="120"/>
              </a:lnTo>
              <a:lnTo>
                <a:pt x="0" y="0"/>
              </a:lnTo>
              <a:lnTo>
                <a:pt x="24" y="0"/>
              </a:lnTo>
            </a:path>
          </a:pathLst>
        </a:custGeom>
        <a:noFill/>
        <a:ln w="28575" cmpd="sng">
          <a:solidFill>
            <a:srgbClr val="FFCC99"/>
          </a:solidFill>
          <a:round/>
          <a:headEnd type="none" w="med" len="med"/>
          <a:tailEnd type="triangle" w="med" len="med"/>
        </a:ln>
      </xdr:spPr>
    </xdr:sp>
    <xdr:clientData/>
  </xdr:twoCellAnchor>
  <xdr:twoCellAnchor>
    <xdr:from>
      <xdr:col>1</xdr:col>
      <xdr:colOff>142875</xdr:colOff>
      <xdr:row>442</xdr:row>
      <xdr:rowOff>85725</xdr:rowOff>
    </xdr:from>
    <xdr:to>
      <xdr:col>1</xdr:col>
      <xdr:colOff>219075</xdr:colOff>
      <xdr:row>442</xdr:row>
      <xdr:rowOff>161925</xdr:rowOff>
    </xdr:to>
    <xdr:sp macro="" textlink="">
      <xdr:nvSpPr>
        <xdr:cNvPr id="171" name="Oval 425"/>
        <xdr:cNvSpPr>
          <a:spLocks noChangeArrowheads="1"/>
        </xdr:cNvSpPr>
      </xdr:nvSpPr>
      <xdr:spPr bwMode="auto">
        <a:xfrm>
          <a:off x="657225" y="986885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443</xdr:row>
      <xdr:rowOff>85725</xdr:rowOff>
    </xdr:from>
    <xdr:to>
      <xdr:col>1</xdr:col>
      <xdr:colOff>219075</xdr:colOff>
      <xdr:row>443</xdr:row>
      <xdr:rowOff>161925</xdr:rowOff>
    </xdr:to>
    <xdr:sp macro="" textlink="">
      <xdr:nvSpPr>
        <xdr:cNvPr id="172" name="Oval 426"/>
        <xdr:cNvSpPr>
          <a:spLocks noChangeArrowheads="1"/>
        </xdr:cNvSpPr>
      </xdr:nvSpPr>
      <xdr:spPr bwMode="auto">
        <a:xfrm>
          <a:off x="657225" y="989361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462</xdr:row>
      <xdr:rowOff>85725</xdr:rowOff>
    </xdr:from>
    <xdr:to>
      <xdr:col>1</xdr:col>
      <xdr:colOff>219075</xdr:colOff>
      <xdr:row>462</xdr:row>
      <xdr:rowOff>161925</xdr:rowOff>
    </xdr:to>
    <xdr:sp macro="" textlink="">
      <xdr:nvSpPr>
        <xdr:cNvPr id="173" name="Oval 442"/>
        <xdr:cNvSpPr>
          <a:spLocks noChangeArrowheads="1"/>
        </xdr:cNvSpPr>
      </xdr:nvSpPr>
      <xdr:spPr bwMode="auto">
        <a:xfrm>
          <a:off x="657225" y="1013745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512</xdr:row>
      <xdr:rowOff>85725</xdr:rowOff>
    </xdr:from>
    <xdr:to>
      <xdr:col>1</xdr:col>
      <xdr:colOff>219075</xdr:colOff>
      <xdr:row>512</xdr:row>
      <xdr:rowOff>161925</xdr:rowOff>
    </xdr:to>
    <xdr:sp macro="" textlink="">
      <xdr:nvSpPr>
        <xdr:cNvPr id="174" name="Oval 518"/>
        <xdr:cNvSpPr>
          <a:spLocks noChangeArrowheads="1"/>
        </xdr:cNvSpPr>
      </xdr:nvSpPr>
      <xdr:spPr bwMode="auto">
        <a:xfrm>
          <a:off x="657225" y="1134046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595</xdr:row>
      <xdr:rowOff>47625</xdr:rowOff>
    </xdr:from>
    <xdr:to>
      <xdr:col>1</xdr:col>
      <xdr:colOff>219075</xdr:colOff>
      <xdr:row>595</xdr:row>
      <xdr:rowOff>123825</xdr:rowOff>
    </xdr:to>
    <xdr:sp macro="" textlink="">
      <xdr:nvSpPr>
        <xdr:cNvPr id="175" name="Oval 636"/>
        <xdr:cNvSpPr>
          <a:spLocks noChangeArrowheads="1"/>
        </xdr:cNvSpPr>
      </xdr:nvSpPr>
      <xdr:spPr bwMode="auto">
        <a:xfrm>
          <a:off x="657225" y="1326070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540</xdr:row>
      <xdr:rowOff>85725</xdr:rowOff>
    </xdr:from>
    <xdr:to>
      <xdr:col>1</xdr:col>
      <xdr:colOff>219075</xdr:colOff>
      <xdr:row>540</xdr:row>
      <xdr:rowOff>161925</xdr:rowOff>
    </xdr:to>
    <xdr:sp macro="" textlink="">
      <xdr:nvSpPr>
        <xdr:cNvPr id="176" name="Oval 701"/>
        <xdr:cNvSpPr>
          <a:spLocks noChangeArrowheads="1"/>
        </xdr:cNvSpPr>
      </xdr:nvSpPr>
      <xdr:spPr bwMode="auto">
        <a:xfrm>
          <a:off x="657225" y="1179671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675</xdr:row>
      <xdr:rowOff>85725</xdr:rowOff>
    </xdr:from>
    <xdr:to>
      <xdr:col>1</xdr:col>
      <xdr:colOff>219075</xdr:colOff>
      <xdr:row>675</xdr:row>
      <xdr:rowOff>161925</xdr:rowOff>
    </xdr:to>
    <xdr:sp macro="" textlink="">
      <xdr:nvSpPr>
        <xdr:cNvPr id="177" name="Oval 724"/>
        <xdr:cNvSpPr>
          <a:spLocks noChangeArrowheads="1"/>
        </xdr:cNvSpPr>
      </xdr:nvSpPr>
      <xdr:spPr bwMode="auto">
        <a:xfrm>
          <a:off x="657225" y="1493901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684</xdr:row>
      <xdr:rowOff>47625</xdr:rowOff>
    </xdr:from>
    <xdr:to>
      <xdr:col>1</xdr:col>
      <xdr:colOff>219075</xdr:colOff>
      <xdr:row>684</xdr:row>
      <xdr:rowOff>123825</xdr:rowOff>
    </xdr:to>
    <xdr:sp macro="" textlink="">
      <xdr:nvSpPr>
        <xdr:cNvPr id="178" name="Oval 729"/>
        <xdr:cNvSpPr>
          <a:spLocks noChangeArrowheads="1"/>
        </xdr:cNvSpPr>
      </xdr:nvSpPr>
      <xdr:spPr bwMode="auto">
        <a:xfrm>
          <a:off x="657225" y="1505045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685</xdr:row>
      <xdr:rowOff>85725</xdr:rowOff>
    </xdr:from>
    <xdr:to>
      <xdr:col>1</xdr:col>
      <xdr:colOff>219075</xdr:colOff>
      <xdr:row>685</xdr:row>
      <xdr:rowOff>161925</xdr:rowOff>
    </xdr:to>
    <xdr:sp macro="" textlink="">
      <xdr:nvSpPr>
        <xdr:cNvPr id="179" name="Oval 733"/>
        <xdr:cNvSpPr>
          <a:spLocks noChangeArrowheads="1"/>
        </xdr:cNvSpPr>
      </xdr:nvSpPr>
      <xdr:spPr bwMode="auto">
        <a:xfrm>
          <a:off x="657225" y="1507045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90</xdr:row>
      <xdr:rowOff>47625</xdr:rowOff>
    </xdr:from>
    <xdr:to>
      <xdr:col>1</xdr:col>
      <xdr:colOff>238125</xdr:colOff>
      <xdr:row>90</xdr:row>
      <xdr:rowOff>123825</xdr:rowOff>
    </xdr:to>
    <xdr:sp macro="" textlink="">
      <xdr:nvSpPr>
        <xdr:cNvPr id="180" name="Oval 740"/>
        <xdr:cNvSpPr>
          <a:spLocks noChangeArrowheads="1"/>
        </xdr:cNvSpPr>
      </xdr:nvSpPr>
      <xdr:spPr bwMode="auto">
        <a:xfrm>
          <a:off x="676275" y="190690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91</xdr:row>
      <xdr:rowOff>85725</xdr:rowOff>
    </xdr:from>
    <xdr:to>
      <xdr:col>1</xdr:col>
      <xdr:colOff>238125</xdr:colOff>
      <xdr:row>91</xdr:row>
      <xdr:rowOff>161925</xdr:rowOff>
    </xdr:to>
    <xdr:sp macro="" textlink="">
      <xdr:nvSpPr>
        <xdr:cNvPr id="181" name="Oval 741"/>
        <xdr:cNvSpPr>
          <a:spLocks noChangeArrowheads="1"/>
        </xdr:cNvSpPr>
      </xdr:nvSpPr>
      <xdr:spPr bwMode="auto">
        <a:xfrm>
          <a:off x="676275" y="196405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94</xdr:row>
      <xdr:rowOff>85725</xdr:rowOff>
    </xdr:from>
    <xdr:to>
      <xdr:col>1</xdr:col>
      <xdr:colOff>238125</xdr:colOff>
      <xdr:row>94</xdr:row>
      <xdr:rowOff>161925</xdr:rowOff>
    </xdr:to>
    <xdr:sp macro="" textlink="">
      <xdr:nvSpPr>
        <xdr:cNvPr id="182" name="Oval 751"/>
        <xdr:cNvSpPr>
          <a:spLocks noChangeArrowheads="1"/>
        </xdr:cNvSpPr>
      </xdr:nvSpPr>
      <xdr:spPr bwMode="auto">
        <a:xfrm>
          <a:off x="676275" y="204978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95</xdr:row>
      <xdr:rowOff>47625</xdr:rowOff>
    </xdr:from>
    <xdr:to>
      <xdr:col>1</xdr:col>
      <xdr:colOff>238125</xdr:colOff>
      <xdr:row>95</xdr:row>
      <xdr:rowOff>123825</xdr:rowOff>
    </xdr:to>
    <xdr:sp macro="" textlink="">
      <xdr:nvSpPr>
        <xdr:cNvPr id="183" name="Oval 752"/>
        <xdr:cNvSpPr>
          <a:spLocks noChangeArrowheads="1"/>
        </xdr:cNvSpPr>
      </xdr:nvSpPr>
      <xdr:spPr bwMode="auto">
        <a:xfrm>
          <a:off x="676275" y="207835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96</xdr:row>
      <xdr:rowOff>47625</xdr:rowOff>
    </xdr:from>
    <xdr:to>
      <xdr:col>1</xdr:col>
      <xdr:colOff>238125</xdr:colOff>
      <xdr:row>96</xdr:row>
      <xdr:rowOff>123825</xdr:rowOff>
    </xdr:to>
    <xdr:sp macro="" textlink="">
      <xdr:nvSpPr>
        <xdr:cNvPr id="184" name="Oval 756"/>
        <xdr:cNvSpPr>
          <a:spLocks noChangeArrowheads="1"/>
        </xdr:cNvSpPr>
      </xdr:nvSpPr>
      <xdr:spPr bwMode="auto">
        <a:xfrm>
          <a:off x="676275" y="212693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99</xdr:row>
      <xdr:rowOff>47625</xdr:rowOff>
    </xdr:from>
    <xdr:to>
      <xdr:col>1</xdr:col>
      <xdr:colOff>238125</xdr:colOff>
      <xdr:row>99</xdr:row>
      <xdr:rowOff>123825</xdr:rowOff>
    </xdr:to>
    <xdr:sp macro="" textlink="">
      <xdr:nvSpPr>
        <xdr:cNvPr id="185" name="Oval 757"/>
        <xdr:cNvSpPr>
          <a:spLocks noChangeArrowheads="1"/>
        </xdr:cNvSpPr>
      </xdr:nvSpPr>
      <xdr:spPr bwMode="auto">
        <a:xfrm>
          <a:off x="676275" y="225552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100</xdr:row>
      <xdr:rowOff>47625</xdr:rowOff>
    </xdr:from>
    <xdr:to>
      <xdr:col>1</xdr:col>
      <xdr:colOff>238125</xdr:colOff>
      <xdr:row>100</xdr:row>
      <xdr:rowOff>123825</xdr:rowOff>
    </xdr:to>
    <xdr:sp macro="" textlink="">
      <xdr:nvSpPr>
        <xdr:cNvPr id="186" name="Oval 758"/>
        <xdr:cNvSpPr>
          <a:spLocks noChangeArrowheads="1"/>
        </xdr:cNvSpPr>
      </xdr:nvSpPr>
      <xdr:spPr bwMode="auto">
        <a:xfrm>
          <a:off x="676275" y="228790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101</xdr:row>
      <xdr:rowOff>47625</xdr:rowOff>
    </xdr:from>
    <xdr:to>
      <xdr:col>1</xdr:col>
      <xdr:colOff>238125</xdr:colOff>
      <xdr:row>101</xdr:row>
      <xdr:rowOff>123825</xdr:rowOff>
    </xdr:to>
    <xdr:sp macro="" textlink="">
      <xdr:nvSpPr>
        <xdr:cNvPr id="187" name="Oval 759"/>
        <xdr:cNvSpPr>
          <a:spLocks noChangeArrowheads="1"/>
        </xdr:cNvSpPr>
      </xdr:nvSpPr>
      <xdr:spPr bwMode="auto">
        <a:xfrm>
          <a:off x="676275" y="232029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104</xdr:row>
      <xdr:rowOff>47625</xdr:rowOff>
    </xdr:from>
    <xdr:to>
      <xdr:col>1</xdr:col>
      <xdr:colOff>238125</xdr:colOff>
      <xdr:row>104</xdr:row>
      <xdr:rowOff>123825</xdr:rowOff>
    </xdr:to>
    <xdr:sp macro="" textlink="">
      <xdr:nvSpPr>
        <xdr:cNvPr id="188" name="Oval 766"/>
        <xdr:cNvSpPr>
          <a:spLocks noChangeArrowheads="1"/>
        </xdr:cNvSpPr>
      </xdr:nvSpPr>
      <xdr:spPr bwMode="auto">
        <a:xfrm>
          <a:off x="676275" y="244983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105</xdr:row>
      <xdr:rowOff>47625</xdr:rowOff>
    </xdr:from>
    <xdr:to>
      <xdr:col>1</xdr:col>
      <xdr:colOff>238125</xdr:colOff>
      <xdr:row>105</xdr:row>
      <xdr:rowOff>123825</xdr:rowOff>
    </xdr:to>
    <xdr:sp macro="" textlink="">
      <xdr:nvSpPr>
        <xdr:cNvPr id="189" name="Oval 767"/>
        <xdr:cNvSpPr>
          <a:spLocks noChangeArrowheads="1"/>
        </xdr:cNvSpPr>
      </xdr:nvSpPr>
      <xdr:spPr bwMode="auto">
        <a:xfrm>
          <a:off x="676275" y="249840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106</xdr:row>
      <xdr:rowOff>47625</xdr:rowOff>
    </xdr:from>
    <xdr:to>
      <xdr:col>1</xdr:col>
      <xdr:colOff>238125</xdr:colOff>
      <xdr:row>106</xdr:row>
      <xdr:rowOff>123825</xdr:rowOff>
    </xdr:to>
    <xdr:sp macro="" textlink="">
      <xdr:nvSpPr>
        <xdr:cNvPr id="190" name="Oval 768"/>
        <xdr:cNvSpPr>
          <a:spLocks noChangeArrowheads="1"/>
        </xdr:cNvSpPr>
      </xdr:nvSpPr>
      <xdr:spPr bwMode="auto">
        <a:xfrm>
          <a:off x="676275" y="253079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107</xdr:row>
      <xdr:rowOff>47625</xdr:rowOff>
    </xdr:from>
    <xdr:to>
      <xdr:col>1</xdr:col>
      <xdr:colOff>238125</xdr:colOff>
      <xdr:row>107</xdr:row>
      <xdr:rowOff>123825</xdr:rowOff>
    </xdr:to>
    <xdr:sp macro="" textlink="">
      <xdr:nvSpPr>
        <xdr:cNvPr id="191" name="Oval 769"/>
        <xdr:cNvSpPr>
          <a:spLocks noChangeArrowheads="1"/>
        </xdr:cNvSpPr>
      </xdr:nvSpPr>
      <xdr:spPr bwMode="auto">
        <a:xfrm>
          <a:off x="676275" y="259556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110</xdr:row>
      <xdr:rowOff>47625</xdr:rowOff>
    </xdr:from>
    <xdr:to>
      <xdr:col>1</xdr:col>
      <xdr:colOff>238125</xdr:colOff>
      <xdr:row>110</xdr:row>
      <xdr:rowOff>123825</xdr:rowOff>
    </xdr:to>
    <xdr:sp macro="" textlink="">
      <xdr:nvSpPr>
        <xdr:cNvPr id="192" name="Oval 785"/>
        <xdr:cNvSpPr>
          <a:spLocks noChangeArrowheads="1"/>
        </xdr:cNvSpPr>
      </xdr:nvSpPr>
      <xdr:spPr bwMode="auto">
        <a:xfrm>
          <a:off x="676275" y="266033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121</xdr:row>
      <xdr:rowOff>47625</xdr:rowOff>
    </xdr:from>
    <xdr:to>
      <xdr:col>1</xdr:col>
      <xdr:colOff>238125</xdr:colOff>
      <xdr:row>121</xdr:row>
      <xdr:rowOff>123825</xdr:rowOff>
    </xdr:to>
    <xdr:sp macro="" textlink="">
      <xdr:nvSpPr>
        <xdr:cNvPr id="193" name="Oval 789"/>
        <xdr:cNvSpPr>
          <a:spLocks noChangeArrowheads="1"/>
        </xdr:cNvSpPr>
      </xdr:nvSpPr>
      <xdr:spPr bwMode="auto">
        <a:xfrm>
          <a:off x="676275" y="277368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165</xdr:row>
      <xdr:rowOff>47625</xdr:rowOff>
    </xdr:from>
    <xdr:to>
      <xdr:col>1</xdr:col>
      <xdr:colOff>238125</xdr:colOff>
      <xdr:row>165</xdr:row>
      <xdr:rowOff>123825</xdr:rowOff>
    </xdr:to>
    <xdr:sp macro="" textlink="">
      <xdr:nvSpPr>
        <xdr:cNvPr id="194" name="Oval 793"/>
        <xdr:cNvSpPr>
          <a:spLocks noChangeArrowheads="1"/>
        </xdr:cNvSpPr>
      </xdr:nvSpPr>
      <xdr:spPr bwMode="auto">
        <a:xfrm>
          <a:off x="676275" y="378904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126</xdr:row>
      <xdr:rowOff>47625</xdr:rowOff>
    </xdr:from>
    <xdr:to>
      <xdr:col>1</xdr:col>
      <xdr:colOff>238125</xdr:colOff>
      <xdr:row>126</xdr:row>
      <xdr:rowOff>123825</xdr:rowOff>
    </xdr:to>
    <xdr:sp macro="" textlink="">
      <xdr:nvSpPr>
        <xdr:cNvPr id="195" name="Oval 794"/>
        <xdr:cNvSpPr>
          <a:spLocks noChangeArrowheads="1"/>
        </xdr:cNvSpPr>
      </xdr:nvSpPr>
      <xdr:spPr bwMode="auto">
        <a:xfrm>
          <a:off x="676275" y="290322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130</xdr:row>
      <xdr:rowOff>47625</xdr:rowOff>
    </xdr:from>
    <xdr:to>
      <xdr:col>1</xdr:col>
      <xdr:colOff>238125</xdr:colOff>
      <xdr:row>130</xdr:row>
      <xdr:rowOff>123825</xdr:rowOff>
    </xdr:to>
    <xdr:sp macro="" textlink="">
      <xdr:nvSpPr>
        <xdr:cNvPr id="196" name="Oval 795"/>
        <xdr:cNvSpPr>
          <a:spLocks noChangeArrowheads="1"/>
        </xdr:cNvSpPr>
      </xdr:nvSpPr>
      <xdr:spPr bwMode="auto">
        <a:xfrm>
          <a:off x="676275" y="304133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128</xdr:row>
      <xdr:rowOff>47625</xdr:rowOff>
    </xdr:from>
    <xdr:to>
      <xdr:col>1</xdr:col>
      <xdr:colOff>238125</xdr:colOff>
      <xdr:row>128</xdr:row>
      <xdr:rowOff>123825</xdr:rowOff>
    </xdr:to>
    <xdr:sp macro="" textlink="">
      <xdr:nvSpPr>
        <xdr:cNvPr id="197" name="Oval 796"/>
        <xdr:cNvSpPr>
          <a:spLocks noChangeArrowheads="1"/>
        </xdr:cNvSpPr>
      </xdr:nvSpPr>
      <xdr:spPr bwMode="auto">
        <a:xfrm>
          <a:off x="676275" y="296799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125</xdr:row>
      <xdr:rowOff>47625</xdr:rowOff>
    </xdr:from>
    <xdr:to>
      <xdr:col>1</xdr:col>
      <xdr:colOff>238125</xdr:colOff>
      <xdr:row>125</xdr:row>
      <xdr:rowOff>123825</xdr:rowOff>
    </xdr:to>
    <xdr:sp macro="" textlink="">
      <xdr:nvSpPr>
        <xdr:cNvPr id="198" name="Oval 797"/>
        <xdr:cNvSpPr>
          <a:spLocks noChangeArrowheads="1"/>
        </xdr:cNvSpPr>
      </xdr:nvSpPr>
      <xdr:spPr bwMode="auto">
        <a:xfrm>
          <a:off x="676275" y="287083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141</xdr:row>
      <xdr:rowOff>47625</xdr:rowOff>
    </xdr:from>
    <xdr:to>
      <xdr:col>1</xdr:col>
      <xdr:colOff>238125</xdr:colOff>
      <xdr:row>141</xdr:row>
      <xdr:rowOff>123825</xdr:rowOff>
    </xdr:to>
    <xdr:sp macro="" textlink="">
      <xdr:nvSpPr>
        <xdr:cNvPr id="199" name="Oval 798"/>
        <xdr:cNvSpPr>
          <a:spLocks noChangeArrowheads="1"/>
        </xdr:cNvSpPr>
      </xdr:nvSpPr>
      <xdr:spPr bwMode="auto">
        <a:xfrm>
          <a:off x="676275" y="329850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180975</xdr:colOff>
      <xdr:row>166</xdr:row>
      <xdr:rowOff>28575</xdr:rowOff>
    </xdr:from>
    <xdr:to>
      <xdr:col>1</xdr:col>
      <xdr:colOff>257175</xdr:colOff>
      <xdr:row>166</xdr:row>
      <xdr:rowOff>104775</xdr:rowOff>
    </xdr:to>
    <xdr:sp macro="" textlink="">
      <xdr:nvSpPr>
        <xdr:cNvPr id="200" name="Oval 799"/>
        <xdr:cNvSpPr>
          <a:spLocks noChangeArrowheads="1"/>
        </xdr:cNvSpPr>
      </xdr:nvSpPr>
      <xdr:spPr bwMode="auto">
        <a:xfrm>
          <a:off x="695325" y="381952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160</xdr:row>
      <xdr:rowOff>85725</xdr:rowOff>
    </xdr:from>
    <xdr:to>
      <xdr:col>1</xdr:col>
      <xdr:colOff>238125</xdr:colOff>
      <xdr:row>160</xdr:row>
      <xdr:rowOff>161925</xdr:rowOff>
    </xdr:to>
    <xdr:sp macro="" textlink="">
      <xdr:nvSpPr>
        <xdr:cNvPr id="201" name="Oval 803"/>
        <xdr:cNvSpPr>
          <a:spLocks noChangeArrowheads="1"/>
        </xdr:cNvSpPr>
      </xdr:nvSpPr>
      <xdr:spPr bwMode="auto">
        <a:xfrm>
          <a:off x="676275" y="369474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161</xdr:row>
      <xdr:rowOff>85725</xdr:rowOff>
    </xdr:from>
    <xdr:to>
      <xdr:col>1</xdr:col>
      <xdr:colOff>238125</xdr:colOff>
      <xdr:row>161</xdr:row>
      <xdr:rowOff>161925</xdr:rowOff>
    </xdr:to>
    <xdr:sp macro="" textlink="">
      <xdr:nvSpPr>
        <xdr:cNvPr id="202" name="Oval 804"/>
        <xdr:cNvSpPr>
          <a:spLocks noChangeArrowheads="1"/>
        </xdr:cNvSpPr>
      </xdr:nvSpPr>
      <xdr:spPr bwMode="auto">
        <a:xfrm>
          <a:off x="676275" y="371189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162</xdr:row>
      <xdr:rowOff>85725</xdr:rowOff>
    </xdr:from>
    <xdr:to>
      <xdr:col>1</xdr:col>
      <xdr:colOff>238125</xdr:colOff>
      <xdr:row>162</xdr:row>
      <xdr:rowOff>161925</xdr:rowOff>
    </xdr:to>
    <xdr:sp macro="" textlink="">
      <xdr:nvSpPr>
        <xdr:cNvPr id="203" name="Oval 805"/>
        <xdr:cNvSpPr>
          <a:spLocks noChangeArrowheads="1"/>
        </xdr:cNvSpPr>
      </xdr:nvSpPr>
      <xdr:spPr bwMode="auto">
        <a:xfrm>
          <a:off x="676275" y="372808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142</xdr:row>
      <xdr:rowOff>47625</xdr:rowOff>
    </xdr:from>
    <xdr:to>
      <xdr:col>1</xdr:col>
      <xdr:colOff>238125</xdr:colOff>
      <xdr:row>142</xdr:row>
      <xdr:rowOff>123825</xdr:rowOff>
    </xdr:to>
    <xdr:sp macro="" textlink="">
      <xdr:nvSpPr>
        <xdr:cNvPr id="204" name="Oval 817"/>
        <xdr:cNvSpPr>
          <a:spLocks noChangeArrowheads="1"/>
        </xdr:cNvSpPr>
      </xdr:nvSpPr>
      <xdr:spPr bwMode="auto">
        <a:xfrm>
          <a:off x="676275" y="332994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143</xdr:row>
      <xdr:rowOff>85725</xdr:rowOff>
    </xdr:from>
    <xdr:to>
      <xdr:col>1</xdr:col>
      <xdr:colOff>238125</xdr:colOff>
      <xdr:row>143</xdr:row>
      <xdr:rowOff>161925</xdr:rowOff>
    </xdr:to>
    <xdr:sp macro="" textlink="">
      <xdr:nvSpPr>
        <xdr:cNvPr id="205" name="Oval 818"/>
        <xdr:cNvSpPr>
          <a:spLocks noChangeArrowheads="1"/>
        </xdr:cNvSpPr>
      </xdr:nvSpPr>
      <xdr:spPr bwMode="auto">
        <a:xfrm>
          <a:off x="676275" y="336804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144</xdr:row>
      <xdr:rowOff>85725</xdr:rowOff>
    </xdr:from>
    <xdr:to>
      <xdr:col>1</xdr:col>
      <xdr:colOff>238125</xdr:colOff>
      <xdr:row>144</xdr:row>
      <xdr:rowOff>161925</xdr:rowOff>
    </xdr:to>
    <xdr:sp macro="" textlink="">
      <xdr:nvSpPr>
        <xdr:cNvPr id="206" name="Oval 819"/>
        <xdr:cNvSpPr>
          <a:spLocks noChangeArrowheads="1"/>
        </xdr:cNvSpPr>
      </xdr:nvSpPr>
      <xdr:spPr bwMode="auto">
        <a:xfrm>
          <a:off x="676275" y="339280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145</xdr:row>
      <xdr:rowOff>85725</xdr:rowOff>
    </xdr:from>
    <xdr:to>
      <xdr:col>1</xdr:col>
      <xdr:colOff>238125</xdr:colOff>
      <xdr:row>145</xdr:row>
      <xdr:rowOff>161925</xdr:rowOff>
    </xdr:to>
    <xdr:sp macro="" textlink="">
      <xdr:nvSpPr>
        <xdr:cNvPr id="207" name="Oval 820"/>
        <xdr:cNvSpPr>
          <a:spLocks noChangeArrowheads="1"/>
        </xdr:cNvSpPr>
      </xdr:nvSpPr>
      <xdr:spPr bwMode="auto">
        <a:xfrm>
          <a:off x="676275" y="342519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149</xdr:row>
      <xdr:rowOff>47625</xdr:rowOff>
    </xdr:from>
    <xdr:to>
      <xdr:col>1</xdr:col>
      <xdr:colOff>238125</xdr:colOff>
      <xdr:row>149</xdr:row>
      <xdr:rowOff>123825</xdr:rowOff>
    </xdr:to>
    <xdr:sp macro="" textlink="">
      <xdr:nvSpPr>
        <xdr:cNvPr id="208" name="Oval 821"/>
        <xdr:cNvSpPr>
          <a:spLocks noChangeArrowheads="1"/>
        </xdr:cNvSpPr>
      </xdr:nvSpPr>
      <xdr:spPr bwMode="auto">
        <a:xfrm>
          <a:off x="676275" y="350520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103</xdr:row>
      <xdr:rowOff>47625</xdr:rowOff>
    </xdr:from>
    <xdr:to>
      <xdr:col>1</xdr:col>
      <xdr:colOff>238125</xdr:colOff>
      <xdr:row>103</xdr:row>
      <xdr:rowOff>123825</xdr:rowOff>
    </xdr:to>
    <xdr:sp macro="" textlink="">
      <xdr:nvSpPr>
        <xdr:cNvPr id="209" name="Oval 918"/>
        <xdr:cNvSpPr>
          <a:spLocks noChangeArrowheads="1"/>
        </xdr:cNvSpPr>
      </xdr:nvSpPr>
      <xdr:spPr bwMode="auto">
        <a:xfrm>
          <a:off x="676275" y="241744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644</xdr:row>
      <xdr:rowOff>47625</xdr:rowOff>
    </xdr:from>
    <xdr:to>
      <xdr:col>1</xdr:col>
      <xdr:colOff>219075</xdr:colOff>
      <xdr:row>644</xdr:row>
      <xdr:rowOff>123825</xdr:rowOff>
    </xdr:to>
    <xdr:sp macro="" textlink="">
      <xdr:nvSpPr>
        <xdr:cNvPr id="210" name="Oval 958"/>
        <xdr:cNvSpPr>
          <a:spLocks noChangeArrowheads="1"/>
        </xdr:cNvSpPr>
      </xdr:nvSpPr>
      <xdr:spPr bwMode="auto">
        <a:xfrm>
          <a:off x="657225" y="1440846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472</xdr:row>
      <xdr:rowOff>142875</xdr:rowOff>
    </xdr:from>
    <xdr:to>
      <xdr:col>1</xdr:col>
      <xdr:colOff>219075</xdr:colOff>
      <xdr:row>472</xdr:row>
      <xdr:rowOff>219075</xdr:rowOff>
    </xdr:to>
    <xdr:sp macro="" textlink="">
      <xdr:nvSpPr>
        <xdr:cNvPr id="211" name="Oval 959"/>
        <xdr:cNvSpPr>
          <a:spLocks noChangeArrowheads="1"/>
        </xdr:cNvSpPr>
      </xdr:nvSpPr>
      <xdr:spPr bwMode="auto">
        <a:xfrm>
          <a:off x="657225" y="1038606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205</xdr:row>
      <xdr:rowOff>47625</xdr:rowOff>
    </xdr:from>
    <xdr:to>
      <xdr:col>1</xdr:col>
      <xdr:colOff>219075</xdr:colOff>
      <xdr:row>205</xdr:row>
      <xdr:rowOff>123825</xdr:rowOff>
    </xdr:to>
    <xdr:sp macro="" textlink="">
      <xdr:nvSpPr>
        <xdr:cNvPr id="212" name="Oval 979"/>
        <xdr:cNvSpPr>
          <a:spLocks noChangeArrowheads="1"/>
        </xdr:cNvSpPr>
      </xdr:nvSpPr>
      <xdr:spPr bwMode="auto">
        <a:xfrm>
          <a:off x="657225" y="454723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161925</xdr:colOff>
      <xdr:row>193</xdr:row>
      <xdr:rowOff>47625</xdr:rowOff>
    </xdr:from>
    <xdr:to>
      <xdr:col>1</xdr:col>
      <xdr:colOff>238125</xdr:colOff>
      <xdr:row>193</xdr:row>
      <xdr:rowOff>123825</xdr:rowOff>
    </xdr:to>
    <xdr:sp macro="" textlink="">
      <xdr:nvSpPr>
        <xdr:cNvPr id="213" name="Oval 980"/>
        <xdr:cNvSpPr>
          <a:spLocks noChangeArrowheads="1"/>
        </xdr:cNvSpPr>
      </xdr:nvSpPr>
      <xdr:spPr bwMode="auto">
        <a:xfrm>
          <a:off x="676275" y="445008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189</xdr:row>
      <xdr:rowOff>47625</xdr:rowOff>
    </xdr:from>
    <xdr:to>
      <xdr:col>1</xdr:col>
      <xdr:colOff>219075</xdr:colOff>
      <xdr:row>189</xdr:row>
      <xdr:rowOff>123825</xdr:rowOff>
    </xdr:to>
    <xdr:sp macro="" textlink="">
      <xdr:nvSpPr>
        <xdr:cNvPr id="214" name="Oval 981"/>
        <xdr:cNvSpPr>
          <a:spLocks noChangeArrowheads="1"/>
        </xdr:cNvSpPr>
      </xdr:nvSpPr>
      <xdr:spPr bwMode="auto">
        <a:xfrm>
          <a:off x="657225" y="438531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188</xdr:row>
      <xdr:rowOff>47625</xdr:rowOff>
    </xdr:from>
    <xdr:to>
      <xdr:col>1</xdr:col>
      <xdr:colOff>219075</xdr:colOff>
      <xdr:row>188</xdr:row>
      <xdr:rowOff>123825</xdr:rowOff>
    </xdr:to>
    <xdr:sp macro="" textlink="">
      <xdr:nvSpPr>
        <xdr:cNvPr id="215" name="Oval 982"/>
        <xdr:cNvSpPr>
          <a:spLocks noChangeArrowheads="1"/>
        </xdr:cNvSpPr>
      </xdr:nvSpPr>
      <xdr:spPr bwMode="auto">
        <a:xfrm>
          <a:off x="657225" y="435292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187</xdr:row>
      <xdr:rowOff>47625</xdr:rowOff>
    </xdr:from>
    <xdr:to>
      <xdr:col>1</xdr:col>
      <xdr:colOff>219075</xdr:colOff>
      <xdr:row>187</xdr:row>
      <xdr:rowOff>123825</xdr:rowOff>
    </xdr:to>
    <xdr:sp macro="" textlink="">
      <xdr:nvSpPr>
        <xdr:cNvPr id="216" name="Oval 983"/>
        <xdr:cNvSpPr>
          <a:spLocks noChangeArrowheads="1"/>
        </xdr:cNvSpPr>
      </xdr:nvSpPr>
      <xdr:spPr bwMode="auto">
        <a:xfrm>
          <a:off x="657225" y="432054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183</xdr:row>
      <xdr:rowOff>47625</xdr:rowOff>
    </xdr:from>
    <xdr:to>
      <xdr:col>1</xdr:col>
      <xdr:colOff>219075</xdr:colOff>
      <xdr:row>183</xdr:row>
      <xdr:rowOff>123825</xdr:rowOff>
    </xdr:to>
    <xdr:sp macro="" textlink="">
      <xdr:nvSpPr>
        <xdr:cNvPr id="217" name="Oval 984"/>
        <xdr:cNvSpPr>
          <a:spLocks noChangeArrowheads="1"/>
        </xdr:cNvSpPr>
      </xdr:nvSpPr>
      <xdr:spPr bwMode="auto">
        <a:xfrm>
          <a:off x="657225" y="4221480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182</xdr:row>
      <xdr:rowOff>47625</xdr:rowOff>
    </xdr:from>
    <xdr:to>
      <xdr:col>1</xdr:col>
      <xdr:colOff>219075</xdr:colOff>
      <xdr:row>182</xdr:row>
      <xdr:rowOff>123825</xdr:rowOff>
    </xdr:to>
    <xdr:sp macro="" textlink="">
      <xdr:nvSpPr>
        <xdr:cNvPr id="218" name="Oval 985"/>
        <xdr:cNvSpPr>
          <a:spLocks noChangeArrowheads="1"/>
        </xdr:cNvSpPr>
      </xdr:nvSpPr>
      <xdr:spPr bwMode="auto">
        <a:xfrm>
          <a:off x="657225" y="4172902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178</xdr:row>
      <xdr:rowOff>47625</xdr:rowOff>
    </xdr:from>
    <xdr:to>
      <xdr:col>1</xdr:col>
      <xdr:colOff>219075</xdr:colOff>
      <xdr:row>178</xdr:row>
      <xdr:rowOff>123825</xdr:rowOff>
    </xdr:to>
    <xdr:sp macro="" textlink="">
      <xdr:nvSpPr>
        <xdr:cNvPr id="219" name="Oval 986"/>
        <xdr:cNvSpPr>
          <a:spLocks noChangeArrowheads="1"/>
        </xdr:cNvSpPr>
      </xdr:nvSpPr>
      <xdr:spPr bwMode="auto">
        <a:xfrm>
          <a:off x="657225" y="411289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174</xdr:row>
      <xdr:rowOff>47625</xdr:rowOff>
    </xdr:from>
    <xdr:to>
      <xdr:col>1</xdr:col>
      <xdr:colOff>219075</xdr:colOff>
      <xdr:row>174</xdr:row>
      <xdr:rowOff>123825</xdr:rowOff>
    </xdr:to>
    <xdr:sp macro="" textlink="">
      <xdr:nvSpPr>
        <xdr:cNvPr id="220" name="Oval 987"/>
        <xdr:cNvSpPr>
          <a:spLocks noChangeArrowheads="1"/>
        </xdr:cNvSpPr>
      </xdr:nvSpPr>
      <xdr:spPr bwMode="auto">
        <a:xfrm>
          <a:off x="657225" y="399954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170</xdr:row>
      <xdr:rowOff>47625</xdr:rowOff>
    </xdr:from>
    <xdr:to>
      <xdr:col>1</xdr:col>
      <xdr:colOff>219075</xdr:colOff>
      <xdr:row>170</xdr:row>
      <xdr:rowOff>123825</xdr:rowOff>
    </xdr:to>
    <xdr:sp macro="" textlink="">
      <xdr:nvSpPr>
        <xdr:cNvPr id="221" name="Oval 988"/>
        <xdr:cNvSpPr>
          <a:spLocks noChangeArrowheads="1"/>
        </xdr:cNvSpPr>
      </xdr:nvSpPr>
      <xdr:spPr bwMode="auto">
        <a:xfrm>
          <a:off x="657225" y="39185850"/>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142875</xdr:colOff>
      <xdr:row>208</xdr:row>
      <xdr:rowOff>47625</xdr:rowOff>
    </xdr:from>
    <xdr:to>
      <xdr:col>1</xdr:col>
      <xdr:colOff>219075</xdr:colOff>
      <xdr:row>208</xdr:row>
      <xdr:rowOff>123825</xdr:rowOff>
    </xdr:to>
    <xdr:sp macro="" textlink="">
      <xdr:nvSpPr>
        <xdr:cNvPr id="222" name="Oval 1019"/>
        <xdr:cNvSpPr>
          <a:spLocks noChangeArrowheads="1"/>
        </xdr:cNvSpPr>
      </xdr:nvSpPr>
      <xdr:spPr bwMode="auto">
        <a:xfrm>
          <a:off x="657225" y="46281975"/>
          <a:ext cx="76200" cy="76200"/>
        </a:xfrm>
        <a:prstGeom prst="ellipse">
          <a:avLst/>
        </a:prstGeom>
        <a:solidFill>
          <a:srgbClr val="000080"/>
        </a:solidFill>
        <a:ln w="9525">
          <a:solidFill>
            <a:srgbClr val="003366"/>
          </a:solidFill>
          <a:round/>
          <a:headEnd/>
          <a:tailEnd/>
        </a:ln>
      </xdr:spPr>
    </xdr:sp>
    <xdr:clientData/>
  </xdr:twoCellAnchor>
  <xdr:twoCellAnchor>
    <xdr:from>
      <xdr:col>1</xdr:col>
      <xdr:colOff>152400</xdr:colOff>
      <xdr:row>209</xdr:row>
      <xdr:rowOff>47625</xdr:rowOff>
    </xdr:from>
    <xdr:to>
      <xdr:col>1</xdr:col>
      <xdr:colOff>228600</xdr:colOff>
      <xdr:row>209</xdr:row>
      <xdr:rowOff>123825</xdr:rowOff>
    </xdr:to>
    <xdr:sp macro="" textlink="">
      <xdr:nvSpPr>
        <xdr:cNvPr id="223" name="Oval 1020"/>
        <xdr:cNvSpPr>
          <a:spLocks noChangeArrowheads="1"/>
        </xdr:cNvSpPr>
      </xdr:nvSpPr>
      <xdr:spPr bwMode="auto">
        <a:xfrm>
          <a:off x="666750" y="47082075"/>
          <a:ext cx="76200" cy="76200"/>
        </a:xfrm>
        <a:prstGeom prst="ellipse">
          <a:avLst/>
        </a:prstGeom>
        <a:solidFill>
          <a:srgbClr val="000080"/>
        </a:solidFill>
        <a:ln w="9525">
          <a:solidFill>
            <a:srgbClr val="003366"/>
          </a:solidFill>
          <a:round/>
          <a:headEnd/>
          <a:tailEnd/>
        </a:ln>
      </xdr:spPr>
    </xdr:sp>
    <xdr:clientData/>
  </xdr:twoCellAnchor>
  <xdr:twoCellAnchor>
    <xdr:from>
      <xdr:col>2</xdr:col>
      <xdr:colOff>2686050</xdr:colOff>
      <xdr:row>208</xdr:row>
      <xdr:rowOff>195756</xdr:rowOff>
    </xdr:from>
    <xdr:to>
      <xdr:col>3</xdr:col>
      <xdr:colOff>133350</xdr:colOff>
      <xdr:row>209</xdr:row>
      <xdr:rowOff>43356</xdr:rowOff>
    </xdr:to>
    <xdr:sp macro="" textlink="">
      <xdr:nvSpPr>
        <xdr:cNvPr id="224" name="Freeform 1027"/>
        <xdr:cNvSpPr>
          <a:spLocks/>
        </xdr:cNvSpPr>
      </xdr:nvSpPr>
      <xdr:spPr bwMode="auto">
        <a:xfrm>
          <a:off x="3677964" y="51124946"/>
          <a:ext cx="285093" cy="649013"/>
        </a:xfrm>
        <a:custGeom>
          <a:avLst/>
          <a:gdLst>
            <a:gd name="T0" fmla="*/ 2147483647 w 28"/>
            <a:gd name="T1" fmla="*/ 0 h 18"/>
            <a:gd name="T2" fmla="*/ 2147483647 w 28"/>
            <a:gd name="T3" fmla="*/ 2147483647 h 18"/>
            <a:gd name="T4" fmla="*/ 0 w 28"/>
            <a:gd name="T5" fmla="*/ 2147483647 h 18"/>
            <a:gd name="T6" fmla="*/ 0 60000 65536"/>
            <a:gd name="T7" fmla="*/ 0 60000 65536"/>
            <a:gd name="T8" fmla="*/ 0 60000 65536"/>
            <a:gd name="T9" fmla="*/ 0 w 28"/>
            <a:gd name="T10" fmla="*/ 0 h 18"/>
            <a:gd name="T11" fmla="*/ 28 w 28"/>
            <a:gd name="T12" fmla="*/ 18 h 18"/>
          </a:gdLst>
          <a:ahLst/>
          <a:cxnLst>
            <a:cxn ang="T6">
              <a:pos x="T0" y="T1"/>
            </a:cxn>
            <a:cxn ang="T7">
              <a:pos x="T2" y="T3"/>
            </a:cxn>
            <a:cxn ang="T8">
              <a:pos x="T4" y="T5"/>
            </a:cxn>
          </a:cxnLst>
          <a:rect l="T9" t="T10" r="T11" b="T12"/>
          <a:pathLst>
            <a:path w="28" h="18">
              <a:moveTo>
                <a:pt x="28" y="0"/>
              </a:moveTo>
              <a:lnTo>
                <a:pt x="28" y="18"/>
              </a:lnTo>
              <a:lnTo>
                <a:pt x="0" y="18"/>
              </a:lnTo>
            </a:path>
          </a:pathLst>
        </a:custGeom>
        <a:noFill/>
        <a:ln w="28575" cmpd="sng">
          <a:solidFill>
            <a:srgbClr val="FF0000"/>
          </a:solidFill>
          <a:round/>
          <a:headEnd type="none" w="med" len="med"/>
          <a:tailEnd type="triangle" w="med" len="med"/>
        </a:ln>
      </xdr:spPr>
    </xdr:sp>
    <xdr:clientData/>
  </xdr:twoCellAnchor>
  <xdr:twoCellAnchor>
    <xdr:from>
      <xdr:col>1</xdr:col>
      <xdr:colOff>142875</xdr:colOff>
      <xdr:row>543</xdr:row>
      <xdr:rowOff>47625</xdr:rowOff>
    </xdr:from>
    <xdr:to>
      <xdr:col>1</xdr:col>
      <xdr:colOff>219075</xdr:colOff>
      <xdr:row>543</xdr:row>
      <xdr:rowOff>123825</xdr:rowOff>
    </xdr:to>
    <xdr:sp macro="" textlink="">
      <xdr:nvSpPr>
        <xdr:cNvPr id="225" name="Oval 1028"/>
        <xdr:cNvSpPr>
          <a:spLocks noChangeArrowheads="1"/>
        </xdr:cNvSpPr>
      </xdr:nvSpPr>
      <xdr:spPr bwMode="auto">
        <a:xfrm>
          <a:off x="657225" y="119776875"/>
          <a:ext cx="76200" cy="76200"/>
        </a:xfrm>
        <a:prstGeom prst="ellipse">
          <a:avLst/>
        </a:prstGeom>
        <a:solidFill>
          <a:srgbClr val="000080"/>
        </a:solidFill>
        <a:ln w="9525">
          <a:solidFill>
            <a:srgbClr val="003366"/>
          </a:solidFill>
          <a:round/>
          <a:headEnd/>
          <a:tailEnd/>
        </a:ln>
      </xdr:spPr>
    </xdr:sp>
    <xdr:clientData/>
  </xdr:twoCellAnchor>
  <xdr:twoCellAnchor>
    <xdr:from>
      <xdr:col>0</xdr:col>
      <xdr:colOff>95250</xdr:colOff>
      <xdr:row>41</xdr:row>
      <xdr:rowOff>133350</xdr:rowOff>
    </xdr:from>
    <xdr:to>
      <xdr:col>2</xdr:col>
      <xdr:colOff>66675</xdr:colOff>
      <xdr:row>42</xdr:row>
      <xdr:rowOff>114300</xdr:rowOff>
    </xdr:to>
    <xdr:grpSp>
      <xdr:nvGrpSpPr>
        <xdr:cNvPr id="226" name="Group 226"/>
        <xdr:cNvGrpSpPr>
          <a:grpSpLocks/>
        </xdr:cNvGrpSpPr>
      </xdr:nvGrpSpPr>
      <xdr:grpSpPr bwMode="auto">
        <a:xfrm>
          <a:off x="95250" y="9667875"/>
          <a:ext cx="962025" cy="228600"/>
          <a:chOff x="665" y="156"/>
          <a:chExt cx="189" cy="49"/>
        </a:xfrm>
      </xdr:grpSpPr>
      <xdr:pic>
        <xdr:nvPicPr>
          <xdr:cNvPr id="227" name="Picture 227" descr="Anker_CO_Display"/>
          <xdr:cNvPicPr preferRelativeResize="0">
            <a:picLocks noChangeArrowheads="1"/>
          </xdr:cNvPicPr>
        </xdr:nvPicPr>
        <xdr:blipFill>
          <a:blip xmlns:r="http://schemas.openxmlformats.org/officeDocument/2006/relationships" r:embed="rId4" cstate="print"/>
          <a:srcRect t="-2063"/>
          <a:stretch>
            <a:fillRect/>
          </a:stretch>
        </xdr:blipFill>
        <xdr:spPr bwMode="auto">
          <a:xfrm>
            <a:off x="665" y="161"/>
            <a:ext cx="37" cy="38"/>
          </a:xfrm>
          <a:prstGeom prst="rect">
            <a:avLst/>
          </a:prstGeom>
          <a:noFill/>
          <a:ln w="9525">
            <a:noFill/>
            <a:miter lim="800000"/>
            <a:headEnd/>
            <a:tailEnd/>
          </a:ln>
        </xdr:spPr>
      </xdr:pic>
      <xdr:pic>
        <xdr:nvPicPr>
          <xdr:cNvPr id="228" name="Picture 228"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mc:AlternateContent xmlns:mc="http://schemas.openxmlformats.org/markup-compatibility/2006">
    <mc:Choice xmlns:a14="http://schemas.microsoft.com/office/drawing/2010/main" Requires="a14">
      <xdr:twoCellAnchor editAs="oneCell">
        <xdr:from>
          <xdr:col>2</xdr:col>
          <xdr:colOff>161925</xdr:colOff>
          <xdr:row>736</xdr:row>
          <xdr:rowOff>47625</xdr:rowOff>
        </xdr:from>
        <xdr:to>
          <xdr:col>2</xdr:col>
          <xdr:colOff>2295525</xdr:colOff>
          <xdr:row>738</xdr:row>
          <xdr:rowOff>123825</xdr:rowOff>
        </xdr:to>
        <xdr:sp macro="" textlink="">
          <xdr:nvSpPr>
            <xdr:cNvPr id="1025" name="Object 1" hidden="1">
              <a:extLst>
                <a:ext uri="{63B3BB69-23CF-44E3-9099-C40C66FF867C}">
                  <a14:compatExt spid="_x0000_s10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729</xdr:row>
          <xdr:rowOff>76200</xdr:rowOff>
        </xdr:from>
        <xdr:to>
          <xdr:col>2</xdr:col>
          <xdr:colOff>2324100</xdr:colOff>
          <xdr:row>731</xdr:row>
          <xdr:rowOff>152400</xdr:rowOff>
        </xdr:to>
        <xdr:sp macro="" textlink="">
          <xdr:nvSpPr>
            <xdr:cNvPr id="1026" name="Object 2" hidden="1">
              <a:extLst>
                <a:ext uri="{63B3BB69-23CF-44E3-9099-C40C66FF867C}">
                  <a14:compatExt spid="_x0000_s10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95250</xdr:colOff>
      <xdr:row>81</xdr:row>
      <xdr:rowOff>133350</xdr:rowOff>
    </xdr:from>
    <xdr:to>
      <xdr:col>2</xdr:col>
      <xdr:colOff>66675</xdr:colOff>
      <xdr:row>82</xdr:row>
      <xdr:rowOff>114300</xdr:rowOff>
    </xdr:to>
    <xdr:grpSp>
      <xdr:nvGrpSpPr>
        <xdr:cNvPr id="231" name="Group 226"/>
        <xdr:cNvGrpSpPr>
          <a:grpSpLocks/>
        </xdr:cNvGrpSpPr>
      </xdr:nvGrpSpPr>
      <xdr:grpSpPr bwMode="auto">
        <a:xfrm>
          <a:off x="95250" y="19440525"/>
          <a:ext cx="962025" cy="228600"/>
          <a:chOff x="665" y="156"/>
          <a:chExt cx="189" cy="49"/>
        </a:xfrm>
      </xdr:grpSpPr>
      <xdr:pic>
        <xdr:nvPicPr>
          <xdr:cNvPr id="232" name="Picture 227" descr="Anker_CO_Display"/>
          <xdr:cNvPicPr preferRelativeResize="0">
            <a:picLocks noChangeArrowheads="1"/>
          </xdr:cNvPicPr>
        </xdr:nvPicPr>
        <xdr:blipFill>
          <a:blip xmlns:r="http://schemas.openxmlformats.org/officeDocument/2006/relationships" r:embed="rId4" cstate="print"/>
          <a:srcRect t="-2063"/>
          <a:stretch>
            <a:fillRect/>
          </a:stretch>
        </xdr:blipFill>
        <xdr:spPr bwMode="auto">
          <a:xfrm>
            <a:off x="665" y="161"/>
            <a:ext cx="37" cy="38"/>
          </a:xfrm>
          <a:prstGeom prst="rect">
            <a:avLst/>
          </a:prstGeom>
          <a:noFill/>
          <a:ln w="9525">
            <a:noFill/>
            <a:miter lim="800000"/>
            <a:headEnd/>
            <a:tailEnd/>
          </a:ln>
        </xdr:spPr>
      </xdr:pic>
      <xdr:pic>
        <xdr:nvPicPr>
          <xdr:cNvPr id="233" name="Picture 228"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twoCellAnchor>
    <xdr:from>
      <xdr:col>1</xdr:col>
      <xdr:colOff>131885</xdr:colOff>
      <xdr:row>402</xdr:row>
      <xdr:rowOff>29307</xdr:rowOff>
    </xdr:from>
    <xdr:to>
      <xdr:col>1</xdr:col>
      <xdr:colOff>208085</xdr:colOff>
      <xdr:row>402</xdr:row>
      <xdr:rowOff>105507</xdr:rowOff>
    </xdr:to>
    <xdr:sp macro="" textlink="">
      <xdr:nvSpPr>
        <xdr:cNvPr id="255" name="Oval 83"/>
        <xdr:cNvSpPr>
          <a:spLocks noChangeArrowheads="1"/>
        </xdr:cNvSpPr>
      </xdr:nvSpPr>
      <xdr:spPr bwMode="auto">
        <a:xfrm>
          <a:off x="674077" y="95850807"/>
          <a:ext cx="76200" cy="76200"/>
        </a:xfrm>
        <a:prstGeom prst="ellipse">
          <a:avLst/>
        </a:prstGeom>
        <a:solidFill>
          <a:srgbClr val="000080"/>
        </a:solidFill>
        <a:ln w="9525">
          <a:solidFill>
            <a:srgbClr val="003366"/>
          </a:solidFill>
          <a:round/>
          <a:headEnd/>
          <a:tailEnd/>
        </a:ln>
      </xdr:spPr>
    </xdr:sp>
    <xdr:clientData/>
  </xdr:twoCellAnchor>
  <mc:AlternateContent xmlns:mc="http://schemas.openxmlformats.org/markup-compatibility/2006">
    <mc:Choice xmlns:a14="http://schemas.microsoft.com/office/drawing/2010/main" Requires="a14">
      <xdr:twoCellAnchor editAs="oneCell">
        <xdr:from>
          <xdr:col>1</xdr:col>
          <xdr:colOff>95250</xdr:colOff>
          <xdr:row>23</xdr:row>
          <xdr:rowOff>85725</xdr:rowOff>
        </xdr:from>
        <xdr:to>
          <xdr:col>1</xdr:col>
          <xdr:colOff>247650</xdr:colOff>
          <xdr:row>23</xdr:row>
          <xdr:rowOff>228600</xdr:rowOff>
        </xdr:to>
        <xdr:sp macro="" textlink="">
          <xdr:nvSpPr>
            <xdr:cNvPr id="1028" name="CheckBox2"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24</xdr:row>
          <xdr:rowOff>85725</xdr:rowOff>
        </xdr:from>
        <xdr:to>
          <xdr:col>1</xdr:col>
          <xdr:colOff>247650</xdr:colOff>
          <xdr:row>24</xdr:row>
          <xdr:rowOff>228600</xdr:rowOff>
        </xdr:to>
        <xdr:sp macro="" textlink="">
          <xdr:nvSpPr>
            <xdr:cNvPr id="1029" name="CheckBox3"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25</xdr:row>
          <xdr:rowOff>85725</xdr:rowOff>
        </xdr:from>
        <xdr:to>
          <xdr:col>1</xdr:col>
          <xdr:colOff>247650</xdr:colOff>
          <xdr:row>25</xdr:row>
          <xdr:rowOff>228600</xdr:rowOff>
        </xdr:to>
        <xdr:sp macro="" textlink="">
          <xdr:nvSpPr>
            <xdr:cNvPr id="1030" name="CheckBox4"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26</xdr:row>
          <xdr:rowOff>85725</xdr:rowOff>
        </xdr:from>
        <xdr:to>
          <xdr:col>1</xdr:col>
          <xdr:colOff>247650</xdr:colOff>
          <xdr:row>26</xdr:row>
          <xdr:rowOff>228600</xdr:rowOff>
        </xdr:to>
        <xdr:sp macro="" textlink="">
          <xdr:nvSpPr>
            <xdr:cNvPr id="1031" name="CheckBox5"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27</xdr:row>
          <xdr:rowOff>85725</xdr:rowOff>
        </xdr:from>
        <xdr:to>
          <xdr:col>1</xdr:col>
          <xdr:colOff>247650</xdr:colOff>
          <xdr:row>27</xdr:row>
          <xdr:rowOff>228600</xdr:rowOff>
        </xdr:to>
        <xdr:sp macro="" textlink="">
          <xdr:nvSpPr>
            <xdr:cNvPr id="1032" name="CheckBox6"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28</xdr:row>
          <xdr:rowOff>85725</xdr:rowOff>
        </xdr:from>
        <xdr:to>
          <xdr:col>1</xdr:col>
          <xdr:colOff>247650</xdr:colOff>
          <xdr:row>28</xdr:row>
          <xdr:rowOff>228600</xdr:rowOff>
        </xdr:to>
        <xdr:sp macro="" textlink="">
          <xdr:nvSpPr>
            <xdr:cNvPr id="1033" name="CheckBox7"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29</xdr:row>
          <xdr:rowOff>85725</xdr:rowOff>
        </xdr:from>
        <xdr:to>
          <xdr:col>1</xdr:col>
          <xdr:colOff>247650</xdr:colOff>
          <xdr:row>29</xdr:row>
          <xdr:rowOff>228600</xdr:rowOff>
        </xdr:to>
        <xdr:sp macro="" textlink="">
          <xdr:nvSpPr>
            <xdr:cNvPr id="1034" name="CheckBox8"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30</xdr:row>
          <xdr:rowOff>85725</xdr:rowOff>
        </xdr:from>
        <xdr:to>
          <xdr:col>1</xdr:col>
          <xdr:colOff>247650</xdr:colOff>
          <xdr:row>30</xdr:row>
          <xdr:rowOff>228600</xdr:rowOff>
        </xdr:to>
        <xdr:sp macro="" textlink="">
          <xdr:nvSpPr>
            <xdr:cNvPr id="1035" name="CheckBox9"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31</xdr:row>
          <xdr:rowOff>85725</xdr:rowOff>
        </xdr:from>
        <xdr:to>
          <xdr:col>1</xdr:col>
          <xdr:colOff>247650</xdr:colOff>
          <xdr:row>31</xdr:row>
          <xdr:rowOff>228600</xdr:rowOff>
        </xdr:to>
        <xdr:sp macro="" textlink="">
          <xdr:nvSpPr>
            <xdr:cNvPr id="1036" name="CheckBox10"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32</xdr:row>
          <xdr:rowOff>85725</xdr:rowOff>
        </xdr:from>
        <xdr:to>
          <xdr:col>1</xdr:col>
          <xdr:colOff>247650</xdr:colOff>
          <xdr:row>32</xdr:row>
          <xdr:rowOff>228600</xdr:rowOff>
        </xdr:to>
        <xdr:sp macro="" textlink="">
          <xdr:nvSpPr>
            <xdr:cNvPr id="1037" name="CheckBox11"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33</xdr:row>
          <xdr:rowOff>85725</xdr:rowOff>
        </xdr:from>
        <xdr:to>
          <xdr:col>1</xdr:col>
          <xdr:colOff>247650</xdr:colOff>
          <xdr:row>33</xdr:row>
          <xdr:rowOff>228600</xdr:rowOff>
        </xdr:to>
        <xdr:sp macro="" textlink="">
          <xdr:nvSpPr>
            <xdr:cNvPr id="1038" name="CheckBox12"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34</xdr:row>
          <xdr:rowOff>85725</xdr:rowOff>
        </xdr:from>
        <xdr:to>
          <xdr:col>1</xdr:col>
          <xdr:colOff>247650</xdr:colOff>
          <xdr:row>34</xdr:row>
          <xdr:rowOff>228600</xdr:rowOff>
        </xdr:to>
        <xdr:sp macro="" textlink="">
          <xdr:nvSpPr>
            <xdr:cNvPr id="1039" name="CheckBox13"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35</xdr:row>
          <xdr:rowOff>85725</xdr:rowOff>
        </xdr:from>
        <xdr:to>
          <xdr:col>1</xdr:col>
          <xdr:colOff>247650</xdr:colOff>
          <xdr:row>35</xdr:row>
          <xdr:rowOff>228600</xdr:rowOff>
        </xdr:to>
        <xdr:sp macro="" textlink="">
          <xdr:nvSpPr>
            <xdr:cNvPr id="1040" name="CheckBox14"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36</xdr:row>
          <xdr:rowOff>85725</xdr:rowOff>
        </xdr:from>
        <xdr:to>
          <xdr:col>1</xdr:col>
          <xdr:colOff>247650</xdr:colOff>
          <xdr:row>36</xdr:row>
          <xdr:rowOff>228600</xdr:rowOff>
        </xdr:to>
        <xdr:sp macro="" textlink="">
          <xdr:nvSpPr>
            <xdr:cNvPr id="1041" name="CheckBox15"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933450</xdr:colOff>
          <xdr:row>27</xdr:row>
          <xdr:rowOff>38100</xdr:rowOff>
        </xdr:from>
        <xdr:to>
          <xdr:col>2</xdr:col>
          <xdr:colOff>2638425</xdr:colOff>
          <xdr:row>27</xdr:row>
          <xdr:rowOff>219075</xdr:rowOff>
        </xdr:to>
        <xdr:sp macro="" textlink="">
          <xdr:nvSpPr>
            <xdr:cNvPr id="1042" name="TextBox1"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27</xdr:row>
          <xdr:rowOff>9525</xdr:rowOff>
        </xdr:from>
        <xdr:to>
          <xdr:col>6</xdr:col>
          <xdr:colOff>695325</xdr:colOff>
          <xdr:row>27</xdr:row>
          <xdr:rowOff>219075</xdr:rowOff>
        </xdr:to>
        <xdr:sp macro="" textlink="">
          <xdr:nvSpPr>
            <xdr:cNvPr id="1043" name="TextBox2"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476250</xdr:colOff>
          <xdr:row>35</xdr:row>
          <xdr:rowOff>28575</xdr:rowOff>
        </xdr:from>
        <xdr:to>
          <xdr:col>6</xdr:col>
          <xdr:colOff>628650</xdr:colOff>
          <xdr:row>35</xdr:row>
          <xdr:rowOff>238125</xdr:rowOff>
        </xdr:to>
        <xdr:sp macro="" textlink="">
          <xdr:nvSpPr>
            <xdr:cNvPr id="1044" name="TextBox3"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476250</xdr:colOff>
          <xdr:row>36</xdr:row>
          <xdr:rowOff>19050</xdr:rowOff>
        </xdr:from>
        <xdr:to>
          <xdr:col>6</xdr:col>
          <xdr:colOff>619125</xdr:colOff>
          <xdr:row>36</xdr:row>
          <xdr:rowOff>228600</xdr:rowOff>
        </xdr:to>
        <xdr:sp macro="" textlink="">
          <xdr:nvSpPr>
            <xdr:cNvPr id="1045" name="TextBox4"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1343025</xdr:colOff>
          <xdr:row>49</xdr:row>
          <xdr:rowOff>28575</xdr:rowOff>
        </xdr:from>
        <xdr:to>
          <xdr:col>7</xdr:col>
          <xdr:colOff>438150</xdr:colOff>
          <xdr:row>49</xdr:row>
          <xdr:rowOff>238125</xdr:rowOff>
        </xdr:to>
        <xdr:sp macro="" textlink="">
          <xdr:nvSpPr>
            <xdr:cNvPr id="1046" name="TextBox5"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49</xdr:row>
          <xdr:rowOff>57150</xdr:rowOff>
        </xdr:from>
        <xdr:to>
          <xdr:col>1</xdr:col>
          <xdr:colOff>361950</xdr:colOff>
          <xdr:row>49</xdr:row>
          <xdr:rowOff>200025</xdr:rowOff>
        </xdr:to>
        <xdr:sp macro="" textlink="">
          <xdr:nvSpPr>
            <xdr:cNvPr id="1047" name="CheckBox1"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74</xdr:row>
          <xdr:rowOff>38100</xdr:rowOff>
        </xdr:from>
        <xdr:to>
          <xdr:col>5</xdr:col>
          <xdr:colOff>95250</xdr:colOff>
          <xdr:row>75</xdr:row>
          <xdr:rowOff>19050</xdr:rowOff>
        </xdr:to>
        <xdr:sp macro="" textlink="">
          <xdr:nvSpPr>
            <xdr:cNvPr id="1057" name="TextBox6"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200025</xdr:colOff>
          <xdr:row>74</xdr:row>
          <xdr:rowOff>28575</xdr:rowOff>
        </xdr:from>
        <xdr:to>
          <xdr:col>6</xdr:col>
          <xdr:colOff>514350</xdr:colOff>
          <xdr:row>75</xdr:row>
          <xdr:rowOff>9525</xdr:rowOff>
        </xdr:to>
        <xdr:sp macro="" textlink="">
          <xdr:nvSpPr>
            <xdr:cNvPr id="1058" name="TextBox7"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647700</xdr:colOff>
          <xdr:row>74</xdr:row>
          <xdr:rowOff>28575</xdr:rowOff>
        </xdr:from>
        <xdr:to>
          <xdr:col>7</xdr:col>
          <xdr:colOff>495300</xdr:colOff>
          <xdr:row>74</xdr:row>
          <xdr:rowOff>209550</xdr:rowOff>
        </xdr:to>
        <xdr:sp macro="" textlink="">
          <xdr:nvSpPr>
            <xdr:cNvPr id="1059" name="TextBox8"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647700</xdr:colOff>
          <xdr:row>75</xdr:row>
          <xdr:rowOff>19050</xdr:rowOff>
        </xdr:from>
        <xdr:to>
          <xdr:col>7</xdr:col>
          <xdr:colOff>495300</xdr:colOff>
          <xdr:row>75</xdr:row>
          <xdr:rowOff>200025</xdr:rowOff>
        </xdr:to>
        <xdr:sp macro="" textlink="">
          <xdr:nvSpPr>
            <xdr:cNvPr id="1060" name="TextBox9"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647700</xdr:colOff>
          <xdr:row>76</xdr:row>
          <xdr:rowOff>0</xdr:rowOff>
        </xdr:from>
        <xdr:to>
          <xdr:col>7</xdr:col>
          <xdr:colOff>504825</xdr:colOff>
          <xdr:row>76</xdr:row>
          <xdr:rowOff>190500</xdr:rowOff>
        </xdr:to>
        <xdr:sp macro="" textlink="">
          <xdr:nvSpPr>
            <xdr:cNvPr id="1061" name="TextBox10"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78828</xdr:colOff>
      <xdr:row>74</xdr:row>
      <xdr:rowOff>6569</xdr:rowOff>
    </xdr:from>
    <xdr:ext cx="91820" cy="179793"/>
    <xdr:sp macro="" textlink="">
      <xdr:nvSpPr>
        <xdr:cNvPr id="504" name="Text Box 16"/>
        <xdr:cNvSpPr txBox="1">
          <a:spLocks noChangeArrowheads="1"/>
        </xdr:cNvSpPr>
      </xdr:nvSpPr>
      <xdr:spPr bwMode="auto">
        <a:xfrm>
          <a:off x="4420914" y="17847879"/>
          <a:ext cx="91820" cy="179793"/>
        </a:xfrm>
        <a:prstGeom prst="rect">
          <a:avLst/>
        </a:prstGeom>
        <a:noFill/>
        <a:ln w="9525">
          <a:noFill/>
          <a:miter lim="800000"/>
          <a:headEnd/>
          <a:tailEnd/>
        </a:ln>
      </xdr:spPr>
      <xdr:txBody>
        <a:bodyPr wrap="none" lIns="27432" tIns="32004" rIns="0" bIns="0" anchor="t" upright="1">
          <a:spAutoFit/>
        </a:bodyPr>
        <a:lstStyle/>
        <a:p>
          <a:pPr algn="l" rtl="0">
            <a:defRPr sz="1000"/>
          </a:pPr>
          <a:r>
            <a:rPr lang="de-DE" sz="1000" b="0" i="0" u="none" strike="noStrike" baseline="0">
              <a:solidFill>
                <a:srgbClr val="000000"/>
              </a:solidFill>
              <a:latin typeface="Arial"/>
              <a:cs typeface="Arial"/>
            </a:rPr>
            <a:t>x</a:t>
          </a:r>
        </a:p>
      </xdr:txBody>
    </xdr:sp>
    <xdr:clientData/>
  </xdr:oneCellAnchor>
  <xdr:oneCellAnchor>
    <xdr:from>
      <xdr:col>6</xdr:col>
      <xdr:colOff>520262</xdr:colOff>
      <xdr:row>73</xdr:row>
      <xdr:rowOff>244364</xdr:rowOff>
    </xdr:from>
    <xdr:ext cx="91820" cy="179793"/>
    <xdr:sp macro="" textlink="">
      <xdr:nvSpPr>
        <xdr:cNvPr id="505" name="Text Box 16"/>
        <xdr:cNvSpPr txBox="1">
          <a:spLocks noChangeArrowheads="1"/>
        </xdr:cNvSpPr>
      </xdr:nvSpPr>
      <xdr:spPr bwMode="auto">
        <a:xfrm>
          <a:off x="5118538" y="17836054"/>
          <a:ext cx="91820" cy="179793"/>
        </a:xfrm>
        <a:prstGeom prst="rect">
          <a:avLst/>
        </a:prstGeom>
        <a:noFill/>
        <a:ln w="9525">
          <a:noFill/>
          <a:miter lim="800000"/>
          <a:headEnd/>
          <a:tailEnd/>
        </a:ln>
      </xdr:spPr>
      <xdr:txBody>
        <a:bodyPr wrap="none" lIns="27432" tIns="32004" rIns="0" bIns="0" anchor="t" upright="1">
          <a:spAutoFit/>
        </a:bodyPr>
        <a:lstStyle/>
        <a:p>
          <a:pPr algn="l" rtl="0">
            <a:defRPr sz="1000"/>
          </a:pPr>
          <a:r>
            <a:rPr lang="de-DE" sz="1000" b="0" i="0" u="none" strike="noStrike" baseline="0">
              <a:solidFill>
                <a:srgbClr val="000000"/>
              </a:solidFill>
              <a:latin typeface="Arial"/>
              <a:cs typeface="Arial"/>
            </a:rPr>
            <a:t>x</a:t>
          </a:r>
        </a:p>
      </xdr:txBody>
    </xdr:sp>
    <xdr:clientData/>
  </xdr:oneCellAnchor>
  <mc:AlternateContent xmlns:mc="http://schemas.openxmlformats.org/markup-compatibility/2006">
    <mc:Choice xmlns:a14="http://schemas.microsoft.com/office/drawing/2010/main" Requires="a14">
      <xdr:twoCellAnchor editAs="oneCell">
        <xdr:from>
          <xdr:col>6</xdr:col>
          <xdr:colOff>38100</xdr:colOff>
          <xdr:row>675</xdr:row>
          <xdr:rowOff>28575</xdr:rowOff>
        </xdr:from>
        <xdr:to>
          <xdr:col>6</xdr:col>
          <xdr:colOff>171450</xdr:colOff>
          <xdr:row>676</xdr:row>
          <xdr:rowOff>19050</xdr:rowOff>
        </xdr:to>
        <xdr:sp macro="" textlink="">
          <xdr:nvSpPr>
            <xdr:cNvPr id="1743" name="CheckBox680" hidden="1">
              <a:extLst>
                <a:ext uri="{63B3BB69-23CF-44E3-9099-C40C66FF867C}">
                  <a14:compatExt spid="_x0000_s17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684</xdr:row>
          <xdr:rowOff>28575</xdr:rowOff>
        </xdr:from>
        <xdr:to>
          <xdr:col>6</xdr:col>
          <xdr:colOff>171450</xdr:colOff>
          <xdr:row>685</xdr:row>
          <xdr:rowOff>19050</xdr:rowOff>
        </xdr:to>
        <xdr:sp macro="" textlink="">
          <xdr:nvSpPr>
            <xdr:cNvPr id="1750" name="CheckBox687" hidden="1">
              <a:extLst>
                <a:ext uri="{63B3BB69-23CF-44E3-9099-C40C66FF867C}">
                  <a14:compatExt spid="_x0000_s17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780</xdr:row>
          <xdr:rowOff>28575</xdr:rowOff>
        </xdr:from>
        <xdr:to>
          <xdr:col>1</xdr:col>
          <xdr:colOff>295275</xdr:colOff>
          <xdr:row>781</xdr:row>
          <xdr:rowOff>19050</xdr:rowOff>
        </xdr:to>
        <xdr:sp macro="" textlink="">
          <xdr:nvSpPr>
            <xdr:cNvPr id="1751" name="CheckBox688" hidden="1">
              <a:extLst>
                <a:ext uri="{63B3BB69-23CF-44E3-9099-C40C66FF867C}">
                  <a14:compatExt spid="_x0000_s17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781</xdr:row>
          <xdr:rowOff>28575</xdr:rowOff>
        </xdr:from>
        <xdr:to>
          <xdr:col>1</xdr:col>
          <xdr:colOff>285750</xdr:colOff>
          <xdr:row>782</xdr:row>
          <xdr:rowOff>19050</xdr:rowOff>
        </xdr:to>
        <xdr:sp macro="" textlink="">
          <xdr:nvSpPr>
            <xdr:cNvPr id="1752" name="CheckBox689" hidden="1">
              <a:extLst>
                <a:ext uri="{63B3BB69-23CF-44E3-9099-C40C66FF867C}">
                  <a14:compatExt spid="_x0000_s17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783</xdr:row>
          <xdr:rowOff>19050</xdr:rowOff>
        </xdr:from>
        <xdr:to>
          <xdr:col>1</xdr:col>
          <xdr:colOff>266700</xdr:colOff>
          <xdr:row>784</xdr:row>
          <xdr:rowOff>9525</xdr:rowOff>
        </xdr:to>
        <xdr:sp macro="" textlink="">
          <xdr:nvSpPr>
            <xdr:cNvPr id="1753" name="CheckBox690" hidden="1">
              <a:extLst>
                <a:ext uri="{63B3BB69-23CF-44E3-9099-C40C66FF867C}">
                  <a14:compatExt spid="_x0000_s17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782</xdr:row>
          <xdr:rowOff>19050</xdr:rowOff>
        </xdr:from>
        <xdr:to>
          <xdr:col>1</xdr:col>
          <xdr:colOff>276225</xdr:colOff>
          <xdr:row>783</xdr:row>
          <xdr:rowOff>0</xdr:rowOff>
        </xdr:to>
        <xdr:sp macro="" textlink="">
          <xdr:nvSpPr>
            <xdr:cNvPr id="1754" name="CheckBox691" hidden="1">
              <a:extLst>
                <a:ext uri="{63B3BB69-23CF-44E3-9099-C40C66FF867C}">
                  <a14:compatExt spid="_x0000_s17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788</xdr:row>
          <xdr:rowOff>76200</xdr:rowOff>
        </xdr:from>
        <xdr:to>
          <xdr:col>1</xdr:col>
          <xdr:colOff>304800</xdr:colOff>
          <xdr:row>789</xdr:row>
          <xdr:rowOff>66675</xdr:rowOff>
        </xdr:to>
        <xdr:sp macro="" textlink="">
          <xdr:nvSpPr>
            <xdr:cNvPr id="1755" name="CheckBox692" hidden="1">
              <a:extLst>
                <a:ext uri="{63B3BB69-23CF-44E3-9099-C40C66FF867C}">
                  <a14:compatExt spid="_x0000_s1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91</xdr:row>
          <xdr:rowOff>9525</xdr:rowOff>
        </xdr:from>
        <xdr:to>
          <xdr:col>6</xdr:col>
          <xdr:colOff>209550</xdr:colOff>
          <xdr:row>91</xdr:row>
          <xdr:rowOff>152400</xdr:rowOff>
        </xdr:to>
        <xdr:sp macro="" textlink="">
          <xdr:nvSpPr>
            <xdr:cNvPr id="1756" name="CheckBox693" hidden="1">
              <a:extLst>
                <a:ext uri="{63B3BB69-23CF-44E3-9099-C40C66FF867C}">
                  <a14:compatExt spid="_x0000_s17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96</xdr:row>
          <xdr:rowOff>38100</xdr:rowOff>
        </xdr:from>
        <xdr:to>
          <xdr:col>6</xdr:col>
          <xdr:colOff>200025</xdr:colOff>
          <xdr:row>96</xdr:row>
          <xdr:rowOff>180975</xdr:rowOff>
        </xdr:to>
        <xdr:sp macro="" textlink="">
          <xdr:nvSpPr>
            <xdr:cNvPr id="1757" name="CheckBox694" hidden="1">
              <a:extLst>
                <a:ext uri="{63B3BB69-23CF-44E3-9099-C40C66FF867C}">
                  <a14:compatExt spid="_x0000_s17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149</xdr:row>
          <xdr:rowOff>57150</xdr:rowOff>
        </xdr:from>
        <xdr:to>
          <xdr:col>6</xdr:col>
          <xdr:colOff>180975</xdr:colOff>
          <xdr:row>149</xdr:row>
          <xdr:rowOff>200025</xdr:rowOff>
        </xdr:to>
        <xdr:sp macro="" textlink="">
          <xdr:nvSpPr>
            <xdr:cNvPr id="1758" name="CheckBox695" hidden="1">
              <a:extLst>
                <a:ext uri="{63B3BB69-23CF-44E3-9099-C40C66FF867C}">
                  <a14:compatExt spid="_x0000_s17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161</xdr:row>
          <xdr:rowOff>38100</xdr:rowOff>
        </xdr:from>
        <xdr:to>
          <xdr:col>6</xdr:col>
          <xdr:colOff>209550</xdr:colOff>
          <xdr:row>162</xdr:row>
          <xdr:rowOff>19050</xdr:rowOff>
        </xdr:to>
        <xdr:sp macro="" textlink="">
          <xdr:nvSpPr>
            <xdr:cNvPr id="1759" name="CheckBox696" hidden="1">
              <a:extLst>
                <a:ext uri="{63B3BB69-23CF-44E3-9099-C40C66FF867C}">
                  <a14:compatExt spid="_x0000_s17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95250</xdr:colOff>
      <xdr:row>115</xdr:row>
      <xdr:rowOff>133350</xdr:rowOff>
    </xdr:from>
    <xdr:to>
      <xdr:col>2</xdr:col>
      <xdr:colOff>66675</xdr:colOff>
      <xdr:row>116</xdr:row>
      <xdr:rowOff>114300</xdr:rowOff>
    </xdr:to>
    <xdr:grpSp>
      <xdr:nvGrpSpPr>
        <xdr:cNvPr id="1003" name="Group 226"/>
        <xdr:cNvGrpSpPr>
          <a:grpSpLocks/>
        </xdr:cNvGrpSpPr>
      </xdr:nvGrpSpPr>
      <xdr:grpSpPr bwMode="auto">
        <a:xfrm>
          <a:off x="95250" y="29070300"/>
          <a:ext cx="962025" cy="228600"/>
          <a:chOff x="665" y="156"/>
          <a:chExt cx="189" cy="49"/>
        </a:xfrm>
      </xdr:grpSpPr>
      <xdr:pic>
        <xdr:nvPicPr>
          <xdr:cNvPr id="1004" name="Picture 227" descr="Anker_CO_Display"/>
          <xdr:cNvPicPr preferRelativeResize="0">
            <a:picLocks noChangeArrowheads="1"/>
          </xdr:cNvPicPr>
        </xdr:nvPicPr>
        <xdr:blipFill>
          <a:blip xmlns:r="http://schemas.openxmlformats.org/officeDocument/2006/relationships" r:embed="rId4" cstate="print"/>
          <a:srcRect t="-2063"/>
          <a:stretch>
            <a:fillRect/>
          </a:stretch>
        </xdr:blipFill>
        <xdr:spPr bwMode="auto">
          <a:xfrm>
            <a:off x="665" y="161"/>
            <a:ext cx="37" cy="38"/>
          </a:xfrm>
          <a:prstGeom prst="rect">
            <a:avLst/>
          </a:prstGeom>
          <a:noFill/>
          <a:ln w="9525">
            <a:noFill/>
            <a:miter lim="800000"/>
            <a:headEnd/>
            <a:tailEnd/>
          </a:ln>
        </xdr:spPr>
      </xdr:pic>
      <xdr:pic>
        <xdr:nvPicPr>
          <xdr:cNvPr id="1005" name="Picture 228"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twoCellAnchor>
    <xdr:from>
      <xdr:col>0</xdr:col>
      <xdr:colOff>95250</xdr:colOff>
      <xdr:row>155</xdr:row>
      <xdr:rowOff>133350</xdr:rowOff>
    </xdr:from>
    <xdr:to>
      <xdr:col>2</xdr:col>
      <xdr:colOff>66675</xdr:colOff>
      <xdr:row>156</xdr:row>
      <xdr:rowOff>114300</xdr:rowOff>
    </xdr:to>
    <xdr:grpSp>
      <xdr:nvGrpSpPr>
        <xdr:cNvPr id="1006" name="Group 226"/>
        <xdr:cNvGrpSpPr>
          <a:grpSpLocks/>
        </xdr:cNvGrpSpPr>
      </xdr:nvGrpSpPr>
      <xdr:grpSpPr bwMode="auto">
        <a:xfrm>
          <a:off x="95250" y="38862000"/>
          <a:ext cx="962025" cy="228600"/>
          <a:chOff x="665" y="156"/>
          <a:chExt cx="189" cy="49"/>
        </a:xfrm>
      </xdr:grpSpPr>
      <xdr:pic>
        <xdr:nvPicPr>
          <xdr:cNvPr id="1007" name="Picture 227" descr="Anker_CO_Display"/>
          <xdr:cNvPicPr preferRelativeResize="0">
            <a:picLocks noChangeArrowheads="1"/>
          </xdr:cNvPicPr>
        </xdr:nvPicPr>
        <xdr:blipFill>
          <a:blip xmlns:r="http://schemas.openxmlformats.org/officeDocument/2006/relationships" r:embed="rId4" cstate="print"/>
          <a:srcRect t="-2063"/>
          <a:stretch>
            <a:fillRect/>
          </a:stretch>
        </xdr:blipFill>
        <xdr:spPr bwMode="auto">
          <a:xfrm>
            <a:off x="665" y="161"/>
            <a:ext cx="37" cy="38"/>
          </a:xfrm>
          <a:prstGeom prst="rect">
            <a:avLst/>
          </a:prstGeom>
          <a:noFill/>
          <a:ln w="9525">
            <a:noFill/>
            <a:miter lim="800000"/>
            <a:headEnd/>
            <a:tailEnd/>
          </a:ln>
        </xdr:spPr>
      </xdr:pic>
      <xdr:pic>
        <xdr:nvPicPr>
          <xdr:cNvPr id="1008" name="Picture 228"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twoCellAnchor>
    <xdr:from>
      <xdr:col>0</xdr:col>
      <xdr:colOff>95250</xdr:colOff>
      <xdr:row>199</xdr:row>
      <xdr:rowOff>133350</xdr:rowOff>
    </xdr:from>
    <xdr:to>
      <xdr:col>2</xdr:col>
      <xdr:colOff>66675</xdr:colOff>
      <xdr:row>200</xdr:row>
      <xdr:rowOff>114300</xdr:rowOff>
    </xdr:to>
    <xdr:grpSp>
      <xdr:nvGrpSpPr>
        <xdr:cNvPr id="1009" name="Group 226"/>
        <xdr:cNvGrpSpPr>
          <a:grpSpLocks/>
        </xdr:cNvGrpSpPr>
      </xdr:nvGrpSpPr>
      <xdr:grpSpPr bwMode="auto">
        <a:xfrm>
          <a:off x="95250" y="49120425"/>
          <a:ext cx="962025" cy="228600"/>
          <a:chOff x="665" y="156"/>
          <a:chExt cx="189" cy="49"/>
        </a:xfrm>
      </xdr:grpSpPr>
      <xdr:pic>
        <xdr:nvPicPr>
          <xdr:cNvPr id="1010" name="Picture 227" descr="Anker_CO_Display"/>
          <xdr:cNvPicPr preferRelativeResize="0">
            <a:picLocks noChangeArrowheads="1"/>
          </xdr:cNvPicPr>
        </xdr:nvPicPr>
        <xdr:blipFill>
          <a:blip xmlns:r="http://schemas.openxmlformats.org/officeDocument/2006/relationships" r:embed="rId4" cstate="print"/>
          <a:srcRect t="-2063"/>
          <a:stretch>
            <a:fillRect/>
          </a:stretch>
        </xdr:blipFill>
        <xdr:spPr bwMode="auto">
          <a:xfrm>
            <a:off x="665" y="161"/>
            <a:ext cx="37" cy="38"/>
          </a:xfrm>
          <a:prstGeom prst="rect">
            <a:avLst/>
          </a:prstGeom>
          <a:noFill/>
          <a:ln w="9525">
            <a:noFill/>
            <a:miter lim="800000"/>
            <a:headEnd/>
            <a:tailEnd/>
          </a:ln>
        </xdr:spPr>
      </xdr:pic>
      <xdr:pic>
        <xdr:nvPicPr>
          <xdr:cNvPr id="1011" name="Picture 228"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twoCellAnchor>
    <xdr:from>
      <xdr:col>0</xdr:col>
      <xdr:colOff>95250</xdr:colOff>
      <xdr:row>235</xdr:row>
      <xdr:rowOff>133350</xdr:rowOff>
    </xdr:from>
    <xdr:to>
      <xdr:col>2</xdr:col>
      <xdr:colOff>66675</xdr:colOff>
      <xdr:row>236</xdr:row>
      <xdr:rowOff>114300</xdr:rowOff>
    </xdr:to>
    <xdr:grpSp>
      <xdr:nvGrpSpPr>
        <xdr:cNvPr id="1012" name="Group 226"/>
        <xdr:cNvGrpSpPr>
          <a:grpSpLocks/>
        </xdr:cNvGrpSpPr>
      </xdr:nvGrpSpPr>
      <xdr:grpSpPr bwMode="auto">
        <a:xfrm>
          <a:off x="95250" y="59159775"/>
          <a:ext cx="962025" cy="228600"/>
          <a:chOff x="665" y="156"/>
          <a:chExt cx="189" cy="49"/>
        </a:xfrm>
      </xdr:grpSpPr>
      <xdr:pic>
        <xdr:nvPicPr>
          <xdr:cNvPr id="1013" name="Picture 227" descr="Anker_CO_Display"/>
          <xdr:cNvPicPr preferRelativeResize="0">
            <a:picLocks noChangeArrowheads="1"/>
          </xdr:cNvPicPr>
        </xdr:nvPicPr>
        <xdr:blipFill>
          <a:blip xmlns:r="http://schemas.openxmlformats.org/officeDocument/2006/relationships" r:embed="rId4" cstate="print"/>
          <a:srcRect t="-2063"/>
          <a:stretch>
            <a:fillRect/>
          </a:stretch>
        </xdr:blipFill>
        <xdr:spPr bwMode="auto">
          <a:xfrm>
            <a:off x="665" y="161"/>
            <a:ext cx="37" cy="38"/>
          </a:xfrm>
          <a:prstGeom prst="rect">
            <a:avLst/>
          </a:prstGeom>
          <a:noFill/>
          <a:ln w="9525">
            <a:noFill/>
            <a:miter lim="800000"/>
            <a:headEnd/>
            <a:tailEnd/>
          </a:ln>
        </xdr:spPr>
      </xdr:pic>
      <xdr:pic>
        <xdr:nvPicPr>
          <xdr:cNvPr id="1014" name="Picture 228"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twoCellAnchor>
    <xdr:from>
      <xdr:col>0</xdr:col>
      <xdr:colOff>95250</xdr:colOff>
      <xdr:row>291</xdr:row>
      <xdr:rowOff>133350</xdr:rowOff>
    </xdr:from>
    <xdr:to>
      <xdr:col>2</xdr:col>
      <xdr:colOff>66675</xdr:colOff>
      <xdr:row>292</xdr:row>
      <xdr:rowOff>114300</xdr:rowOff>
    </xdr:to>
    <xdr:grpSp>
      <xdr:nvGrpSpPr>
        <xdr:cNvPr id="1015" name="Group 226"/>
        <xdr:cNvGrpSpPr>
          <a:grpSpLocks/>
        </xdr:cNvGrpSpPr>
      </xdr:nvGrpSpPr>
      <xdr:grpSpPr bwMode="auto">
        <a:xfrm>
          <a:off x="95250" y="68799075"/>
          <a:ext cx="962025" cy="228600"/>
          <a:chOff x="665" y="156"/>
          <a:chExt cx="189" cy="49"/>
        </a:xfrm>
      </xdr:grpSpPr>
      <xdr:pic>
        <xdr:nvPicPr>
          <xdr:cNvPr id="1016" name="Picture 227" descr="Anker_CO_Display"/>
          <xdr:cNvPicPr preferRelativeResize="0">
            <a:picLocks noChangeArrowheads="1"/>
          </xdr:cNvPicPr>
        </xdr:nvPicPr>
        <xdr:blipFill>
          <a:blip xmlns:r="http://schemas.openxmlformats.org/officeDocument/2006/relationships" r:embed="rId4" cstate="print"/>
          <a:srcRect t="-2063"/>
          <a:stretch>
            <a:fillRect/>
          </a:stretch>
        </xdr:blipFill>
        <xdr:spPr bwMode="auto">
          <a:xfrm>
            <a:off x="665" y="161"/>
            <a:ext cx="37" cy="38"/>
          </a:xfrm>
          <a:prstGeom prst="rect">
            <a:avLst/>
          </a:prstGeom>
          <a:noFill/>
          <a:ln w="9525">
            <a:noFill/>
            <a:miter lim="800000"/>
            <a:headEnd/>
            <a:tailEnd/>
          </a:ln>
        </xdr:spPr>
      </xdr:pic>
      <xdr:pic>
        <xdr:nvPicPr>
          <xdr:cNvPr id="1017" name="Picture 228"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twoCellAnchor>
    <xdr:from>
      <xdr:col>0</xdr:col>
      <xdr:colOff>95250</xdr:colOff>
      <xdr:row>333</xdr:row>
      <xdr:rowOff>133350</xdr:rowOff>
    </xdr:from>
    <xdr:to>
      <xdr:col>2</xdr:col>
      <xdr:colOff>66675</xdr:colOff>
      <xdr:row>334</xdr:row>
      <xdr:rowOff>114300</xdr:rowOff>
    </xdr:to>
    <xdr:grpSp>
      <xdr:nvGrpSpPr>
        <xdr:cNvPr id="1018" name="Group 226"/>
        <xdr:cNvGrpSpPr>
          <a:grpSpLocks/>
        </xdr:cNvGrpSpPr>
      </xdr:nvGrpSpPr>
      <xdr:grpSpPr bwMode="auto">
        <a:xfrm>
          <a:off x="95250" y="77943075"/>
          <a:ext cx="962025" cy="228600"/>
          <a:chOff x="665" y="156"/>
          <a:chExt cx="189" cy="49"/>
        </a:xfrm>
      </xdr:grpSpPr>
      <xdr:pic>
        <xdr:nvPicPr>
          <xdr:cNvPr id="1019" name="Picture 227" descr="Anker_CO_Display"/>
          <xdr:cNvPicPr preferRelativeResize="0">
            <a:picLocks noChangeArrowheads="1"/>
          </xdr:cNvPicPr>
        </xdr:nvPicPr>
        <xdr:blipFill>
          <a:blip xmlns:r="http://schemas.openxmlformats.org/officeDocument/2006/relationships" r:embed="rId4" cstate="print"/>
          <a:srcRect t="-2063"/>
          <a:stretch>
            <a:fillRect/>
          </a:stretch>
        </xdr:blipFill>
        <xdr:spPr bwMode="auto">
          <a:xfrm>
            <a:off x="665" y="161"/>
            <a:ext cx="37" cy="38"/>
          </a:xfrm>
          <a:prstGeom prst="rect">
            <a:avLst/>
          </a:prstGeom>
          <a:noFill/>
          <a:ln w="9525">
            <a:noFill/>
            <a:miter lim="800000"/>
            <a:headEnd/>
            <a:tailEnd/>
          </a:ln>
        </xdr:spPr>
      </xdr:pic>
      <xdr:pic>
        <xdr:nvPicPr>
          <xdr:cNvPr id="1020" name="Picture 228"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twoCellAnchor>
    <xdr:from>
      <xdr:col>0</xdr:col>
      <xdr:colOff>95250</xdr:colOff>
      <xdr:row>375</xdr:row>
      <xdr:rowOff>133350</xdr:rowOff>
    </xdr:from>
    <xdr:to>
      <xdr:col>2</xdr:col>
      <xdr:colOff>66675</xdr:colOff>
      <xdr:row>376</xdr:row>
      <xdr:rowOff>114300</xdr:rowOff>
    </xdr:to>
    <xdr:grpSp>
      <xdr:nvGrpSpPr>
        <xdr:cNvPr id="1021" name="Group 226"/>
        <xdr:cNvGrpSpPr>
          <a:grpSpLocks/>
        </xdr:cNvGrpSpPr>
      </xdr:nvGrpSpPr>
      <xdr:grpSpPr bwMode="auto">
        <a:xfrm>
          <a:off x="95250" y="87925275"/>
          <a:ext cx="962025" cy="228600"/>
          <a:chOff x="665" y="156"/>
          <a:chExt cx="189" cy="49"/>
        </a:xfrm>
      </xdr:grpSpPr>
      <xdr:pic>
        <xdr:nvPicPr>
          <xdr:cNvPr id="1022" name="Picture 227" descr="Anker_CO_Display"/>
          <xdr:cNvPicPr preferRelativeResize="0">
            <a:picLocks noChangeArrowheads="1"/>
          </xdr:cNvPicPr>
        </xdr:nvPicPr>
        <xdr:blipFill>
          <a:blip xmlns:r="http://schemas.openxmlformats.org/officeDocument/2006/relationships" r:embed="rId4" cstate="print"/>
          <a:srcRect t="-2063"/>
          <a:stretch>
            <a:fillRect/>
          </a:stretch>
        </xdr:blipFill>
        <xdr:spPr bwMode="auto">
          <a:xfrm>
            <a:off x="665" y="161"/>
            <a:ext cx="37" cy="38"/>
          </a:xfrm>
          <a:prstGeom prst="rect">
            <a:avLst/>
          </a:prstGeom>
          <a:noFill/>
          <a:ln w="9525">
            <a:noFill/>
            <a:miter lim="800000"/>
            <a:headEnd/>
            <a:tailEnd/>
          </a:ln>
        </xdr:spPr>
      </xdr:pic>
      <xdr:pic>
        <xdr:nvPicPr>
          <xdr:cNvPr id="1023" name="Picture 228"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twoCellAnchor>
    <xdr:from>
      <xdr:col>0</xdr:col>
      <xdr:colOff>95250</xdr:colOff>
      <xdr:row>410</xdr:row>
      <xdr:rowOff>133350</xdr:rowOff>
    </xdr:from>
    <xdr:to>
      <xdr:col>2</xdr:col>
      <xdr:colOff>66675</xdr:colOff>
      <xdr:row>411</xdr:row>
      <xdr:rowOff>114300</xdr:rowOff>
    </xdr:to>
    <xdr:grpSp>
      <xdr:nvGrpSpPr>
        <xdr:cNvPr id="1024" name="Group 226"/>
        <xdr:cNvGrpSpPr>
          <a:grpSpLocks/>
        </xdr:cNvGrpSpPr>
      </xdr:nvGrpSpPr>
      <xdr:grpSpPr bwMode="auto">
        <a:xfrm>
          <a:off x="95250" y="98021775"/>
          <a:ext cx="962025" cy="228600"/>
          <a:chOff x="665" y="156"/>
          <a:chExt cx="189" cy="49"/>
        </a:xfrm>
      </xdr:grpSpPr>
      <xdr:pic>
        <xdr:nvPicPr>
          <xdr:cNvPr id="1027" name="Picture 227" descr="Anker_CO_Display"/>
          <xdr:cNvPicPr preferRelativeResize="0">
            <a:picLocks noChangeArrowheads="1"/>
          </xdr:cNvPicPr>
        </xdr:nvPicPr>
        <xdr:blipFill>
          <a:blip xmlns:r="http://schemas.openxmlformats.org/officeDocument/2006/relationships" r:embed="rId4" cstate="print"/>
          <a:srcRect t="-2063"/>
          <a:stretch>
            <a:fillRect/>
          </a:stretch>
        </xdr:blipFill>
        <xdr:spPr bwMode="auto">
          <a:xfrm>
            <a:off x="665" y="161"/>
            <a:ext cx="37" cy="38"/>
          </a:xfrm>
          <a:prstGeom prst="rect">
            <a:avLst/>
          </a:prstGeom>
          <a:noFill/>
          <a:ln w="9525">
            <a:noFill/>
            <a:miter lim="800000"/>
            <a:headEnd/>
            <a:tailEnd/>
          </a:ln>
        </xdr:spPr>
      </xdr:pic>
      <xdr:pic>
        <xdr:nvPicPr>
          <xdr:cNvPr id="1124" name="Picture 228"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twoCellAnchor>
    <xdr:from>
      <xdr:col>0</xdr:col>
      <xdr:colOff>95250</xdr:colOff>
      <xdr:row>454</xdr:row>
      <xdr:rowOff>133350</xdr:rowOff>
    </xdr:from>
    <xdr:to>
      <xdr:col>2</xdr:col>
      <xdr:colOff>66675</xdr:colOff>
      <xdr:row>455</xdr:row>
      <xdr:rowOff>114300</xdr:rowOff>
    </xdr:to>
    <xdr:grpSp>
      <xdr:nvGrpSpPr>
        <xdr:cNvPr id="1141" name="Group 226"/>
        <xdr:cNvGrpSpPr>
          <a:grpSpLocks/>
        </xdr:cNvGrpSpPr>
      </xdr:nvGrpSpPr>
      <xdr:grpSpPr bwMode="auto">
        <a:xfrm>
          <a:off x="95250" y="107908725"/>
          <a:ext cx="962025" cy="228600"/>
          <a:chOff x="665" y="156"/>
          <a:chExt cx="189" cy="49"/>
        </a:xfrm>
      </xdr:grpSpPr>
      <xdr:pic>
        <xdr:nvPicPr>
          <xdr:cNvPr id="1142" name="Picture 227" descr="Anker_CO_Display"/>
          <xdr:cNvPicPr preferRelativeResize="0">
            <a:picLocks noChangeArrowheads="1"/>
          </xdr:cNvPicPr>
        </xdr:nvPicPr>
        <xdr:blipFill>
          <a:blip xmlns:r="http://schemas.openxmlformats.org/officeDocument/2006/relationships" r:embed="rId4" cstate="print"/>
          <a:srcRect t="-2063"/>
          <a:stretch>
            <a:fillRect/>
          </a:stretch>
        </xdr:blipFill>
        <xdr:spPr bwMode="auto">
          <a:xfrm>
            <a:off x="665" y="161"/>
            <a:ext cx="37" cy="38"/>
          </a:xfrm>
          <a:prstGeom prst="rect">
            <a:avLst/>
          </a:prstGeom>
          <a:noFill/>
          <a:ln w="9525">
            <a:noFill/>
            <a:miter lim="800000"/>
            <a:headEnd/>
            <a:tailEnd/>
          </a:ln>
        </xdr:spPr>
      </xdr:pic>
      <xdr:pic>
        <xdr:nvPicPr>
          <xdr:cNvPr id="1145" name="Picture 228"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twoCellAnchor>
    <xdr:from>
      <xdr:col>0</xdr:col>
      <xdr:colOff>95250</xdr:colOff>
      <xdr:row>494</xdr:row>
      <xdr:rowOff>133350</xdr:rowOff>
    </xdr:from>
    <xdr:to>
      <xdr:col>2</xdr:col>
      <xdr:colOff>66675</xdr:colOff>
      <xdr:row>495</xdr:row>
      <xdr:rowOff>114300</xdr:rowOff>
    </xdr:to>
    <xdr:grpSp>
      <xdr:nvGrpSpPr>
        <xdr:cNvPr id="1165" name="Group 226"/>
        <xdr:cNvGrpSpPr>
          <a:grpSpLocks/>
        </xdr:cNvGrpSpPr>
      </xdr:nvGrpSpPr>
      <xdr:grpSpPr bwMode="auto">
        <a:xfrm>
          <a:off x="95250" y="117519450"/>
          <a:ext cx="962025" cy="228600"/>
          <a:chOff x="665" y="156"/>
          <a:chExt cx="189" cy="49"/>
        </a:xfrm>
      </xdr:grpSpPr>
      <xdr:pic>
        <xdr:nvPicPr>
          <xdr:cNvPr id="1168" name="Picture 227" descr="Anker_CO_Display"/>
          <xdr:cNvPicPr preferRelativeResize="0">
            <a:picLocks noChangeArrowheads="1"/>
          </xdr:cNvPicPr>
        </xdr:nvPicPr>
        <xdr:blipFill>
          <a:blip xmlns:r="http://schemas.openxmlformats.org/officeDocument/2006/relationships" r:embed="rId4" cstate="print"/>
          <a:srcRect t="-2063"/>
          <a:stretch>
            <a:fillRect/>
          </a:stretch>
        </xdr:blipFill>
        <xdr:spPr bwMode="auto">
          <a:xfrm>
            <a:off x="665" y="161"/>
            <a:ext cx="37" cy="38"/>
          </a:xfrm>
          <a:prstGeom prst="rect">
            <a:avLst/>
          </a:prstGeom>
          <a:noFill/>
          <a:ln w="9525">
            <a:noFill/>
            <a:miter lim="800000"/>
            <a:headEnd/>
            <a:tailEnd/>
          </a:ln>
        </xdr:spPr>
      </xdr:pic>
      <xdr:pic>
        <xdr:nvPicPr>
          <xdr:cNvPr id="1212" name="Picture 228"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twoCellAnchor>
    <xdr:from>
      <xdr:col>0</xdr:col>
      <xdr:colOff>95250</xdr:colOff>
      <xdr:row>535</xdr:row>
      <xdr:rowOff>133350</xdr:rowOff>
    </xdr:from>
    <xdr:to>
      <xdr:col>2</xdr:col>
      <xdr:colOff>66675</xdr:colOff>
      <xdr:row>536</xdr:row>
      <xdr:rowOff>114300</xdr:rowOff>
    </xdr:to>
    <xdr:grpSp>
      <xdr:nvGrpSpPr>
        <xdr:cNvPr id="1216" name="Group 226"/>
        <xdr:cNvGrpSpPr>
          <a:grpSpLocks/>
        </xdr:cNvGrpSpPr>
      </xdr:nvGrpSpPr>
      <xdr:grpSpPr bwMode="auto">
        <a:xfrm>
          <a:off x="95250" y="127320675"/>
          <a:ext cx="962025" cy="228600"/>
          <a:chOff x="665" y="156"/>
          <a:chExt cx="189" cy="49"/>
        </a:xfrm>
      </xdr:grpSpPr>
      <xdr:pic>
        <xdr:nvPicPr>
          <xdr:cNvPr id="1244" name="Picture 227" descr="Anker_CO_Display"/>
          <xdr:cNvPicPr preferRelativeResize="0">
            <a:picLocks noChangeArrowheads="1"/>
          </xdr:cNvPicPr>
        </xdr:nvPicPr>
        <xdr:blipFill>
          <a:blip xmlns:r="http://schemas.openxmlformats.org/officeDocument/2006/relationships" r:embed="rId4" cstate="print"/>
          <a:srcRect t="-2063"/>
          <a:stretch>
            <a:fillRect/>
          </a:stretch>
        </xdr:blipFill>
        <xdr:spPr bwMode="auto">
          <a:xfrm>
            <a:off x="665" y="161"/>
            <a:ext cx="37" cy="38"/>
          </a:xfrm>
          <a:prstGeom prst="rect">
            <a:avLst/>
          </a:prstGeom>
          <a:noFill/>
          <a:ln w="9525">
            <a:noFill/>
            <a:miter lim="800000"/>
            <a:headEnd/>
            <a:tailEnd/>
          </a:ln>
        </xdr:spPr>
      </xdr:pic>
      <xdr:pic>
        <xdr:nvPicPr>
          <xdr:cNvPr id="1250" name="Picture 228"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twoCellAnchor>
    <xdr:from>
      <xdr:col>0</xdr:col>
      <xdr:colOff>95250</xdr:colOff>
      <xdr:row>576</xdr:row>
      <xdr:rowOff>133350</xdr:rowOff>
    </xdr:from>
    <xdr:to>
      <xdr:col>2</xdr:col>
      <xdr:colOff>66675</xdr:colOff>
      <xdr:row>577</xdr:row>
      <xdr:rowOff>114300</xdr:rowOff>
    </xdr:to>
    <xdr:grpSp>
      <xdr:nvGrpSpPr>
        <xdr:cNvPr id="1259" name="Group 226"/>
        <xdr:cNvGrpSpPr>
          <a:grpSpLocks/>
        </xdr:cNvGrpSpPr>
      </xdr:nvGrpSpPr>
      <xdr:grpSpPr bwMode="auto">
        <a:xfrm>
          <a:off x="95250" y="137226675"/>
          <a:ext cx="962025" cy="228600"/>
          <a:chOff x="665" y="156"/>
          <a:chExt cx="189" cy="49"/>
        </a:xfrm>
      </xdr:grpSpPr>
      <xdr:pic>
        <xdr:nvPicPr>
          <xdr:cNvPr id="1300" name="Picture 227" descr="Anker_CO_Display"/>
          <xdr:cNvPicPr preferRelativeResize="0">
            <a:picLocks noChangeArrowheads="1"/>
          </xdr:cNvPicPr>
        </xdr:nvPicPr>
        <xdr:blipFill>
          <a:blip xmlns:r="http://schemas.openxmlformats.org/officeDocument/2006/relationships" r:embed="rId4" cstate="print"/>
          <a:srcRect t="-2063"/>
          <a:stretch>
            <a:fillRect/>
          </a:stretch>
        </xdr:blipFill>
        <xdr:spPr bwMode="auto">
          <a:xfrm>
            <a:off x="665" y="161"/>
            <a:ext cx="37" cy="38"/>
          </a:xfrm>
          <a:prstGeom prst="rect">
            <a:avLst/>
          </a:prstGeom>
          <a:noFill/>
          <a:ln w="9525">
            <a:noFill/>
            <a:miter lim="800000"/>
            <a:headEnd/>
            <a:tailEnd/>
          </a:ln>
        </xdr:spPr>
      </xdr:pic>
      <xdr:pic>
        <xdr:nvPicPr>
          <xdr:cNvPr id="1305" name="Picture 228"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twoCellAnchor>
    <xdr:from>
      <xdr:col>0</xdr:col>
      <xdr:colOff>95250</xdr:colOff>
      <xdr:row>613</xdr:row>
      <xdr:rowOff>133350</xdr:rowOff>
    </xdr:from>
    <xdr:to>
      <xdr:col>2</xdr:col>
      <xdr:colOff>66675</xdr:colOff>
      <xdr:row>614</xdr:row>
      <xdr:rowOff>114300</xdr:rowOff>
    </xdr:to>
    <xdr:grpSp>
      <xdr:nvGrpSpPr>
        <xdr:cNvPr id="1324" name="Group 226"/>
        <xdr:cNvGrpSpPr>
          <a:grpSpLocks/>
        </xdr:cNvGrpSpPr>
      </xdr:nvGrpSpPr>
      <xdr:grpSpPr bwMode="auto">
        <a:xfrm>
          <a:off x="95250" y="146656425"/>
          <a:ext cx="962025" cy="228600"/>
          <a:chOff x="665" y="156"/>
          <a:chExt cx="189" cy="49"/>
        </a:xfrm>
      </xdr:grpSpPr>
      <xdr:pic>
        <xdr:nvPicPr>
          <xdr:cNvPr id="1439" name="Picture 227" descr="Anker_CO_Display"/>
          <xdr:cNvPicPr preferRelativeResize="0">
            <a:picLocks noChangeArrowheads="1"/>
          </xdr:cNvPicPr>
        </xdr:nvPicPr>
        <xdr:blipFill>
          <a:blip xmlns:r="http://schemas.openxmlformats.org/officeDocument/2006/relationships" r:embed="rId4" cstate="print"/>
          <a:srcRect t="-2063"/>
          <a:stretch>
            <a:fillRect/>
          </a:stretch>
        </xdr:blipFill>
        <xdr:spPr bwMode="auto">
          <a:xfrm>
            <a:off x="665" y="161"/>
            <a:ext cx="37" cy="38"/>
          </a:xfrm>
          <a:prstGeom prst="rect">
            <a:avLst/>
          </a:prstGeom>
          <a:noFill/>
          <a:ln w="9525">
            <a:noFill/>
            <a:miter lim="800000"/>
            <a:headEnd/>
            <a:tailEnd/>
          </a:ln>
        </xdr:spPr>
      </xdr:pic>
      <xdr:pic>
        <xdr:nvPicPr>
          <xdr:cNvPr id="1451" name="Picture 228"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twoCellAnchor>
    <xdr:from>
      <xdr:col>0</xdr:col>
      <xdr:colOff>95250</xdr:colOff>
      <xdr:row>651</xdr:row>
      <xdr:rowOff>133350</xdr:rowOff>
    </xdr:from>
    <xdr:to>
      <xdr:col>2</xdr:col>
      <xdr:colOff>66675</xdr:colOff>
      <xdr:row>652</xdr:row>
      <xdr:rowOff>114300</xdr:rowOff>
    </xdr:to>
    <xdr:grpSp>
      <xdr:nvGrpSpPr>
        <xdr:cNvPr id="1456" name="Group 226"/>
        <xdr:cNvGrpSpPr>
          <a:grpSpLocks/>
        </xdr:cNvGrpSpPr>
      </xdr:nvGrpSpPr>
      <xdr:grpSpPr bwMode="auto">
        <a:xfrm>
          <a:off x="95250" y="156324300"/>
          <a:ext cx="962025" cy="228600"/>
          <a:chOff x="665" y="156"/>
          <a:chExt cx="189" cy="49"/>
        </a:xfrm>
      </xdr:grpSpPr>
      <xdr:pic>
        <xdr:nvPicPr>
          <xdr:cNvPr id="1467" name="Picture 227" descr="Anker_CO_Display"/>
          <xdr:cNvPicPr preferRelativeResize="0">
            <a:picLocks noChangeArrowheads="1"/>
          </xdr:cNvPicPr>
        </xdr:nvPicPr>
        <xdr:blipFill>
          <a:blip xmlns:r="http://schemas.openxmlformats.org/officeDocument/2006/relationships" r:embed="rId4" cstate="print"/>
          <a:srcRect t="-2063"/>
          <a:stretch>
            <a:fillRect/>
          </a:stretch>
        </xdr:blipFill>
        <xdr:spPr bwMode="auto">
          <a:xfrm>
            <a:off x="665" y="161"/>
            <a:ext cx="37" cy="38"/>
          </a:xfrm>
          <a:prstGeom prst="rect">
            <a:avLst/>
          </a:prstGeom>
          <a:noFill/>
          <a:ln w="9525">
            <a:noFill/>
            <a:miter lim="800000"/>
            <a:headEnd/>
            <a:tailEnd/>
          </a:ln>
        </xdr:spPr>
      </xdr:pic>
      <xdr:pic>
        <xdr:nvPicPr>
          <xdr:cNvPr id="1539" name="Picture 228"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twoCellAnchor>
    <xdr:from>
      <xdr:col>0</xdr:col>
      <xdr:colOff>95250</xdr:colOff>
      <xdr:row>701</xdr:row>
      <xdr:rowOff>133350</xdr:rowOff>
    </xdr:from>
    <xdr:to>
      <xdr:col>2</xdr:col>
      <xdr:colOff>66675</xdr:colOff>
      <xdr:row>702</xdr:row>
      <xdr:rowOff>114300</xdr:rowOff>
    </xdr:to>
    <xdr:grpSp>
      <xdr:nvGrpSpPr>
        <xdr:cNvPr id="1545" name="Group 226"/>
        <xdr:cNvGrpSpPr>
          <a:grpSpLocks/>
        </xdr:cNvGrpSpPr>
      </xdr:nvGrpSpPr>
      <xdr:grpSpPr bwMode="auto">
        <a:xfrm>
          <a:off x="95250" y="166011225"/>
          <a:ext cx="962025" cy="228600"/>
          <a:chOff x="665" y="156"/>
          <a:chExt cx="189" cy="49"/>
        </a:xfrm>
      </xdr:grpSpPr>
      <xdr:pic>
        <xdr:nvPicPr>
          <xdr:cNvPr id="1553" name="Picture 227" descr="Anker_CO_Display"/>
          <xdr:cNvPicPr preferRelativeResize="0">
            <a:picLocks noChangeArrowheads="1"/>
          </xdr:cNvPicPr>
        </xdr:nvPicPr>
        <xdr:blipFill>
          <a:blip xmlns:r="http://schemas.openxmlformats.org/officeDocument/2006/relationships" r:embed="rId4" cstate="print"/>
          <a:srcRect t="-2063"/>
          <a:stretch>
            <a:fillRect/>
          </a:stretch>
        </xdr:blipFill>
        <xdr:spPr bwMode="auto">
          <a:xfrm>
            <a:off x="665" y="161"/>
            <a:ext cx="37" cy="38"/>
          </a:xfrm>
          <a:prstGeom prst="rect">
            <a:avLst/>
          </a:prstGeom>
          <a:noFill/>
          <a:ln w="9525">
            <a:noFill/>
            <a:miter lim="800000"/>
            <a:headEnd/>
            <a:tailEnd/>
          </a:ln>
        </xdr:spPr>
      </xdr:pic>
      <xdr:pic>
        <xdr:nvPicPr>
          <xdr:cNvPr id="1579" name="Picture 228"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twoCellAnchor>
    <xdr:from>
      <xdr:col>0</xdr:col>
      <xdr:colOff>95250</xdr:colOff>
      <xdr:row>750</xdr:row>
      <xdr:rowOff>133350</xdr:rowOff>
    </xdr:from>
    <xdr:to>
      <xdr:col>2</xdr:col>
      <xdr:colOff>66675</xdr:colOff>
      <xdr:row>751</xdr:row>
      <xdr:rowOff>114300</xdr:rowOff>
    </xdr:to>
    <xdr:grpSp>
      <xdr:nvGrpSpPr>
        <xdr:cNvPr id="1619" name="Group 226"/>
        <xdr:cNvGrpSpPr>
          <a:grpSpLocks/>
        </xdr:cNvGrpSpPr>
      </xdr:nvGrpSpPr>
      <xdr:grpSpPr bwMode="auto">
        <a:xfrm>
          <a:off x="95250" y="175602900"/>
          <a:ext cx="962025" cy="228600"/>
          <a:chOff x="665" y="156"/>
          <a:chExt cx="189" cy="49"/>
        </a:xfrm>
      </xdr:grpSpPr>
      <xdr:pic>
        <xdr:nvPicPr>
          <xdr:cNvPr id="1635" name="Picture 227" descr="Anker_CO_Display"/>
          <xdr:cNvPicPr preferRelativeResize="0">
            <a:picLocks noChangeArrowheads="1"/>
          </xdr:cNvPicPr>
        </xdr:nvPicPr>
        <xdr:blipFill>
          <a:blip xmlns:r="http://schemas.openxmlformats.org/officeDocument/2006/relationships" r:embed="rId4" cstate="print"/>
          <a:srcRect t="-2063"/>
          <a:stretch>
            <a:fillRect/>
          </a:stretch>
        </xdr:blipFill>
        <xdr:spPr bwMode="auto">
          <a:xfrm>
            <a:off x="665" y="161"/>
            <a:ext cx="37" cy="38"/>
          </a:xfrm>
          <a:prstGeom prst="rect">
            <a:avLst/>
          </a:prstGeom>
          <a:noFill/>
          <a:ln w="9525">
            <a:noFill/>
            <a:miter lim="800000"/>
            <a:headEnd/>
            <a:tailEnd/>
          </a:ln>
        </xdr:spPr>
      </xdr:pic>
      <xdr:pic>
        <xdr:nvPicPr>
          <xdr:cNvPr id="1662" name="Picture 228"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twoCellAnchor>
    <xdr:from>
      <xdr:col>0</xdr:col>
      <xdr:colOff>95250</xdr:colOff>
      <xdr:row>806</xdr:row>
      <xdr:rowOff>133350</xdr:rowOff>
    </xdr:from>
    <xdr:to>
      <xdr:col>2</xdr:col>
      <xdr:colOff>66675</xdr:colOff>
      <xdr:row>807</xdr:row>
      <xdr:rowOff>114300</xdr:rowOff>
    </xdr:to>
    <xdr:grpSp>
      <xdr:nvGrpSpPr>
        <xdr:cNvPr id="1670" name="Group 226"/>
        <xdr:cNvGrpSpPr>
          <a:grpSpLocks/>
        </xdr:cNvGrpSpPr>
      </xdr:nvGrpSpPr>
      <xdr:grpSpPr bwMode="auto">
        <a:xfrm>
          <a:off x="95250" y="185099325"/>
          <a:ext cx="962025" cy="228600"/>
          <a:chOff x="665" y="156"/>
          <a:chExt cx="189" cy="49"/>
        </a:xfrm>
      </xdr:grpSpPr>
      <xdr:pic>
        <xdr:nvPicPr>
          <xdr:cNvPr id="1763" name="Picture 227" descr="Anker_CO_Display"/>
          <xdr:cNvPicPr preferRelativeResize="0">
            <a:picLocks noChangeArrowheads="1"/>
          </xdr:cNvPicPr>
        </xdr:nvPicPr>
        <xdr:blipFill>
          <a:blip xmlns:r="http://schemas.openxmlformats.org/officeDocument/2006/relationships" r:embed="rId4" cstate="print"/>
          <a:srcRect t="-2063"/>
          <a:stretch>
            <a:fillRect/>
          </a:stretch>
        </xdr:blipFill>
        <xdr:spPr bwMode="auto">
          <a:xfrm>
            <a:off x="665" y="161"/>
            <a:ext cx="37" cy="38"/>
          </a:xfrm>
          <a:prstGeom prst="rect">
            <a:avLst/>
          </a:prstGeom>
          <a:noFill/>
          <a:ln w="9525">
            <a:noFill/>
            <a:miter lim="800000"/>
            <a:headEnd/>
            <a:tailEnd/>
          </a:ln>
        </xdr:spPr>
      </xdr:pic>
      <xdr:pic>
        <xdr:nvPicPr>
          <xdr:cNvPr id="1764" name="Picture 228"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xdr:twoCellAnchor>
    <xdr:from>
      <xdr:col>0</xdr:col>
      <xdr:colOff>95250</xdr:colOff>
      <xdr:row>866</xdr:row>
      <xdr:rowOff>133350</xdr:rowOff>
    </xdr:from>
    <xdr:to>
      <xdr:col>2</xdr:col>
      <xdr:colOff>66675</xdr:colOff>
      <xdr:row>867</xdr:row>
      <xdr:rowOff>114300</xdr:rowOff>
    </xdr:to>
    <xdr:grpSp>
      <xdr:nvGrpSpPr>
        <xdr:cNvPr id="1765" name="Group 226"/>
        <xdr:cNvGrpSpPr>
          <a:grpSpLocks/>
        </xdr:cNvGrpSpPr>
      </xdr:nvGrpSpPr>
      <xdr:grpSpPr bwMode="auto">
        <a:xfrm>
          <a:off x="95250" y="195367275"/>
          <a:ext cx="962025" cy="228600"/>
          <a:chOff x="665" y="156"/>
          <a:chExt cx="189" cy="49"/>
        </a:xfrm>
      </xdr:grpSpPr>
      <xdr:pic>
        <xdr:nvPicPr>
          <xdr:cNvPr id="1766" name="Picture 227" descr="Anker_CO_Display"/>
          <xdr:cNvPicPr preferRelativeResize="0">
            <a:picLocks noChangeArrowheads="1"/>
          </xdr:cNvPicPr>
        </xdr:nvPicPr>
        <xdr:blipFill>
          <a:blip xmlns:r="http://schemas.openxmlformats.org/officeDocument/2006/relationships" r:embed="rId4" cstate="print"/>
          <a:srcRect t="-2063"/>
          <a:stretch>
            <a:fillRect/>
          </a:stretch>
        </xdr:blipFill>
        <xdr:spPr bwMode="auto">
          <a:xfrm>
            <a:off x="665" y="161"/>
            <a:ext cx="37" cy="38"/>
          </a:xfrm>
          <a:prstGeom prst="rect">
            <a:avLst/>
          </a:prstGeom>
          <a:noFill/>
          <a:ln w="9525">
            <a:noFill/>
            <a:miter lim="800000"/>
            <a:headEnd/>
            <a:tailEnd/>
          </a:ln>
        </xdr:spPr>
      </xdr:pic>
      <xdr:pic>
        <xdr:nvPicPr>
          <xdr:cNvPr id="1767" name="Picture 228" descr="BoschColor"/>
          <xdr:cNvPicPr preferRelativeResize="0">
            <a:picLocks noChangeArrowheads="1"/>
          </xdr:cNvPicPr>
        </xdr:nvPicPr>
        <xdr:blipFill>
          <a:blip xmlns:r="http://schemas.openxmlformats.org/officeDocument/2006/relationships" r:embed="rId2" cstate="print"/>
          <a:srcRect t="3474" r="-24561" b="-13026"/>
          <a:stretch>
            <a:fillRect/>
          </a:stretch>
        </xdr:blipFill>
        <xdr:spPr bwMode="auto">
          <a:xfrm>
            <a:off x="719" y="156"/>
            <a:ext cx="135" cy="49"/>
          </a:xfrm>
          <a:prstGeom prst="rect">
            <a:avLst/>
          </a:prstGeom>
          <a:noFill/>
          <a:ln w="9525">
            <a:noFill/>
            <a:miter lim="800000"/>
            <a:headEnd/>
            <a:tailEnd/>
          </a:ln>
        </xdr:spPr>
      </xdr:pic>
    </xdr:grpSp>
    <xdr:clientData/>
  </xdr:twoCellAnchor>
  <mc:AlternateContent xmlns:mc="http://schemas.openxmlformats.org/markup-compatibility/2006">
    <mc:Choice xmlns:a14="http://schemas.microsoft.com/office/drawing/2010/main" Requires="a14">
      <xdr:twoCellAnchor>
        <xdr:from>
          <xdr:col>3</xdr:col>
          <xdr:colOff>76199</xdr:colOff>
          <xdr:row>70</xdr:row>
          <xdr:rowOff>133350</xdr:rowOff>
        </xdr:from>
        <xdr:to>
          <xdr:col>5</xdr:col>
          <xdr:colOff>209550</xdr:colOff>
          <xdr:row>71</xdr:row>
          <xdr:rowOff>9526</xdr:rowOff>
        </xdr:to>
        <xdr:grpSp>
          <xdr:nvGrpSpPr>
            <xdr:cNvPr id="229" name="Group 228"/>
            <xdr:cNvGrpSpPr/>
          </xdr:nvGrpSpPr>
          <xdr:grpSpPr>
            <a:xfrm>
              <a:off x="3952874" y="16906875"/>
              <a:ext cx="647701" cy="123826"/>
              <a:chOff x="3905249" y="16840200"/>
              <a:chExt cx="647701" cy="123826"/>
            </a:xfrm>
          </xdr:grpSpPr>
          <xdr:sp macro="" textlink="">
            <xdr:nvSpPr>
              <xdr:cNvPr id="6" name="Check Box 741" hidden="1">
                <a:extLst>
                  <a:ext uri="{63B3BB69-23CF-44E3-9099-C40C66FF867C}">
                    <a14:compatExt spid="_x0000_s1765"/>
                  </a:ext>
                </a:extLst>
              </xdr:cNvPr>
              <xdr:cNvSpPr/>
            </xdr:nvSpPr>
            <xdr:spPr bwMode="auto">
              <a:xfrm>
                <a:off x="3905249" y="168592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 name="Check Box 743" hidden="1">
                <a:extLst>
                  <a:ext uri="{63B3BB69-23CF-44E3-9099-C40C66FF867C}">
                    <a14:compatExt spid="_x0000_s1767"/>
                  </a:ext>
                </a:extLst>
              </xdr:cNvPr>
              <xdr:cNvSpPr/>
            </xdr:nvSpPr>
            <xdr:spPr bwMode="auto">
              <a:xfrm>
                <a:off x="4133850" y="168497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768" name="Check Box 744" hidden="1">
                <a:extLst>
                  <a:ext uri="{63B3BB69-23CF-44E3-9099-C40C66FF867C}">
                    <a14:compatExt spid="_x0000_s1768"/>
                  </a:ext>
                </a:extLst>
              </xdr:cNvPr>
              <xdr:cNvSpPr/>
            </xdr:nvSpPr>
            <xdr:spPr bwMode="auto">
              <a:xfrm>
                <a:off x="4400550" y="168402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85725</xdr:colOff>
          <xdr:row>71</xdr:row>
          <xdr:rowOff>104775</xdr:rowOff>
        </xdr:from>
        <xdr:to>
          <xdr:col>5</xdr:col>
          <xdr:colOff>219076</xdr:colOff>
          <xdr:row>71</xdr:row>
          <xdr:rowOff>228601</xdr:rowOff>
        </xdr:to>
        <xdr:grpSp>
          <xdr:nvGrpSpPr>
            <xdr:cNvPr id="230" name="Group 229"/>
            <xdr:cNvGrpSpPr/>
          </xdr:nvGrpSpPr>
          <xdr:grpSpPr>
            <a:xfrm>
              <a:off x="3962400" y="17125950"/>
              <a:ext cx="647701" cy="123826"/>
              <a:chOff x="3914775" y="17059275"/>
              <a:chExt cx="647701" cy="123826"/>
            </a:xfrm>
          </xdr:grpSpPr>
          <xdr:sp macro="" textlink="">
            <xdr:nvSpPr>
              <xdr:cNvPr id="1769" name="Check Box 745" hidden="1">
                <a:extLst>
                  <a:ext uri="{63B3BB69-23CF-44E3-9099-C40C66FF867C}">
                    <a14:compatExt spid="_x0000_s1769"/>
                  </a:ext>
                </a:extLst>
              </xdr:cNvPr>
              <xdr:cNvSpPr/>
            </xdr:nvSpPr>
            <xdr:spPr bwMode="auto">
              <a:xfrm>
                <a:off x="3914775" y="170783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770" name="Check Box 746" hidden="1">
                <a:extLst>
                  <a:ext uri="{63B3BB69-23CF-44E3-9099-C40C66FF867C}">
                    <a14:compatExt spid="_x0000_s1770"/>
                  </a:ext>
                </a:extLst>
              </xdr:cNvPr>
              <xdr:cNvSpPr/>
            </xdr:nvSpPr>
            <xdr:spPr bwMode="auto">
              <a:xfrm>
                <a:off x="4143376" y="170688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771" name="Check Box 747" hidden="1">
                <a:extLst>
                  <a:ext uri="{63B3BB69-23CF-44E3-9099-C40C66FF867C}">
                    <a14:compatExt spid="_x0000_s1771"/>
                  </a:ext>
                </a:extLst>
              </xdr:cNvPr>
              <xdr:cNvSpPr/>
            </xdr:nvSpPr>
            <xdr:spPr bwMode="auto">
              <a:xfrm>
                <a:off x="4410076" y="170592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85725</xdr:colOff>
          <xdr:row>72</xdr:row>
          <xdr:rowOff>85725</xdr:rowOff>
        </xdr:from>
        <xdr:to>
          <xdr:col>5</xdr:col>
          <xdr:colOff>219076</xdr:colOff>
          <xdr:row>72</xdr:row>
          <xdr:rowOff>209551</xdr:rowOff>
        </xdr:to>
        <xdr:grpSp>
          <xdr:nvGrpSpPr>
            <xdr:cNvPr id="234" name="Group 233"/>
            <xdr:cNvGrpSpPr/>
          </xdr:nvGrpSpPr>
          <xdr:grpSpPr>
            <a:xfrm>
              <a:off x="3962400" y="17354550"/>
              <a:ext cx="647701" cy="123826"/>
              <a:chOff x="3914775" y="17287875"/>
              <a:chExt cx="647701" cy="123826"/>
            </a:xfrm>
          </xdr:grpSpPr>
          <xdr:sp macro="" textlink="">
            <xdr:nvSpPr>
              <xdr:cNvPr id="1772" name="Check Box 748" hidden="1">
                <a:extLst>
                  <a:ext uri="{63B3BB69-23CF-44E3-9099-C40C66FF867C}">
                    <a14:compatExt spid="_x0000_s1772"/>
                  </a:ext>
                </a:extLst>
              </xdr:cNvPr>
              <xdr:cNvSpPr/>
            </xdr:nvSpPr>
            <xdr:spPr bwMode="auto">
              <a:xfrm>
                <a:off x="3914775" y="173069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773" name="Check Box 749" hidden="1">
                <a:extLst>
                  <a:ext uri="{63B3BB69-23CF-44E3-9099-C40C66FF867C}">
                    <a14:compatExt spid="_x0000_s1773"/>
                  </a:ext>
                </a:extLst>
              </xdr:cNvPr>
              <xdr:cNvSpPr/>
            </xdr:nvSpPr>
            <xdr:spPr bwMode="auto">
              <a:xfrm>
                <a:off x="4143376" y="172974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774" name="Check Box 750" hidden="1">
                <a:extLst>
                  <a:ext uri="{63B3BB69-23CF-44E3-9099-C40C66FF867C}">
                    <a14:compatExt spid="_x0000_s1774"/>
                  </a:ext>
                </a:extLst>
              </xdr:cNvPr>
              <xdr:cNvSpPr/>
            </xdr:nvSpPr>
            <xdr:spPr bwMode="auto">
              <a:xfrm>
                <a:off x="4410076" y="172878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85725</xdr:colOff>
          <xdr:row>73</xdr:row>
          <xdr:rowOff>38100</xdr:rowOff>
        </xdr:from>
        <xdr:to>
          <xdr:col>5</xdr:col>
          <xdr:colOff>219076</xdr:colOff>
          <xdr:row>73</xdr:row>
          <xdr:rowOff>161926</xdr:rowOff>
        </xdr:to>
        <xdr:grpSp>
          <xdr:nvGrpSpPr>
            <xdr:cNvPr id="235" name="Group 234"/>
            <xdr:cNvGrpSpPr/>
          </xdr:nvGrpSpPr>
          <xdr:grpSpPr>
            <a:xfrm>
              <a:off x="3962400" y="17554575"/>
              <a:ext cx="647701" cy="123826"/>
              <a:chOff x="3914775" y="17487900"/>
              <a:chExt cx="647701" cy="123826"/>
            </a:xfrm>
          </xdr:grpSpPr>
          <xdr:sp macro="" textlink="">
            <xdr:nvSpPr>
              <xdr:cNvPr id="1775" name="Check Box 751" hidden="1">
                <a:extLst>
                  <a:ext uri="{63B3BB69-23CF-44E3-9099-C40C66FF867C}">
                    <a14:compatExt spid="_x0000_s1775"/>
                  </a:ext>
                </a:extLst>
              </xdr:cNvPr>
              <xdr:cNvSpPr/>
            </xdr:nvSpPr>
            <xdr:spPr bwMode="auto">
              <a:xfrm>
                <a:off x="3914775" y="175069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776" name="Check Box 752" hidden="1">
                <a:extLst>
                  <a:ext uri="{63B3BB69-23CF-44E3-9099-C40C66FF867C}">
                    <a14:compatExt spid="_x0000_s1776"/>
                  </a:ext>
                </a:extLst>
              </xdr:cNvPr>
              <xdr:cNvSpPr/>
            </xdr:nvSpPr>
            <xdr:spPr bwMode="auto">
              <a:xfrm>
                <a:off x="4143376" y="174974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777" name="Check Box 753" hidden="1">
                <a:extLst>
                  <a:ext uri="{63B3BB69-23CF-44E3-9099-C40C66FF867C}">
                    <a14:compatExt spid="_x0000_s1777"/>
                  </a:ext>
                </a:extLst>
              </xdr:cNvPr>
              <xdr:cNvSpPr/>
            </xdr:nvSpPr>
            <xdr:spPr bwMode="auto">
              <a:xfrm>
                <a:off x="4410076" y="174879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47625</xdr:colOff>
          <xdr:row>90</xdr:row>
          <xdr:rowOff>161925</xdr:rowOff>
        </xdr:from>
        <xdr:to>
          <xdr:col>5</xdr:col>
          <xdr:colOff>180976</xdr:colOff>
          <xdr:row>90</xdr:row>
          <xdr:rowOff>285751</xdr:rowOff>
        </xdr:to>
        <xdr:grpSp>
          <xdr:nvGrpSpPr>
            <xdr:cNvPr id="242" name="Group 241"/>
            <xdr:cNvGrpSpPr/>
          </xdr:nvGrpSpPr>
          <xdr:grpSpPr>
            <a:xfrm>
              <a:off x="3924300" y="21193125"/>
              <a:ext cx="647701" cy="123826"/>
              <a:chOff x="3876675" y="21126450"/>
              <a:chExt cx="647701" cy="123826"/>
            </a:xfrm>
          </xdr:grpSpPr>
          <xdr:sp macro="" textlink="">
            <xdr:nvSpPr>
              <xdr:cNvPr id="1778" name="Check Box 754" hidden="1">
                <a:extLst>
                  <a:ext uri="{63B3BB69-23CF-44E3-9099-C40C66FF867C}">
                    <a14:compatExt spid="_x0000_s1778"/>
                  </a:ext>
                </a:extLst>
              </xdr:cNvPr>
              <xdr:cNvSpPr/>
            </xdr:nvSpPr>
            <xdr:spPr bwMode="auto">
              <a:xfrm>
                <a:off x="3876675" y="211455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779" name="Check Box 755" hidden="1">
                <a:extLst>
                  <a:ext uri="{63B3BB69-23CF-44E3-9099-C40C66FF867C}">
                    <a14:compatExt spid="_x0000_s1779"/>
                  </a:ext>
                </a:extLst>
              </xdr:cNvPr>
              <xdr:cNvSpPr/>
            </xdr:nvSpPr>
            <xdr:spPr bwMode="auto">
              <a:xfrm>
                <a:off x="4105276" y="211359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780" name="Check Box 756" hidden="1">
                <a:extLst>
                  <a:ext uri="{63B3BB69-23CF-44E3-9099-C40C66FF867C}">
                    <a14:compatExt spid="_x0000_s1780"/>
                  </a:ext>
                </a:extLst>
              </xdr:cNvPr>
              <xdr:cNvSpPr/>
            </xdr:nvSpPr>
            <xdr:spPr bwMode="auto">
              <a:xfrm>
                <a:off x="4371976" y="211264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47625</xdr:colOff>
          <xdr:row>90</xdr:row>
          <xdr:rowOff>571500</xdr:rowOff>
        </xdr:from>
        <xdr:to>
          <xdr:col>5</xdr:col>
          <xdr:colOff>180976</xdr:colOff>
          <xdr:row>91</xdr:row>
          <xdr:rowOff>85726</xdr:rowOff>
        </xdr:to>
        <xdr:grpSp>
          <xdr:nvGrpSpPr>
            <xdr:cNvPr id="243" name="Group 242"/>
            <xdr:cNvGrpSpPr/>
          </xdr:nvGrpSpPr>
          <xdr:grpSpPr>
            <a:xfrm>
              <a:off x="3924300" y="21602700"/>
              <a:ext cx="647701" cy="123826"/>
              <a:chOff x="3876675" y="21536025"/>
              <a:chExt cx="647701" cy="123826"/>
            </a:xfrm>
          </xdr:grpSpPr>
          <xdr:sp macro="" textlink="">
            <xdr:nvSpPr>
              <xdr:cNvPr id="1784" name="Check Box 760" hidden="1">
                <a:extLst>
                  <a:ext uri="{63B3BB69-23CF-44E3-9099-C40C66FF867C}">
                    <a14:compatExt spid="_x0000_s1784"/>
                  </a:ext>
                </a:extLst>
              </xdr:cNvPr>
              <xdr:cNvSpPr/>
            </xdr:nvSpPr>
            <xdr:spPr bwMode="auto">
              <a:xfrm>
                <a:off x="3876675" y="215550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785" name="Check Box 761" hidden="1">
                <a:extLst>
                  <a:ext uri="{63B3BB69-23CF-44E3-9099-C40C66FF867C}">
                    <a14:compatExt spid="_x0000_s1785"/>
                  </a:ext>
                </a:extLst>
              </xdr:cNvPr>
              <xdr:cNvSpPr/>
            </xdr:nvSpPr>
            <xdr:spPr bwMode="auto">
              <a:xfrm>
                <a:off x="4105276" y="215455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786" name="Check Box 762" hidden="1">
                <a:extLst>
                  <a:ext uri="{63B3BB69-23CF-44E3-9099-C40C66FF867C}">
                    <a14:compatExt spid="_x0000_s1786"/>
                  </a:ext>
                </a:extLst>
              </xdr:cNvPr>
              <xdr:cNvSpPr/>
            </xdr:nvSpPr>
            <xdr:spPr bwMode="auto">
              <a:xfrm>
                <a:off x="4371976" y="215360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95</xdr:row>
          <xdr:rowOff>285750</xdr:rowOff>
        </xdr:from>
        <xdr:to>
          <xdr:col>5</xdr:col>
          <xdr:colOff>171451</xdr:colOff>
          <xdr:row>95</xdr:row>
          <xdr:rowOff>409576</xdr:rowOff>
        </xdr:to>
        <xdr:grpSp>
          <xdr:nvGrpSpPr>
            <xdr:cNvPr id="245" name="Group 244"/>
            <xdr:cNvGrpSpPr/>
          </xdr:nvGrpSpPr>
          <xdr:grpSpPr>
            <a:xfrm>
              <a:off x="3914775" y="22736175"/>
              <a:ext cx="647701" cy="123826"/>
              <a:chOff x="3867150" y="22669500"/>
              <a:chExt cx="647701" cy="123826"/>
            </a:xfrm>
          </xdr:grpSpPr>
          <xdr:sp macro="" textlink="">
            <xdr:nvSpPr>
              <xdr:cNvPr id="1787" name="Check Box 763" hidden="1">
                <a:extLst>
                  <a:ext uri="{63B3BB69-23CF-44E3-9099-C40C66FF867C}">
                    <a14:compatExt spid="_x0000_s1787"/>
                  </a:ext>
                </a:extLst>
              </xdr:cNvPr>
              <xdr:cNvSpPr/>
            </xdr:nvSpPr>
            <xdr:spPr bwMode="auto">
              <a:xfrm>
                <a:off x="3867150" y="226885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788" name="Check Box 764" hidden="1">
                <a:extLst>
                  <a:ext uri="{63B3BB69-23CF-44E3-9099-C40C66FF867C}">
                    <a14:compatExt spid="_x0000_s1788"/>
                  </a:ext>
                </a:extLst>
              </xdr:cNvPr>
              <xdr:cNvSpPr/>
            </xdr:nvSpPr>
            <xdr:spPr bwMode="auto">
              <a:xfrm>
                <a:off x="4095751" y="226790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789" name="Check Box 765" hidden="1">
                <a:extLst>
                  <a:ext uri="{63B3BB69-23CF-44E3-9099-C40C66FF867C}">
                    <a14:compatExt spid="_x0000_s1789"/>
                  </a:ext>
                </a:extLst>
              </xdr:cNvPr>
              <xdr:cNvSpPr/>
            </xdr:nvSpPr>
            <xdr:spPr bwMode="auto">
              <a:xfrm>
                <a:off x="4362451" y="226695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95</xdr:row>
          <xdr:rowOff>0</xdr:rowOff>
        </xdr:from>
        <xdr:to>
          <xdr:col>5</xdr:col>
          <xdr:colOff>171451</xdr:colOff>
          <xdr:row>95</xdr:row>
          <xdr:rowOff>123826</xdr:rowOff>
        </xdr:to>
        <xdr:grpSp>
          <xdr:nvGrpSpPr>
            <xdr:cNvPr id="244" name="Group 243"/>
            <xdr:cNvGrpSpPr/>
          </xdr:nvGrpSpPr>
          <xdr:grpSpPr>
            <a:xfrm>
              <a:off x="3914775" y="22450425"/>
              <a:ext cx="647701" cy="123826"/>
              <a:chOff x="3867150" y="22383750"/>
              <a:chExt cx="647701" cy="123826"/>
            </a:xfrm>
          </xdr:grpSpPr>
          <xdr:sp macro="" textlink="">
            <xdr:nvSpPr>
              <xdr:cNvPr id="1790" name="Check Box 766" hidden="1">
                <a:extLst>
                  <a:ext uri="{63B3BB69-23CF-44E3-9099-C40C66FF867C}">
                    <a14:compatExt spid="_x0000_s1790"/>
                  </a:ext>
                </a:extLst>
              </xdr:cNvPr>
              <xdr:cNvSpPr/>
            </xdr:nvSpPr>
            <xdr:spPr bwMode="auto">
              <a:xfrm>
                <a:off x="3867150" y="224028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791" name="Check Box 767" hidden="1">
                <a:extLst>
                  <a:ext uri="{63B3BB69-23CF-44E3-9099-C40C66FF867C}">
                    <a14:compatExt spid="_x0000_s1791"/>
                  </a:ext>
                </a:extLst>
              </xdr:cNvPr>
              <xdr:cNvSpPr/>
            </xdr:nvSpPr>
            <xdr:spPr bwMode="auto">
              <a:xfrm>
                <a:off x="4095751" y="223932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792" name="Check Box 768" hidden="1">
                <a:extLst>
                  <a:ext uri="{63B3BB69-23CF-44E3-9099-C40C66FF867C}">
                    <a14:compatExt spid="_x0000_s1792"/>
                  </a:ext>
                </a:extLst>
              </xdr:cNvPr>
              <xdr:cNvSpPr/>
            </xdr:nvSpPr>
            <xdr:spPr bwMode="auto">
              <a:xfrm>
                <a:off x="4362451" y="223837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47625</xdr:colOff>
          <xdr:row>96</xdr:row>
          <xdr:rowOff>85725</xdr:rowOff>
        </xdr:from>
        <xdr:to>
          <xdr:col>5</xdr:col>
          <xdr:colOff>180976</xdr:colOff>
          <xdr:row>96</xdr:row>
          <xdr:rowOff>209551</xdr:rowOff>
        </xdr:to>
        <xdr:grpSp>
          <xdr:nvGrpSpPr>
            <xdr:cNvPr id="246" name="Group 245"/>
            <xdr:cNvGrpSpPr/>
          </xdr:nvGrpSpPr>
          <xdr:grpSpPr>
            <a:xfrm>
              <a:off x="3924300" y="23021925"/>
              <a:ext cx="647701" cy="123826"/>
              <a:chOff x="3876675" y="22955250"/>
              <a:chExt cx="647701" cy="123826"/>
            </a:xfrm>
          </xdr:grpSpPr>
          <xdr:sp macro="" textlink="">
            <xdr:nvSpPr>
              <xdr:cNvPr id="1793" name="Check Box 769" hidden="1">
                <a:extLst>
                  <a:ext uri="{63B3BB69-23CF-44E3-9099-C40C66FF867C}">
                    <a14:compatExt spid="_x0000_s1793"/>
                  </a:ext>
                </a:extLst>
              </xdr:cNvPr>
              <xdr:cNvSpPr/>
            </xdr:nvSpPr>
            <xdr:spPr bwMode="auto">
              <a:xfrm>
                <a:off x="3876675" y="229743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794" name="Check Box 770" hidden="1">
                <a:extLst>
                  <a:ext uri="{63B3BB69-23CF-44E3-9099-C40C66FF867C}">
                    <a14:compatExt spid="_x0000_s1794"/>
                  </a:ext>
                </a:extLst>
              </xdr:cNvPr>
              <xdr:cNvSpPr/>
            </xdr:nvSpPr>
            <xdr:spPr bwMode="auto">
              <a:xfrm>
                <a:off x="4105276" y="229647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795" name="Check Box 771" hidden="1">
                <a:extLst>
                  <a:ext uri="{63B3BB69-23CF-44E3-9099-C40C66FF867C}">
                    <a14:compatExt spid="_x0000_s1795"/>
                  </a:ext>
                </a:extLst>
              </xdr:cNvPr>
              <xdr:cNvSpPr/>
            </xdr:nvSpPr>
            <xdr:spPr bwMode="auto">
              <a:xfrm>
                <a:off x="4371976" y="229552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99</xdr:row>
          <xdr:rowOff>0</xdr:rowOff>
        </xdr:from>
        <xdr:to>
          <xdr:col>5</xdr:col>
          <xdr:colOff>133351</xdr:colOff>
          <xdr:row>99</xdr:row>
          <xdr:rowOff>123826</xdr:rowOff>
        </xdr:to>
        <xdr:grpSp>
          <xdr:nvGrpSpPr>
            <xdr:cNvPr id="482" name="Group 481"/>
            <xdr:cNvGrpSpPr/>
          </xdr:nvGrpSpPr>
          <xdr:grpSpPr>
            <a:xfrm>
              <a:off x="3876675" y="23907750"/>
              <a:ext cx="647701" cy="123826"/>
              <a:chOff x="3829050" y="23841075"/>
              <a:chExt cx="647701" cy="123826"/>
            </a:xfrm>
          </xdr:grpSpPr>
          <xdr:sp macro="" textlink="">
            <xdr:nvSpPr>
              <xdr:cNvPr id="1796" name="Check Box 772" hidden="1">
                <a:extLst>
                  <a:ext uri="{63B3BB69-23CF-44E3-9099-C40C66FF867C}">
                    <a14:compatExt spid="_x0000_s1796"/>
                  </a:ext>
                </a:extLst>
              </xdr:cNvPr>
              <xdr:cNvSpPr/>
            </xdr:nvSpPr>
            <xdr:spPr bwMode="auto">
              <a:xfrm>
                <a:off x="3829050" y="238601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797" name="Check Box 773" hidden="1">
                <a:extLst>
                  <a:ext uri="{63B3BB69-23CF-44E3-9099-C40C66FF867C}">
                    <a14:compatExt spid="_x0000_s1797"/>
                  </a:ext>
                </a:extLst>
              </xdr:cNvPr>
              <xdr:cNvSpPr/>
            </xdr:nvSpPr>
            <xdr:spPr bwMode="auto">
              <a:xfrm>
                <a:off x="4057651" y="238506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798" name="Check Box 774" hidden="1">
                <a:extLst>
                  <a:ext uri="{63B3BB69-23CF-44E3-9099-C40C66FF867C}">
                    <a14:compatExt spid="_x0000_s1798"/>
                  </a:ext>
                </a:extLst>
              </xdr:cNvPr>
              <xdr:cNvSpPr/>
            </xdr:nvSpPr>
            <xdr:spPr bwMode="auto">
              <a:xfrm>
                <a:off x="4324351" y="238410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100</xdr:row>
          <xdr:rowOff>0</xdr:rowOff>
        </xdr:from>
        <xdr:to>
          <xdr:col>5</xdr:col>
          <xdr:colOff>133351</xdr:colOff>
          <xdr:row>100</xdr:row>
          <xdr:rowOff>123826</xdr:rowOff>
        </xdr:to>
        <xdr:grpSp>
          <xdr:nvGrpSpPr>
            <xdr:cNvPr id="483" name="Group 482"/>
            <xdr:cNvGrpSpPr/>
          </xdr:nvGrpSpPr>
          <xdr:grpSpPr>
            <a:xfrm>
              <a:off x="3876675" y="24231600"/>
              <a:ext cx="647701" cy="123826"/>
              <a:chOff x="3829050" y="24164925"/>
              <a:chExt cx="647701" cy="123826"/>
            </a:xfrm>
          </xdr:grpSpPr>
          <xdr:sp macro="" textlink="">
            <xdr:nvSpPr>
              <xdr:cNvPr id="1799" name="Check Box 775" hidden="1">
                <a:extLst>
                  <a:ext uri="{63B3BB69-23CF-44E3-9099-C40C66FF867C}">
                    <a14:compatExt spid="_x0000_s1799"/>
                  </a:ext>
                </a:extLst>
              </xdr:cNvPr>
              <xdr:cNvSpPr/>
            </xdr:nvSpPr>
            <xdr:spPr bwMode="auto">
              <a:xfrm>
                <a:off x="3829050" y="241839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00" name="Check Box 776" hidden="1">
                <a:extLst>
                  <a:ext uri="{63B3BB69-23CF-44E3-9099-C40C66FF867C}">
                    <a14:compatExt spid="_x0000_s1800"/>
                  </a:ext>
                </a:extLst>
              </xdr:cNvPr>
              <xdr:cNvSpPr/>
            </xdr:nvSpPr>
            <xdr:spPr bwMode="auto">
              <a:xfrm>
                <a:off x="4057651" y="241744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01" name="Check Box 777" hidden="1">
                <a:extLst>
                  <a:ext uri="{63B3BB69-23CF-44E3-9099-C40C66FF867C}">
                    <a14:compatExt spid="_x0000_s1801"/>
                  </a:ext>
                </a:extLst>
              </xdr:cNvPr>
              <xdr:cNvSpPr/>
            </xdr:nvSpPr>
            <xdr:spPr bwMode="auto">
              <a:xfrm>
                <a:off x="4324351" y="241649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101</xdr:row>
          <xdr:rowOff>0</xdr:rowOff>
        </xdr:from>
        <xdr:to>
          <xdr:col>5</xdr:col>
          <xdr:colOff>133351</xdr:colOff>
          <xdr:row>101</xdr:row>
          <xdr:rowOff>123826</xdr:rowOff>
        </xdr:to>
        <xdr:grpSp>
          <xdr:nvGrpSpPr>
            <xdr:cNvPr id="484" name="Group 483"/>
            <xdr:cNvGrpSpPr/>
          </xdr:nvGrpSpPr>
          <xdr:grpSpPr>
            <a:xfrm>
              <a:off x="3876675" y="24555450"/>
              <a:ext cx="647701" cy="123826"/>
              <a:chOff x="3829050" y="24488775"/>
              <a:chExt cx="647701" cy="123826"/>
            </a:xfrm>
          </xdr:grpSpPr>
          <xdr:sp macro="" textlink="">
            <xdr:nvSpPr>
              <xdr:cNvPr id="1805" name="Check Box 781" hidden="1">
                <a:extLst>
                  <a:ext uri="{63B3BB69-23CF-44E3-9099-C40C66FF867C}">
                    <a14:compatExt spid="_x0000_s1805"/>
                  </a:ext>
                </a:extLst>
              </xdr:cNvPr>
              <xdr:cNvSpPr/>
            </xdr:nvSpPr>
            <xdr:spPr bwMode="auto">
              <a:xfrm>
                <a:off x="3829050" y="245078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06" name="Check Box 782" hidden="1">
                <a:extLst>
                  <a:ext uri="{63B3BB69-23CF-44E3-9099-C40C66FF867C}">
                    <a14:compatExt spid="_x0000_s1806"/>
                  </a:ext>
                </a:extLst>
              </xdr:cNvPr>
              <xdr:cNvSpPr/>
            </xdr:nvSpPr>
            <xdr:spPr bwMode="auto">
              <a:xfrm>
                <a:off x="4057651" y="244983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07" name="Check Box 783" hidden="1">
                <a:extLst>
                  <a:ext uri="{63B3BB69-23CF-44E3-9099-C40C66FF867C}">
                    <a14:compatExt spid="_x0000_s1807"/>
                  </a:ext>
                </a:extLst>
              </xdr:cNvPr>
              <xdr:cNvSpPr/>
            </xdr:nvSpPr>
            <xdr:spPr bwMode="auto">
              <a:xfrm>
                <a:off x="4324351" y="244887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103</xdr:row>
          <xdr:rowOff>19050</xdr:rowOff>
        </xdr:from>
        <xdr:to>
          <xdr:col>5</xdr:col>
          <xdr:colOff>152401</xdr:colOff>
          <xdr:row>103</xdr:row>
          <xdr:rowOff>142876</xdr:rowOff>
        </xdr:to>
        <xdr:grpSp>
          <xdr:nvGrpSpPr>
            <xdr:cNvPr id="485" name="Group 484"/>
            <xdr:cNvGrpSpPr/>
          </xdr:nvGrpSpPr>
          <xdr:grpSpPr>
            <a:xfrm>
              <a:off x="3895725" y="25384125"/>
              <a:ext cx="647701" cy="123826"/>
              <a:chOff x="3848100" y="25317450"/>
              <a:chExt cx="647701" cy="123826"/>
            </a:xfrm>
          </xdr:grpSpPr>
          <xdr:sp macro="" textlink="">
            <xdr:nvSpPr>
              <xdr:cNvPr id="1808" name="Check Box 784" hidden="1">
                <a:extLst>
                  <a:ext uri="{63B3BB69-23CF-44E3-9099-C40C66FF867C}">
                    <a14:compatExt spid="_x0000_s1808"/>
                  </a:ext>
                </a:extLst>
              </xdr:cNvPr>
              <xdr:cNvSpPr/>
            </xdr:nvSpPr>
            <xdr:spPr bwMode="auto">
              <a:xfrm>
                <a:off x="3848100" y="253365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09" name="Check Box 785" hidden="1">
                <a:extLst>
                  <a:ext uri="{63B3BB69-23CF-44E3-9099-C40C66FF867C}">
                    <a14:compatExt spid="_x0000_s1809"/>
                  </a:ext>
                </a:extLst>
              </xdr:cNvPr>
              <xdr:cNvSpPr/>
            </xdr:nvSpPr>
            <xdr:spPr bwMode="auto">
              <a:xfrm>
                <a:off x="4076701" y="253269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10" name="Check Box 786" hidden="1">
                <a:extLst>
                  <a:ext uri="{63B3BB69-23CF-44E3-9099-C40C66FF867C}">
                    <a14:compatExt spid="_x0000_s1810"/>
                  </a:ext>
                </a:extLst>
              </xdr:cNvPr>
              <xdr:cNvSpPr/>
            </xdr:nvSpPr>
            <xdr:spPr bwMode="auto">
              <a:xfrm>
                <a:off x="4343401" y="253174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104</xdr:row>
          <xdr:rowOff>9525</xdr:rowOff>
        </xdr:from>
        <xdr:to>
          <xdr:col>5</xdr:col>
          <xdr:colOff>152401</xdr:colOff>
          <xdr:row>104</xdr:row>
          <xdr:rowOff>133351</xdr:rowOff>
        </xdr:to>
        <xdr:grpSp>
          <xdr:nvGrpSpPr>
            <xdr:cNvPr id="486" name="Group 485"/>
            <xdr:cNvGrpSpPr/>
          </xdr:nvGrpSpPr>
          <xdr:grpSpPr>
            <a:xfrm>
              <a:off x="3895725" y="25698450"/>
              <a:ext cx="647701" cy="123826"/>
              <a:chOff x="3848100" y="25631775"/>
              <a:chExt cx="647701" cy="123826"/>
            </a:xfrm>
          </xdr:grpSpPr>
          <xdr:sp macro="" textlink="">
            <xdr:nvSpPr>
              <xdr:cNvPr id="1811" name="Check Box 787" hidden="1">
                <a:extLst>
                  <a:ext uri="{63B3BB69-23CF-44E3-9099-C40C66FF867C}">
                    <a14:compatExt spid="_x0000_s1811"/>
                  </a:ext>
                </a:extLst>
              </xdr:cNvPr>
              <xdr:cNvSpPr/>
            </xdr:nvSpPr>
            <xdr:spPr bwMode="auto">
              <a:xfrm>
                <a:off x="3848100" y="256508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12" name="Check Box 788" hidden="1">
                <a:extLst>
                  <a:ext uri="{63B3BB69-23CF-44E3-9099-C40C66FF867C}">
                    <a14:compatExt spid="_x0000_s1812"/>
                  </a:ext>
                </a:extLst>
              </xdr:cNvPr>
              <xdr:cNvSpPr/>
            </xdr:nvSpPr>
            <xdr:spPr bwMode="auto">
              <a:xfrm>
                <a:off x="4076701" y="256413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13" name="Check Box 789" hidden="1">
                <a:extLst>
                  <a:ext uri="{63B3BB69-23CF-44E3-9099-C40C66FF867C}">
                    <a14:compatExt spid="_x0000_s1813"/>
                  </a:ext>
                </a:extLst>
              </xdr:cNvPr>
              <xdr:cNvSpPr/>
            </xdr:nvSpPr>
            <xdr:spPr bwMode="auto">
              <a:xfrm>
                <a:off x="4343401" y="256317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105</xdr:row>
          <xdr:rowOff>9525</xdr:rowOff>
        </xdr:from>
        <xdr:to>
          <xdr:col>5</xdr:col>
          <xdr:colOff>171451</xdr:colOff>
          <xdr:row>105</xdr:row>
          <xdr:rowOff>133351</xdr:rowOff>
        </xdr:to>
        <xdr:grpSp>
          <xdr:nvGrpSpPr>
            <xdr:cNvPr id="487" name="Group 486"/>
            <xdr:cNvGrpSpPr/>
          </xdr:nvGrpSpPr>
          <xdr:grpSpPr>
            <a:xfrm>
              <a:off x="3914775" y="26184225"/>
              <a:ext cx="647701" cy="123826"/>
              <a:chOff x="3867150" y="26117550"/>
              <a:chExt cx="647701" cy="123826"/>
            </a:xfrm>
          </xdr:grpSpPr>
          <xdr:sp macro="" textlink="">
            <xdr:nvSpPr>
              <xdr:cNvPr id="1814" name="Check Box 790" hidden="1">
                <a:extLst>
                  <a:ext uri="{63B3BB69-23CF-44E3-9099-C40C66FF867C}">
                    <a14:compatExt spid="_x0000_s1814"/>
                  </a:ext>
                </a:extLst>
              </xdr:cNvPr>
              <xdr:cNvSpPr/>
            </xdr:nvSpPr>
            <xdr:spPr bwMode="auto">
              <a:xfrm>
                <a:off x="3867150" y="261366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15" name="Check Box 791" hidden="1">
                <a:extLst>
                  <a:ext uri="{63B3BB69-23CF-44E3-9099-C40C66FF867C}">
                    <a14:compatExt spid="_x0000_s1815"/>
                  </a:ext>
                </a:extLst>
              </xdr:cNvPr>
              <xdr:cNvSpPr/>
            </xdr:nvSpPr>
            <xdr:spPr bwMode="auto">
              <a:xfrm>
                <a:off x="4095751" y="261270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16" name="Check Box 792" hidden="1">
                <a:extLst>
                  <a:ext uri="{63B3BB69-23CF-44E3-9099-C40C66FF867C}">
                    <a14:compatExt spid="_x0000_s1816"/>
                  </a:ext>
                </a:extLst>
              </xdr:cNvPr>
              <xdr:cNvSpPr/>
            </xdr:nvSpPr>
            <xdr:spPr bwMode="auto">
              <a:xfrm>
                <a:off x="4362451" y="261175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28575</xdr:colOff>
          <xdr:row>106</xdr:row>
          <xdr:rowOff>0</xdr:rowOff>
        </xdr:from>
        <xdr:to>
          <xdr:col>5</xdr:col>
          <xdr:colOff>161926</xdr:colOff>
          <xdr:row>106</xdr:row>
          <xdr:rowOff>123826</xdr:rowOff>
        </xdr:to>
        <xdr:grpSp>
          <xdr:nvGrpSpPr>
            <xdr:cNvPr id="488" name="Group 487"/>
            <xdr:cNvGrpSpPr/>
          </xdr:nvGrpSpPr>
          <xdr:grpSpPr>
            <a:xfrm>
              <a:off x="3905250" y="26498550"/>
              <a:ext cx="647701" cy="123826"/>
              <a:chOff x="3857625" y="26431875"/>
              <a:chExt cx="647701" cy="123826"/>
            </a:xfrm>
          </xdr:grpSpPr>
          <xdr:sp macro="" textlink="">
            <xdr:nvSpPr>
              <xdr:cNvPr id="1817" name="Check Box 793" hidden="1">
                <a:extLst>
                  <a:ext uri="{63B3BB69-23CF-44E3-9099-C40C66FF867C}">
                    <a14:compatExt spid="_x0000_s1817"/>
                  </a:ext>
                </a:extLst>
              </xdr:cNvPr>
              <xdr:cNvSpPr/>
            </xdr:nvSpPr>
            <xdr:spPr bwMode="auto">
              <a:xfrm>
                <a:off x="3857625" y="264509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18" name="Check Box 794" hidden="1">
                <a:extLst>
                  <a:ext uri="{63B3BB69-23CF-44E3-9099-C40C66FF867C}">
                    <a14:compatExt spid="_x0000_s1818"/>
                  </a:ext>
                </a:extLst>
              </xdr:cNvPr>
              <xdr:cNvSpPr/>
            </xdr:nvSpPr>
            <xdr:spPr bwMode="auto">
              <a:xfrm>
                <a:off x="4086226" y="264414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19" name="Check Box 795" hidden="1">
                <a:extLst>
                  <a:ext uri="{63B3BB69-23CF-44E3-9099-C40C66FF867C}">
                    <a14:compatExt spid="_x0000_s1819"/>
                  </a:ext>
                </a:extLst>
              </xdr:cNvPr>
              <xdr:cNvSpPr/>
            </xdr:nvSpPr>
            <xdr:spPr bwMode="auto">
              <a:xfrm>
                <a:off x="4352926" y="264318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47625</xdr:colOff>
          <xdr:row>107</xdr:row>
          <xdr:rowOff>9525</xdr:rowOff>
        </xdr:from>
        <xdr:to>
          <xdr:col>5</xdr:col>
          <xdr:colOff>180976</xdr:colOff>
          <xdr:row>107</xdr:row>
          <xdr:rowOff>133351</xdr:rowOff>
        </xdr:to>
        <xdr:grpSp>
          <xdr:nvGrpSpPr>
            <xdr:cNvPr id="489" name="Group 488"/>
            <xdr:cNvGrpSpPr/>
          </xdr:nvGrpSpPr>
          <xdr:grpSpPr>
            <a:xfrm>
              <a:off x="3924300" y="27155775"/>
              <a:ext cx="647701" cy="123826"/>
              <a:chOff x="3876675" y="27089100"/>
              <a:chExt cx="647701" cy="123826"/>
            </a:xfrm>
          </xdr:grpSpPr>
          <xdr:sp macro="" textlink="">
            <xdr:nvSpPr>
              <xdr:cNvPr id="1823" name="Check Box 799" hidden="1">
                <a:extLst>
                  <a:ext uri="{63B3BB69-23CF-44E3-9099-C40C66FF867C}">
                    <a14:compatExt spid="_x0000_s1823"/>
                  </a:ext>
                </a:extLst>
              </xdr:cNvPr>
              <xdr:cNvSpPr/>
            </xdr:nvSpPr>
            <xdr:spPr bwMode="auto">
              <a:xfrm>
                <a:off x="3876675" y="271081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24" name="Check Box 800" hidden="1">
                <a:extLst>
                  <a:ext uri="{63B3BB69-23CF-44E3-9099-C40C66FF867C}">
                    <a14:compatExt spid="_x0000_s1824"/>
                  </a:ext>
                </a:extLst>
              </xdr:cNvPr>
              <xdr:cNvSpPr/>
            </xdr:nvSpPr>
            <xdr:spPr bwMode="auto">
              <a:xfrm>
                <a:off x="4105276" y="270986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25" name="Check Box 801" hidden="1">
                <a:extLst>
                  <a:ext uri="{63B3BB69-23CF-44E3-9099-C40C66FF867C}">
                    <a14:compatExt spid="_x0000_s1825"/>
                  </a:ext>
                </a:extLst>
              </xdr:cNvPr>
              <xdr:cNvSpPr/>
            </xdr:nvSpPr>
            <xdr:spPr bwMode="auto">
              <a:xfrm>
                <a:off x="4371976" y="270891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120</xdr:row>
          <xdr:rowOff>0</xdr:rowOff>
        </xdr:from>
        <xdr:to>
          <xdr:col>5</xdr:col>
          <xdr:colOff>133351</xdr:colOff>
          <xdr:row>120</xdr:row>
          <xdr:rowOff>123826</xdr:rowOff>
        </xdr:to>
        <xdr:grpSp>
          <xdr:nvGrpSpPr>
            <xdr:cNvPr id="498" name="Group 497"/>
            <xdr:cNvGrpSpPr/>
          </xdr:nvGrpSpPr>
          <xdr:grpSpPr>
            <a:xfrm>
              <a:off x="3876675" y="29927550"/>
              <a:ext cx="647701" cy="123826"/>
              <a:chOff x="3829050" y="29860875"/>
              <a:chExt cx="647701" cy="123826"/>
            </a:xfrm>
          </xdr:grpSpPr>
          <xdr:sp macro="" textlink="">
            <xdr:nvSpPr>
              <xdr:cNvPr id="1829" name="Check Box 805" hidden="1">
                <a:extLst>
                  <a:ext uri="{63B3BB69-23CF-44E3-9099-C40C66FF867C}">
                    <a14:compatExt spid="_x0000_s1829"/>
                  </a:ext>
                </a:extLst>
              </xdr:cNvPr>
              <xdr:cNvSpPr/>
            </xdr:nvSpPr>
            <xdr:spPr bwMode="auto">
              <a:xfrm>
                <a:off x="3829050" y="298799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30" name="Check Box 806" hidden="1">
                <a:extLst>
                  <a:ext uri="{63B3BB69-23CF-44E3-9099-C40C66FF867C}">
                    <a14:compatExt spid="_x0000_s1830"/>
                  </a:ext>
                </a:extLst>
              </xdr:cNvPr>
              <xdr:cNvSpPr/>
            </xdr:nvSpPr>
            <xdr:spPr bwMode="auto">
              <a:xfrm>
                <a:off x="4057651" y="298704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31" name="Check Box 807" hidden="1">
                <a:extLst>
                  <a:ext uri="{63B3BB69-23CF-44E3-9099-C40C66FF867C}">
                    <a14:compatExt spid="_x0000_s1831"/>
                  </a:ext>
                </a:extLst>
              </xdr:cNvPr>
              <xdr:cNvSpPr/>
            </xdr:nvSpPr>
            <xdr:spPr bwMode="auto">
              <a:xfrm>
                <a:off x="4324351" y="298608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121</xdr:row>
          <xdr:rowOff>0</xdr:rowOff>
        </xdr:from>
        <xdr:to>
          <xdr:col>5</xdr:col>
          <xdr:colOff>133351</xdr:colOff>
          <xdr:row>121</xdr:row>
          <xdr:rowOff>123826</xdr:rowOff>
        </xdr:to>
        <xdr:grpSp>
          <xdr:nvGrpSpPr>
            <xdr:cNvPr id="500" name="Group 499"/>
            <xdr:cNvGrpSpPr/>
          </xdr:nvGrpSpPr>
          <xdr:grpSpPr>
            <a:xfrm>
              <a:off x="3876675" y="30251400"/>
              <a:ext cx="647701" cy="123826"/>
              <a:chOff x="3829050" y="30184725"/>
              <a:chExt cx="647701" cy="123826"/>
            </a:xfrm>
          </xdr:grpSpPr>
          <xdr:sp macro="" textlink="">
            <xdr:nvSpPr>
              <xdr:cNvPr id="1832" name="Check Box 808" hidden="1">
                <a:extLst>
                  <a:ext uri="{63B3BB69-23CF-44E3-9099-C40C66FF867C}">
                    <a14:compatExt spid="_x0000_s1832"/>
                  </a:ext>
                </a:extLst>
              </xdr:cNvPr>
              <xdr:cNvSpPr/>
            </xdr:nvSpPr>
            <xdr:spPr bwMode="auto">
              <a:xfrm>
                <a:off x="3829050" y="302037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33" name="Check Box 809" hidden="1">
                <a:extLst>
                  <a:ext uri="{63B3BB69-23CF-44E3-9099-C40C66FF867C}">
                    <a14:compatExt spid="_x0000_s1833"/>
                  </a:ext>
                </a:extLst>
              </xdr:cNvPr>
              <xdr:cNvSpPr/>
            </xdr:nvSpPr>
            <xdr:spPr bwMode="auto">
              <a:xfrm>
                <a:off x="4057651" y="301942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34" name="Check Box 810" hidden="1">
                <a:extLst>
                  <a:ext uri="{63B3BB69-23CF-44E3-9099-C40C66FF867C}">
                    <a14:compatExt spid="_x0000_s1834"/>
                  </a:ext>
                </a:extLst>
              </xdr:cNvPr>
              <xdr:cNvSpPr/>
            </xdr:nvSpPr>
            <xdr:spPr bwMode="auto">
              <a:xfrm>
                <a:off x="4324351" y="301847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125</xdr:row>
          <xdr:rowOff>0</xdr:rowOff>
        </xdr:from>
        <xdr:to>
          <xdr:col>5</xdr:col>
          <xdr:colOff>133351</xdr:colOff>
          <xdr:row>125</xdr:row>
          <xdr:rowOff>123826</xdr:rowOff>
        </xdr:to>
        <xdr:grpSp>
          <xdr:nvGrpSpPr>
            <xdr:cNvPr id="501" name="Group 500"/>
            <xdr:cNvGrpSpPr/>
          </xdr:nvGrpSpPr>
          <xdr:grpSpPr>
            <a:xfrm>
              <a:off x="3876675" y="31222950"/>
              <a:ext cx="647701" cy="123826"/>
              <a:chOff x="3829050" y="31156275"/>
              <a:chExt cx="647701" cy="123826"/>
            </a:xfrm>
          </xdr:grpSpPr>
          <xdr:sp macro="" textlink="">
            <xdr:nvSpPr>
              <xdr:cNvPr id="1835" name="Check Box 811" hidden="1">
                <a:extLst>
                  <a:ext uri="{63B3BB69-23CF-44E3-9099-C40C66FF867C}">
                    <a14:compatExt spid="_x0000_s1835"/>
                  </a:ext>
                </a:extLst>
              </xdr:cNvPr>
              <xdr:cNvSpPr/>
            </xdr:nvSpPr>
            <xdr:spPr bwMode="auto">
              <a:xfrm>
                <a:off x="3829050" y="311753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36" name="Check Box 812" hidden="1">
                <a:extLst>
                  <a:ext uri="{63B3BB69-23CF-44E3-9099-C40C66FF867C}">
                    <a14:compatExt spid="_x0000_s1836"/>
                  </a:ext>
                </a:extLst>
              </xdr:cNvPr>
              <xdr:cNvSpPr/>
            </xdr:nvSpPr>
            <xdr:spPr bwMode="auto">
              <a:xfrm>
                <a:off x="4057651" y="311658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37" name="Check Box 813" hidden="1">
                <a:extLst>
                  <a:ext uri="{63B3BB69-23CF-44E3-9099-C40C66FF867C}">
                    <a14:compatExt spid="_x0000_s1837"/>
                  </a:ext>
                </a:extLst>
              </xdr:cNvPr>
              <xdr:cNvSpPr/>
            </xdr:nvSpPr>
            <xdr:spPr bwMode="auto">
              <a:xfrm>
                <a:off x="4324351" y="311562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126</xdr:row>
          <xdr:rowOff>0</xdr:rowOff>
        </xdr:from>
        <xdr:to>
          <xdr:col>5</xdr:col>
          <xdr:colOff>133351</xdr:colOff>
          <xdr:row>126</xdr:row>
          <xdr:rowOff>123826</xdr:rowOff>
        </xdr:to>
        <xdr:grpSp>
          <xdr:nvGrpSpPr>
            <xdr:cNvPr id="502" name="Group 501"/>
            <xdr:cNvGrpSpPr/>
          </xdr:nvGrpSpPr>
          <xdr:grpSpPr>
            <a:xfrm>
              <a:off x="3876675" y="31546800"/>
              <a:ext cx="647701" cy="123826"/>
              <a:chOff x="3829050" y="31480125"/>
              <a:chExt cx="647701" cy="123826"/>
            </a:xfrm>
          </xdr:grpSpPr>
          <xdr:sp macro="" textlink="">
            <xdr:nvSpPr>
              <xdr:cNvPr id="1841" name="Check Box 817" hidden="1">
                <a:extLst>
                  <a:ext uri="{63B3BB69-23CF-44E3-9099-C40C66FF867C}">
                    <a14:compatExt spid="_x0000_s1841"/>
                  </a:ext>
                </a:extLst>
              </xdr:cNvPr>
              <xdr:cNvSpPr/>
            </xdr:nvSpPr>
            <xdr:spPr bwMode="auto">
              <a:xfrm>
                <a:off x="3829050" y="314991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42" name="Check Box 818" hidden="1">
                <a:extLst>
                  <a:ext uri="{63B3BB69-23CF-44E3-9099-C40C66FF867C}">
                    <a14:compatExt spid="_x0000_s1842"/>
                  </a:ext>
                </a:extLst>
              </xdr:cNvPr>
              <xdr:cNvSpPr/>
            </xdr:nvSpPr>
            <xdr:spPr bwMode="auto">
              <a:xfrm>
                <a:off x="4057651" y="314896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43" name="Check Box 819" hidden="1">
                <a:extLst>
                  <a:ext uri="{63B3BB69-23CF-44E3-9099-C40C66FF867C}">
                    <a14:compatExt spid="_x0000_s1843"/>
                  </a:ext>
                </a:extLst>
              </xdr:cNvPr>
              <xdr:cNvSpPr/>
            </xdr:nvSpPr>
            <xdr:spPr bwMode="auto">
              <a:xfrm>
                <a:off x="4324351" y="314801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128</xdr:row>
          <xdr:rowOff>0</xdr:rowOff>
        </xdr:from>
        <xdr:to>
          <xdr:col>5</xdr:col>
          <xdr:colOff>133351</xdr:colOff>
          <xdr:row>128</xdr:row>
          <xdr:rowOff>123826</xdr:rowOff>
        </xdr:to>
        <xdr:grpSp>
          <xdr:nvGrpSpPr>
            <xdr:cNvPr id="503" name="Group 502"/>
            <xdr:cNvGrpSpPr/>
          </xdr:nvGrpSpPr>
          <xdr:grpSpPr>
            <a:xfrm>
              <a:off x="3876675" y="32032575"/>
              <a:ext cx="647701" cy="123826"/>
              <a:chOff x="3829050" y="31965900"/>
              <a:chExt cx="647701" cy="123826"/>
            </a:xfrm>
          </xdr:grpSpPr>
          <xdr:sp macro="" textlink="">
            <xdr:nvSpPr>
              <xdr:cNvPr id="1844" name="Check Box 820" hidden="1">
                <a:extLst>
                  <a:ext uri="{63B3BB69-23CF-44E3-9099-C40C66FF867C}">
                    <a14:compatExt spid="_x0000_s1844"/>
                  </a:ext>
                </a:extLst>
              </xdr:cNvPr>
              <xdr:cNvSpPr/>
            </xdr:nvSpPr>
            <xdr:spPr bwMode="auto">
              <a:xfrm>
                <a:off x="3829050" y="319849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45" name="Check Box 821" hidden="1">
                <a:extLst>
                  <a:ext uri="{63B3BB69-23CF-44E3-9099-C40C66FF867C}">
                    <a14:compatExt spid="_x0000_s1845"/>
                  </a:ext>
                </a:extLst>
              </xdr:cNvPr>
              <xdr:cNvSpPr/>
            </xdr:nvSpPr>
            <xdr:spPr bwMode="auto">
              <a:xfrm>
                <a:off x="4057651" y="319754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46" name="Check Box 822" hidden="1">
                <a:extLst>
                  <a:ext uri="{63B3BB69-23CF-44E3-9099-C40C66FF867C}">
                    <a14:compatExt spid="_x0000_s1846"/>
                  </a:ext>
                </a:extLst>
              </xdr:cNvPr>
              <xdr:cNvSpPr/>
            </xdr:nvSpPr>
            <xdr:spPr bwMode="auto">
              <a:xfrm>
                <a:off x="4324351" y="319659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130</xdr:row>
          <xdr:rowOff>0</xdr:rowOff>
        </xdr:from>
        <xdr:to>
          <xdr:col>5</xdr:col>
          <xdr:colOff>133351</xdr:colOff>
          <xdr:row>130</xdr:row>
          <xdr:rowOff>123826</xdr:rowOff>
        </xdr:to>
        <xdr:grpSp>
          <xdr:nvGrpSpPr>
            <xdr:cNvPr id="506" name="Group 505"/>
            <xdr:cNvGrpSpPr/>
          </xdr:nvGrpSpPr>
          <xdr:grpSpPr>
            <a:xfrm>
              <a:off x="3876675" y="32565975"/>
              <a:ext cx="647701" cy="123826"/>
              <a:chOff x="3829050" y="32499300"/>
              <a:chExt cx="647701" cy="123826"/>
            </a:xfrm>
          </xdr:grpSpPr>
          <xdr:sp macro="" textlink="">
            <xdr:nvSpPr>
              <xdr:cNvPr id="1847" name="Check Box 823" hidden="1">
                <a:extLst>
                  <a:ext uri="{63B3BB69-23CF-44E3-9099-C40C66FF867C}">
                    <a14:compatExt spid="_x0000_s1847"/>
                  </a:ext>
                </a:extLst>
              </xdr:cNvPr>
              <xdr:cNvSpPr/>
            </xdr:nvSpPr>
            <xdr:spPr bwMode="auto">
              <a:xfrm>
                <a:off x="3829050" y="325183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48" name="Check Box 824" hidden="1">
                <a:extLst>
                  <a:ext uri="{63B3BB69-23CF-44E3-9099-C40C66FF867C}">
                    <a14:compatExt spid="_x0000_s1848"/>
                  </a:ext>
                </a:extLst>
              </xdr:cNvPr>
              <xdr:cNvSpPr/>
            </xdr:nvSpPr>
            <xdr:spPr bwMode="auto">
              <a:xfrm>
                <a:off x="4057651" y="325088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49" name="Check Box 825" hidden="1">
                <a:extLst>
                  <a:ext uri="{63B3BB69-23CF-44E3-9099-C40C66FF867C}">
                    <a14:compatExt spid="_x0000_s1849"/>
                  </a:ext>
                </a:extLst>
              </xdr:cNvPr>
              <xdr:cNvSpPr/>
            </xdr:nvSpPr>
            <xdr:spPr bwMode="auto">
              <a:xfrm>
                <a:off x="4324351" y="324993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141</xdr:row>
          <xdr:rowOff>0</xdr:rowOff>
        </xdr:from>
        <xdr:to>
          <xdr:col>5</xdr:col>
          <xdr:colOff>133351</xdr:colOff>
          <xdr:row>141</xdr:row>
          <xdr:rowOff>123826</xdr:rowOff>
        </xdr:to>
        <xdr:grpSp>
          <xdr:nvGrpSpPr>
            <xdr:cNvPr id="1865" name="Group 1864"/>
            <xdr:cNvGrpSpPr/>
          </xdr:nvGrpSpPr>
          <xdr:grpSpPr>
            <a:xfrm>
              <a:off x="3876675" y="34880550"/>
              <a:ext cx="647701" cy="123826"/>
              <a:chOff x="3829050" y="34813875"/>
              <a:chExt cx="647701" cy="123826"/>
            </a:xfrm>
          </xdr:grpSpPr>
          <xdr:sp macro="" textlink="">
            <xdr:nvSpPr>
              <xdr:cNvPr id="1850" name="Check Box 826" hidden="1">
                <a:extLst>
                  <a:ext uri="{63B3BB69-23CF-44E3-9099-C40C66FF867C}">
                    <a14:compatExt spid="_x0000_s1850"/>
                  </a:ext>
                </a:extLst>
              </xdr:cNvPr>
              <xdr:cNvSpPr/>
            </xdr:nvSpPr>
            <xdr:spPr bwMode="auto">
              <a:xfrm>
                <a:off x="3829050" y="348329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51" name="Check Box 827" hidden="1">
                <a:extLst>
                  <a:ext uri="{63B3BB69-23CF-44E3-9099-C40C66FF867C}">
                    <a14:compatExt spid="_x0000_s1851"/>
                  </a:ext>
                </a:extLst>
              </xdr:cNvPr>
              <xdr:cNvSpPr/>
            </xdr:nvSpPr>
            <xdr:spPr bwMode="auto">
              <a:xfrm>
                <a:off x="4057651" y="348234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52" name="Check Box 828" hidden="1">
                <a:extLst>
                  <a:ext uri="{63B3BB69-23CF-44E3-9099-C40C66FF867C}">
                    <a14:compatExt spid="_x0000_s1852"/>
                  </a:ext>
                </a:extLst>
              </xdr:cNvPr>
              <xdr:cNvSpPr/>
            </xdr:nvSpPr>
            <xdr:spPr bwMode="auto">
              <a:xfrm>
                <a:off x="4324351" y="348138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142</xdr:row>
          <xdr:rowOff>0</xdr:rowOff>
        </xdr:from>
        <xdr:to>
          <xdr:col>5</xdr:col>
          <xdr:colOff>133351</xdr:colOff>
          <xdr:row>142</xdr:row>
          <xdr:rowOff>123826</xdr:rowOff>
        </xdr:to>
        <xdr:grpSp>
          <xdr:nvGrpSpPr>
            <xdr:cNvPr id="1866" name="Group 1865"/>
            <xdr:cNvGrpSpPr/>
          </xdr:nvGrpSpPr>
          <xdr:grpSpPr>
            <a:xfrm>
              <a:off x="3876675" y="35194875"/>
              <a:ext cx="647701" cy="123826"/>
              <a:chOff x="3829050" y="35128200"/>
              <a:chExt cx="647701" cy="123826"/>
            </a:xfrm>
          </xdr:grpSpPr>
          <xdr:sp macro="" textlink="">
            <xdr:nvSpPr>
              <xdr:cNvPr id="1853" name="Check Box 829" hidden="1">
                <a:extLst>
                  <a:ext uri="{63B3BB69-23CF-44E3-9099-C40C66FF867C}">
                    <a14:compatExt spid="_x0000_s1853"/>
                  </a:ext>
                </a:extLst>
              </xdr:cNvPr>
              <xdr:cNvSpPr/>
            </xdr:nvSpPr>
            <xdr:spPr bwMode="auto">
              <a:xfrm>
                <a:off x="3829050" y="351472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54" name="Check Box 830" hidden="1">
                <a:extLst>
                  <a:ext uri="{63B3BB69-23CF-44E3-9099-C40C66FF867C}">
                    <a14:compatExt spid="_x0000_s1854"/>
                  </a:ext>
                </a:extLst>
              </xdr:cNvPr>
              <xdr:cNvSpPr/>
            </xdr:nvSpPr>
            <xdr:spPr bwMode="auto">
              <a:xfrm>
                <a:off x="4057651" y="351377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55" name="Check Box 831" hidden="1">
                <a:extLst>
                  <a:ext uri="{63B3BB69-23CF-44E3-9099-C40C66FF867C}">
                    <a14:compatExt spid="_x0000_s1855"/>
                  </a:ext>
                </a:extLst>
              </xdr:cNvPr>
              <xdr:cNvSpPr/>
            </xdr:nvSpPr>
            <xdr:spPr bwMode="auto">
              <a:xfrm>
                <a:off x="4324351" y="351282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143</xdr:row>
          <xdr:rowOff>0</xdr:rowOff>
        </xdr:from>
        <xdr:to>
          <xdr:col>5</xdr:col>
          <xdr:colOff>133351</xdr:colOff>
          <xdr:row>143</xdr:row>
          <xdr:rowOff>123826</xdr:rowOff>
        </xdr:to>
        <xdr:grpSp>
          <xdr:nvGrpSpPr>
            <xdr:cNvPr id="1867" name="Group 1866"/>
            <xdr:cNvGrpSpPr/>
          </xdr:nvGrpSpPr>
          <xdr:grpSpPr>
            <a:xfrm>
              <a:off x="3876675" y="35537775"/>
              <a:ext cx="647701" cy="123826"/>
              <a:chOff x="3829050" y="35471100"/>
              <a:chExt cx="647701" cy="123826"/>
            </a:xfrm>
          </xdr:grpSpPr>
          <xdr:sp macro="" textlink="">
            <xdr:nvSpPr>
              <xdr:cNvPr id="1856" name="Check Box 832" hidden="1">
                <a:extLst>
                  <a:ext uri="{63B3BB69-23CF-44E3-9099-C40C66FF867C}">
                    <a14:compatExt spid="_x0000_s1856"/>
                  </a:ext>
                </a:extLst>
              </xdr:cNvPr>
              <xdr:cNvSpPr/>
            </xdr:nvSpPr>
            <xdr:spPr bwMode="auto">
              <a:xfrm>
                <a:off x="3829050" y="354901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57" name="Check Box 833" hidden="1">
                <a:extLst>
                  <a:ext uri="{63B3BB69-23CF-44E3-9099-C40C66FF867C}">
                    <a14:compatExt spid="_x0000_s1857"/>
                  </a:ext>
                </a:extLst>
              </xdr:cNvPr>
              <xdr:cNvSpPr/>
            </xdr:nvSpPr>
            <xdr:spPr bwMode="auto">
              <a:xfrm>
                <a:off x="4057651" y="354806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58" name="Check Box 834" hidden="1">
                <a:extLst>
                  <a:ext uri="{63B3BB69-23CF-44E3-9099-C40C66FF867C}">
                    <a14:compatExt spid="_x0000_s1858"/>
                  </a:ext>
                </a:extLst>
              </xdr:cNvPr>
              <xdr:cNvSpPr/>
            </xdr:nvSpPr>
            <xdr:spPr bwMode="auto">
              <a:xfrm>
                <a:off x="4324351" y="354711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144</xdr:row>
          <xdr:rowOff>0</xdr:rowOff>
        </xdr:from>
        <xdr:to>
          <xdr:col>5</xdr:col>
          <xdr:colOff>133351</xdr:colOff>
          <xdr:row>144</xdr:row>
          <xdr:rowOff>123826</xdr:rowOff>
        </xdr:to>
        <xdr:grpSp>
          <xdr:nvGrpSpPr>
            <xdr:cNvPr id="1868" name="Group 1867"/>
            <xdr:cNvGrpSpPr/>
          </xdr:nvGrpSpPr>
          <xdr:grpSpPr>
            <a:xfrm>
              <a:off x="3876675" y="35785425"/>
              <a:ext cx="647701" cy="123826"/>
              <a:chOff x="3829050" y="35718750"/>
              <a:chExt cx="647701" cy="123826"/>
            </a:xfrm>
          </xdr:grpSpPr>
          <xdr:sp macro="" textlink="">
            <xdr:nvSpPr>
              <xdr:cNvPr id="1859" name="Check Box 835" hidden="1">
                <a:extLst>
                  <a:ext uri="{63B3BB69-23CF-44E3-9099-C40C66FF867C}">
                    <a14:compatExt spid="_x0000_s1859"/>
                  </a:ext>
                </a:extLst>
              </xdr:cNvPr>
              <xdr:cNvSpPr/>
            </xdr:nvSpPr>
            <xdr:spPr bwMode="auto">
              <a:xfrm>
                <a:off x="3829050" y="357378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60" name="Check Box 836" hidden="1">
                <a:extLst>
                  <a:ext uri="{63B3BB69-23CF-44E3-9099-C40C66FF867C}">
                    <a14:compatExt spid="_x0000_s1860"/>
                  </a:ext>
                </a:extLst>
              </xdr:cNvPr>
              <xdr:cNvSpPr/>
            </xdr:nvSpPr>
            <xdr:spPr bwMode="auto">
              <a:xfrm>
                <a:off x="4057651" y="357282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61" name="Check Box 837" hidden="1">
                <a:extLst>
                  <a:ext uri="{63B3BB69-23CF-44E3-9099-C40C66FF867C}">
                    <a14:compatExt spid="_x0000_s1861"/>
                  </a:ext>
                </a:extLst>
              </xdr:cNvPr>
              <xdr:cNvSpPr/>
            </xdr:nvSpPr>
            <xdr:spPr bwMode="auto">
              <a:xfrm>
                <a:off x="4324351" y="357187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145</xdr:row>
          <xdr:rowOff>0</xdr:rowOff>
        </xdr:from>
        <xdr:to>
          <xdr:col>5</xdr:col>
          <xdr:colOff>133351</xdr:colOff>
          <xdr:row>145</xdr:row>
          <xdr:rowOff>123826</xdr:rowOff>
        </xdr:to>
        <xdr:grpSp>
          <xdr:nvGrpSpPr>
            <xdr:cNvPr id="1869" name="Group 1868"/>
            <xdr:cNvGrpSpPr/>
          </xdr:nvGrpSpPr>
          <xdr:grpSpPr>
            <a:xfrm>
              <a:off x="3876675" y="36109275"/>
              <a:ext cx="647701" cy="123826"/>
              <a:chOff x="3829050" y="36042600"/>
              <a:chExt cx="647701" cy="123826"/>
            </a:xfrm>
          </xdr:grpSpPr>
          <xdr:sp macro="" textlink="">
            <xdr:nvSpPr>
              <xdr:cNvPr id="1862" name="Check Box 838" hidden="1">
                <a:extLst>
                  <a:ext uri="{63B3BB69-23CF-44E3-9099-C40C66FF867C}">
                    <a14:compatExt spid="_x0000_s1862"/>
                  </a:ext>
                </a:extLst>
              </xdr:cNvPr>
              <xdr:cNvSpPr/>
            </xdr:nvSpPr>
            <xdr:spPr bwMode="auto">
              <a:xfrm>
                <a:off x="3829050" y="360616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63" name="Check Box 839" hidden="1">
                <a:extLst>
                  <a:ext uri="{63B3BB69-23CF-44E3-9099-C40C66FF867C}">
                    <a14:compatExt spid="_x0000_s1863"/>
                  </a:ext>
                </a:extLst>
              </xdr:cNvPr>
              <xdr:cNvSpPr/>
            </xdr:nvSpPr>
            <xdr:spPr bwMode="auto">
              <a:xfrm>
                <a:off x="4057651" y="360521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64" name="Check Box 840" hidden="1">
                <a:extLst>
                  <a:ext uri="{63B3BB69-23CF-44E3-9099-C40C66FF867C}">
                    <a14:compatExt spid="_x0000_s1864"/>
                  </a:ext>
                </a:extLst>
              </xdr:cNvPr>
              <xdr:cNvSpPr/>
            </xdr:nvSpPr>
            <xdr:spPr bwMode="auto">
              <a:xfrm>
                <a:off x="4324351" y="360426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145</xdr:row>
          <xdr:rowOff>285750</xdr:rowOff>
        </xdr:from>
        <xdr:to>
          <xdr:col>5</xdr:col>
          <xdr:colOff>171451</xdr:colOff>
          <xdr:row>146</xdr:row>
          <xdr:rowOff>95251</xdr:rowOff>
        </xdr:to>
        <xdr:grpSp>
          <xdr:nvGrpSpPr>
            <xdr:cNvPr id="1886" name="Group 1885"/>
            <xdr:cNvGrpSpPr/>
          </xdr:nvGrpSpPr>
          <xdr:grpSpPr>
            <a:xfrm>
              <a:off x="3914775" y="36395025"/>
              <a:ext cx="647701" cy="123826"/>
              <a:chOff x="3867150" y="36328350"/>
              <a:chExt cx="647701" cy="123826"/>
            </a:xfrm>
          </xdr:grpSpPr>
          <xdr:sp macro="" textlink="">
            <xdr:nvSpPr>
              <xdr:cNvPr id="57" name="Check Box 841" hidden="1">
                <a:extLst>
                  <a:ext uri="{63B3BB69-23CF-44E3-9099-C40C66FF867C}">
                    <a14:compatExt spid="_x0000_s1865"/>
                  </a:ext>
                </a:extLst>
              </xdr:cNvPr>
              <xdr:cNvSpPr/>
            </xdr:nvSpPr>
            <xdr:spPr bwMode="auto">
              <a:xfrm>
                <a:off x="3867150" y="363474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36" name="Check Box 842" hidden="1">
                <a:extLst>
                  <a:ext uri="{63B3BB69-23CF-44E3-9099-C40C66FF867C}">
                    <a14:compatExt spid="_x0000_s1866"/>
                  </a:ext>
                </a:extLst>
              </xdr:cNvPr>
              <xdr:cNvSpPr/>
            </xdr:nvSpPr>
            <xdr:spPr bwMode="auto">
              <a:xfrm>
                <a:off x="4095751" y="363378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37" name="Check Box 843" hidden="1">
                <a:extLst>
                  <a:ext uri="{63B3BB69-23CF-44E3-9099-C40C66FF867C}">
                    <a14:compatExt spid="_x0000_s1867"/>
                  </a:ext>
                </a:extLst>
              </xdr:cNvPr>
              <xdr:cNvSpPr/>
            </xdr:nvSpPr>
            <xdr:spPr bwMode="auto">
              <a:xfrm>
                <a:off x="4362451" y="363283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146</xdr:row>
          <xdr:rowOff>133350</xdr:rowOff>
        </xdr:from>
        <xdr:to>
          <xdr:col>5</xdr:col>
          <xdr:colOff>171451</xdr:colOff>
          <xdr:row>147</xdr:row>
          <xdr:rowOff>95251</xdr:rowOff>
        </xdr:to>
        <xdr:grpSp>
          <xdr:nvGrpSpPr>
            <xdr:cNvPr id="1887" name="Group 1886"/>
            <xdr:cNvGrpSpPr/>
          </xdr:nvGrpSpPr>
          <xdr:grpSpPr>
            <a:xfrm>
              <a:off x="3914775" y="36556950"/>
              <a:ext cx="647701" cy="123826"/>
              <a:chOff x="3867150" y="36490275"/>
              <a:chExt cx="647701" cy="123826"/>
            </a:xfrm>
          </xdr:grpSpPr>
          <xdr:sp macro="" textlink="">
            <xdr:nvSpPr>
              <xdr:cNvPr id="238" name="Check Box 844" hidden="1">
                <a:extLst>
                  <a:ext uri="{63B3BB69-23CF-44E3-9099-C40C66FF867C}">
                    <a14:compatExt spid="_x0000_s1868"/>
                  </a:ext>
                </a:extLst>
              </xdr:cNvPr>
              <xdr:cNvSpPr/>
            </xdr:nvSpPr>
            <xdr:spPr bwMode="auto">
              <a:xfrm>
                <a:off x="3867150" y="365093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39" name="Check Box 845" hidden="1">
                <a:extLst>
                  <a:ext uri="{63B3BB69-23CF-44E3-9099-C40C66FF867C}">
                    <a14:compatExt spid="_x0000_s1869"/>
                  </a:ext>
                </a:extLst>
              </xdr:cNvPr>
              <xdr:cNvSpPr/>
            </xdr:nvSpPr>
            <xdr:spPr bwMode="auto">
              <a:xfrm>
                <a:off x="4095751" y="364998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70" name="Check Box 846" hidden="1">
                <a:extLst>
                  <a:ext uri="{63B3BB69-23CF-44E3-9099-C40C66FF867C}">
                    <a14:compatExt spid="_x0000_s1870"/>
                  </a:ext>
                </a:extLst>
              </xdr:cNvPr>
              <xdr:cNvSpPr/>
            </xdr:nvSpPr>
            <xdr:spPr bwMode="auto">
              <a:xfrm>
                <a:off x="4362451" y="364902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147</xdr:row>
          <xdr:rowOff>123825</xdr:rowOff>
        </xdr:from>
        <xdr:to>
          <xdr:col>5</xdr:col>
          <xdr:colOff>171451</xdr:colOff>
          <xdr:row>148</xdr:row>
          <xdr:rowOff>85726</xdr:rowOff>
        </xdr:to>
        <xdr:grpSp>
          <xdr:nvGrpSpPr>
            <xdr:cNvPr id="1888" name="Group 1887"/>
            <xdr:cNvGrpSpPr/>
          </xdr:nvGrpSpPr>
          <xdr:grpSpPr>
            <a:xfrm>
              <a:off x="3914775" y="36709350"/>
              <a:ext cx="647701" cy="123826"/>
              <a:chOff x="3867150" y="36642675"/>
              <a:chExt cx="647701" cy="123826"/>
            </a:xfrm>
          </xdr:grpSpPr>
          <xdr:sp macro="" textlink="">
            <xdr:nvSpPr>
              <xdr:cNvPr id="1871" name="Check Box 847" hidden="1">
                <a:extLst>
                  <a:ext uri="{63B3BB69-23CF-44E3-9099-C40C66FF867C}">
                    <a14:compatExt spid="_x0000_s1871"/>
                  </a:ext>
                </a:extLst>
              </xdr:cNvPr>
              <xdr:cNvSpPr/>
            </xdr:nvSpPr>
            <xdr:spPr bwMode="auto">
              <a:xfrm>
                <a:off x="3867150" y="366617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72" name="Check Box 848" hidden="1">
                <a:extLst>
                  <a:ext uri="{63B3BB69-23CF-44E3-9099-C40C66FF867C}">
                    <a14:compatExt spid="_x0000_s1872"/>
                  </a:ext>
                </a:extLst>
              </xdr:cNvPr>
              <xdr:cNvSpPr/>
            </xdr:nvSpPr>
            <xdr:spPr bwMode="auto">
              <a:xfrm>
                <a:off x="4095751" y="366522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73" name="Check Box 849" hidden="1">
                <a:extLst>
                  <a:ext uri="{63B3BB69-23CF-44E3-9099-C40C66FF867C}">
                    <a14:compatExt spid="_x0000_s1873"/>
                  </a:ext>
                </a:extLst>
              </xdr:cNvPr>
              <xdr:cNvSpPr/>
            </xdr:nvSpPr>
            <xdr:spPr bwMode="auto">
              <a:xfrm>
                <a:off x="4362451" y="366426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149</xdr:row>
          <xdr:rowOff>9525</xdr:rowOff>
        </xdr:from>
        <xdr:to>
          <xdr:col>5</xdr:col>
          <xdr:colOff>190501</xdr:colOff>
          <xdr:row>149</xdr:row>
          <xdr:rowOff>133351</xdr:rowOff>
        </xdr:to>
        <xdr:grpSp>
          <xdr:nvGrpSpPr>
            <xdr:cNvPr id="1889" name="Group 1888"/>
            <xdr:cNvGrpSpPr/>
          </xdr:nvGrpSpPr>
          <xdr:grpSpPr>
            <a:xfrm>
              <a:off x="3933825" y="36957000"/>
              <a:ext cx="647701" cy="123826"/>
              <a:chOff x="3886200" y="36890325"/>
              <a:chExt cx="647701" cy="123826"/>
            </a:xfrm>
          </xdr:grpSpPr>
          <xdr:sp macro="" textlink="">
            <xdr:nvSpPr>
              <xdr:cNvPr id="1874" name="Check Box 850" hidden="1">
                <a:extLst>
                  <a:ext uri="{63B3BB69-23CF-44E3-9099-C40C66FF867C}">
                    <a14:compatExt spid="_x0000_s1874"/>
                  </a:ext>
                </a:extLst>
              </xdr:cNvPr>
              <xdr:cNvSpPr/>
            </xdr:nvSpPr>
            <xdr:spPr bwMode="auto">
              <a:xfrm>
                <a:off x="3886200" y="369093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75" name="Check Box 851" hidden="1">
                <a:extLst>
                  <a:ext uri="{63B3BB69-23CF-44E3-9099-C40C66FF867C}">
                    <a14:compatExt spid="_x0000_s1875"/>
                  </a:ext>
                </a:extLst>
              </xdr:cNvPr>
              <xdr:cNvSpPr/>
            </xdr:nvSpPr>
            <xdr:spPr bwMode="auto">
              <a:xfrm>
                <a:off x="4114801" y="368998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76" name="Check Box 852" hidden="1">
                <a:extLst>
                  <a:ext uri="{63B3BB69-23CF-44E3-9099-C40C66FF867C}">
                    <a14:compatExt spid="_x0000_s1876"/>
                  </a:ext>
                </a:extLst>
              </xdr:cNvPr>
              <xdr:cNvSpPr/>
            </xdr:nvSpPr>
            <xdr:spPr bwMode="auto">
              <a:xfrm>
                <a:off x="4381501" y="368903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160</xdr:row>
          <xdr:rowOff>0</xdr:rowOff>
        </xdr:from>
        <xdr:to>
          <xdr:col>5</xdr:col>
          <xdr:colOff>133351</xdr:colOff>
          <xdr:row>160</xdr:row>
          <xdr:rowOff>123826</xdr:rowOff>
        </xdr:to>
        <xdr:grpSp>
          <xdr:nvGrpSpPr>
            <xdr:cNvPr id="1908" name="Group 1907"/>
            <xdr:cNvGrpSpPr/>
          </xdr:nvGrpSpPr>
          <xdr:grpSpPr>
            <a:xfrm>
              <a:off x="3876675" y="39871650"/>
              <a:ext cx="647701" cy="123826"/>
              <a:chOff x="3829050" y="39804975"/>
              <a:chExt cx="647701" cy="123826"/>
            </a:xfrm>
          </xdr:grpSpPr>
          <xdr:sp macro="" textlink="">
            <xdr:nvSpPr>
              <xdr:cNvPr id="1880" name="Check Box 856" hidden="1">
                <a:extLst>
                  <a:ext uri="{63B3BB69-23CF-44E3-9099-C40C66FF867C}">
                    <a14:compatExt spid="_x0000_s1880"/>
                  </a:ext>
                </a:extLst>
              </xdr:cNvPr>
              <xdr:cNvSpPr/>
            </xdr:nvSpPr>
            <xdr:spPr bwMode="auto">
              <a:xfrm>
                <a:off x="3829050" y="398240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81" name="Check Box 857" hidden="1">
                <a:extLst>
                  <a:ext uri="{63B3BB69-23CF-44E3-9099-C40C66FF867C}">
                    <a14:compatExt spid="_x0000_s1881"/>
                  </a:ext>
                </a:extLst>
              </xdr:cNvPr>
              <xdr:cNvSpPr/>
            </xdr:nvSpPr>
            <xdr:spPr bwMode="auto">
              <a:xfrm>
                <a:off x="4057651" y="398145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82" name="Check Box 858" hidden="1">
                <a:extLst>
                  <a:ext uri="{63B3BB69-23CF-44E3-9099-C40C66FF867C}">
                    <a14:compatExt spid="_x0000_s1882"/>
                  </a:ext>
                </a:extLst>
              </xdr:cNvPr>
              <xdr:cNvSpPr/>
            </xdr:nvSpPr>
            <xdr:spPr bwMode="auto">
              <a:xfrm>
                <a:off x="4324351" y="398049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161</xdr:row>
          <xdr:rowOff>0</xdr:rowOff>
        </xdr:from>
        <xdr:to>
          <xdr:col>5</xdr:col>
          <xdr:colOff>133351</xdr:colOff>
          <xdr:row>161</xdr:row>
          <xdr:rowOff>123826</xdr:rowOff>
        </xdr:to>
        <xdr:grpSp>
          <xdr:nvGrpSpPr>
            <xdr:cNvPr id="1907" name="Group 1906"/>
            <xdr:cNvGrpSpPr/>
          </xdr:nvGrpSpPr>
          <xdr:grpSpPr>
            <a:xfrm>
              <a:off x="3876675" y="40043100"/>
              <a:ext cx="647701" cy="123826"/>
              <a:chOff x="3829050" y="39976425"/>
              <a:chExt cx="647701" cy="123826"/>
            </a:xfrm>
          </xdr:grpSpPr>
          <xdr:sp macro="" textlink="">
            <xdr:nvSpPr>
              <xdr:cNvPr id="1883" name="Check Box 859" hidden="1">
                <a:extLst>
                  <a:ext uri="{63B3BB69-23CF-44E3-9099-C40C66FF867C}">
                    <a14:compatExt spid="_x0000_s1883"/>
                  </a:ext>
                </a:extLst>
              </xdr:cNvPr>
              <xdr:cNvSpPr/>
            </xdr:nvSpPr>
            <xdr:spPr bwMode="auto">
              <a:xfrm>
                <a:off x="3829050" y="399954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84" name="Check Box 860" hidden="1">
                <a:extLst>
                  <a:ext uri="{63B3BB69-23CF-44E3-9099-C40C66FF867C}">
                    <a14:compatExt spid="_x0000_s1884"/>
                  </a:ext>
                </a:extLst>
              </xdr:cNvPr>
              <xdr:cNvSpPr/>
            </xdr:nvSpPr>
            <xdr:spPr bwMode="auto">
              <a:xfrm>
                <a:off x="4057651" y="399859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85" name="Check Box 861" hidden="1">
                <a:extLst>
                  <a:ext uri="{63B3BB69-23CF-44E3-9099-C40C66FF867C}">
                    <a14:compatExt spid="_x0000_s1885"/>
                  </a:ext>
                </a:extLst>
              </xdr:cNvPr>
              <xdr:cNvSpPr/>
            </xdr:nvSpPr>
            <xdr:spPr bwMode="auto">
              <a:xfrm>
                <a:off x="4324351" y="399764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162</xdr:row>
          <xdr:rowOff>0</xdr:rowOff>
        </xdr:from>
        <xdr:to>
          <xdr:col>5</xdr:col>
          <xdr:colOff>133351</xdr:colOff>
          <xdr:row>162</xdr:row>
          <xdr:rowOff>123826</xdr:rowOff>
        </xdr:to>
        <xdr:grpSp>
          <xdr:nvGrpSpPr>
            <xdr:cNvPr id="1906" name="Group 1905"/>
            <xdr:cNvGrpSpPr/>
          </xdr:nvGrpSpPr>
          <xdr:grpSpPr>
            <a:xfrm>
              <a:off x="3876675" y="40205025"/>
              <a:ext cx="647701" cy="123826"/>
              <a:chOff x="3829050" y="40138350"/>
              <a:chExt cx="647701" cy="123826"/>
            </a:xfrm>
          </xdr:grpSpPr>
          <xdr:sp macro="" textlink="">
            <xdr:nvSpPr>
              <xdr:cNvPr id="240" name="Check Box 862" hidden="1">
                <a:extLst>
                  <a:ext uri="{63B3BB69-23CF-44E3-9099-C40C66FF867C}">
                    <a14:compatExt spid="_x0000_s1886"/>
                  </a:ext>
                </a:extLst>
              </xdr:cNvPr>
              <xdr:cNvSpPr/>
            </xdr:nvSpPr>
            <xdr:spPr bwMode="auto">
              <a:xfrm>
                <a:off x="3829050" y="401574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41" name="Check Box 863" hidden="1">
                <a:extLst>
                  <a:ext uri="{63B3BB69-23CF-44E3-9099-C40C66FF867C}">
                    <a14:compatExt spid="_x0000_s1887"/>
                  </a:ext>
                </a:extLst>
              </xdr:cNvPr>
              <xdr:cNvSpPr/>
            </xdr:nvSpPr>
            <xdr:spPr bwMode="auto">
              <a:xfrm>
                <a:off x="4057651" y="401478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47" name="Check Box 864" hidden="1">
                <a:extLst>
                  <a:ext uri="{63B3BB69-23CF-44E3-9099-C40C66FF867C}">
                    <a14:compatExt spid="_x0000_s1888"/>
                  </a:ext>
                </a:extLst>
              </xdr:cNvPr>
              <xdr:cNvSpPr/>
            </xdr:nvSpPr>
            <xdr:spPr bwMode="auto">
              <a:xfrm>
                <a:off x="4324351" y="401383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165</xdr:row>
          <xdr:rowOff>0</xdr:rowOff>
        </xdr:from>
        <xdr:to>
          <xdr:col>5</xdr:col>
          <xdr:colOff>133351</xdr:colOff>
          <xdr:row>165</xdr:row>
          <xdr:rowOff>123826</xdr:rowOff>
        </xdr:to>
        <xdr:grpSp>
          <xdr:nvGrpSpPr>
            <xdr:cNvPr id="1937" name="Group 1936"/>
            <xdr:cNvGrpSpPr/>
          </xdr:nvGrpSpPr>
          <xdr:grpSpPr>
            <a:xfrm>
              <a:off x="3876675" y="40852725"/>
              <a:ext cx="647701" cy="123826"/>
              <a:chOff x="3876675" y="40786050"/>
              <a:chExt cx="647701" cy="123826"/>
            </a:xfrm>
          </xdr:grpSpPr>
          <xdr:sp macro="" textlink="">
            <xdr:nvSpPr>
              <xdr:cNvPr id="248" name="Check Box 865" hidden="1">
                <a:extLst>
                  <a:ext uri="{63B3BB69-23CF-44E3-9099-C40C66FF867C}">
                    <a14:compatExt spid="_x0000_s1889"/>
                  </a:ext>
                </a:extLst>
              </xdr:cNvPr>
              <xdr:cNvSpPr/>
            </xdr:nvSpPr>
            <xdr:spPr bwMode="auto">
              <a:xfrm>
                <a:off x="3876675" y="408051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90" name="Check Box 866" hidden="1">
                <a:extLst>
                  <a:ext uri="{63B3BB69-23CF-44E3-9099-C40C66FF867C}">
                    <a14:compatExt spid="_x0000_s1890"/>
                  </a:ext>
                </a:extLst>
              </xdr:cNvPr>
              <xdr:cNvSpPr/>
            </xdr:nvSpPr>
            <xdr:spPr bwMode="auto">
              <a:xfrm>
                <a:off x="4105276" y="407955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91" name="Check Box 867" hidden="1">
                <a:extLst>
                  <a:ext uri="{63B3BB69-23CF-44E3-9099-C40C66FF867C}">
                    <a14:compatExt spid="_x0000_s1891"/>
                  </a:ext>
                </a:extLst>
              </xdr:cNvPr>
              <xdr:cNvSpPr/>
            </xdr:nvSpPr>
            <xdr:spPr bwMode="auto">
              <a:xfrm>
                <a:off x="4371976" y="407860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166</xdr:row>
          <xdr:rowOff>0</xdr:rowOff>
        </xdr:from>
        <xdr:to>
          <xdr:col>5</xdr:col>
          <xdr:colOff>133351</xdr:colOff>
          <xdr:row>166</xdr:row>
          <xdr:rowOff>123826</xdr:rowOff>
        </xdr:to>
        <xdr:grpSp>
          <xdr:nvGrpSpPr>
            <xdr:cNvPr id="1938" name="Group 1937"/>
            <xdr:cNvGrpSpPr/>
          </xdr:nvGrpSpPr>
          <xdr:grpSpPr>
            <a:xfrm>
              <a:off x="3876675" y="41176575"/>
              <a:ext cx="647701" cy="123826"/>
              <a:chOff x="3876675" y="41109900"/>
              <a:chExt cx="647701" cy="123826"/>
            </a:xfrm>
          </xdr:grpSpPr>
          <xdr:sp macro="" textlink="">
            <xdr:nvSpPr>
              <xdr:cNvPr id="1892" name="Check Box 868" hidden="1">
                <a:extLst>
                  <a:ext uri="{63B3BB69-23CF-44E3-9099-C40C66FF867C}">
                    <a14:compatExt spid="_x0000_s1892"/>
                  </a:ext>
                </a:extLst>
              </xdr:cNvPr>
              <xdr:cNvSpPr/>
            </xdr:nvSpPr>
            <xdr:spPr bwMode="auto">
              <a:xfrm>
                <a:off x="3876675" y="411289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93" name="Check Box 869" hidden="1">
                <a:extLst>
                  <a:ext uri="{63B3BB69-23CF-44E3-9099-C40C66FF867C}">
                    <a14:compatExt spid="_x0000_s1893"/>
                  </a:ext>
                </a:extLst>
              </xdr:cNvPr>
              <xdr:cNvSpPr/>
            </xdr:nvSpPr>
            <xdr:spPr bwMode="auto">
              <a:xfrm>
                <a:off x="4105276" y="411194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94" name="Check Box 870" hidden="1">
                <a:extLst>
                  <a:ext uri="{63B3BB69-23CF-44E3-9099-C40C66FF867C}">
                    <a14:compatExt spid="_x0000_s1894"/>
                  </a:ext>
                </a:extLst>
              </xdr:cNvPr>
              <xdr:cNvSpPr/>
            </xdr:nvSpPr>
            <xdr:spPr bwMode="auto">
              <a:xfrm>
                <a:off x="4371976" y="411099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170</xdr:row>
          <xdr:rowOff>0</xdr:rowOff>
        </xdr:from>
        <xdr:to>
          <xdr:col>5</xdr:col>
          <xdr:colOff>133351</xdr:colOff>
          <xdr:row>170</xdr:row>
          <xdr:rowOff>123826</xdr:rowOff>
        </xdr:to>
        <xdr:grpSp>
          <xdr:nvGrpSpPr>
            <xdr:cNvPr id="1939" name="Group 1938"/>
            <xdr:cNvGrpSpPr/>
          </xdr:nvGrpSpPr>
          <xdr:grpSpPr>
            <a:xfrm>
              <a:off x="3876675" y="42148125"/>
              <a:ext cx="647701" cy="123826"/>
              <a:chOff x="3876675" y="42081450"/>
              <a:chExt cx="647701" cy="123826"/>
            </a:xfrm>
          </xdr:grpSpPr>
          <xdr:sp macro="" textlink="">
            <xdr:nvSpPr>
              <xdr:cNvPr id="1895" name="Check Box 871" hidden="1">
                <a:extLst>
                  <a:ext uri="{63B3BB69-23CF-44E3-9099-C40C66FF867C}">
                    <a14:compatExt spid="_x0000_s1895"/>
                  </a:ext>
                </a:extLst>
              </xdr:cNvPr>
              <xdr:cNvSpPr/>
            </xdr:nvSpPr>
            <xdr:spPr bwMode="auto">
              <a:xfrm>
                <a:off x="3876675" y="421005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96" name="Check Box 872" hidden="1">
                <a:extLst>
                  <a:ext uri="{63B3BB69-23CF-44E3-9099-C40C66FF867C}">
                    <a14:compatExt spid="_x0000_s1896"/>
                  </a:ext>
                </a:extLst>
              </xdr:cNvPr>
              <xdr:cNvSpPr/>
            </xdr:nvSpPr>
            <xdr:spPr bwMode="auto">
              <a:xfrm>
                <a:off x="4105276" y="420909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97" name="Check Box 873" hidden="1">
                <a:extLst>
                  <a:ext uri="{63B3BB69-23CF-44E3-9099-C40C66FF867C}">
                    <a14:compatExt spid="_x0000_s1897"/>
                  </a:ext>
                </a:extLst>
              </xdr:cNvPr>
              <xdr:cNvSpPr/>
            </xdr:nvSpPr>
            <xdr:spPr bwMode="auto">
              <a:xfrm>
                <a:off x="4371976" y="420814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174</xdr:row>
          <xdr:rowOff>0</xdr:rowOff>
        </xdr:from>
        <xdr:to>
          <xdr:col>5</xdr:col>
          <xdr:colOff>133351</xdr:colOff>
          <xdr:row>174</xdr:row>
          <xdr:rowOff>123826</xdr:rowOff>
        </xdr:to>
        <xdr:grpSp>
          <xdr:nvGrpSpPr>
            <xdr:cNvPr id="1940" name="Group 1939"/>
            <xdr:cNvGrpSpPr/>
          </xdr:nvGrpSpPr>
          <xdr:grpSpPr>
            <a:xfrm>
              <a:off x="3876675" y="42957750"/>
              <a:ext cx="647701" cy="123826"/>
              <a:chOff x="3876675" y="42891075"/>
              <a:chExt cx="647701" cy="123826"/>
            </a:xfrm>
          </xdr:grpSpPr>
          <xdr:sp macro="" textlink="">
            <xdr:nvSpPr>
              <xdr:cNvPr id="1898" name="Check Box 874" hidden="1">
                <a:extLst>
                  <a:ext uri="{63B3BB69-23CF-44E3-9099-C40C66FF867C}">
                    <a14:compatExt spid="_x0000_s1898"/>
                  </a:ext>
                </a:extLst>
              </xdr:cNvPr>
              <xdr:cNvSpPr/>
            </xdr:nvSpPr>
            <xdr:spPr bwMode="auto">
              <a:xfrm>
                <a:off x="3876675" y="429101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899" name="Check Box 875" hidden="1">
                <a:extLst>
                  <a:ext uri="{63B3BB69-23CF-44E3-9099-C40C66FF867C}">
                    <a14:compatExt spid="_x0000_s1899"/>
                  </a:ext>
                </a:extLst>
              </xdr:cNvPr>
              <xdr:cNvSpPr/>
            </xdr:nvSpPr>
            <xdr:spPr bwMode="auto">
              <a:xfrm>
                <a:off x="4105276" y="429006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00" name="Check Box 876" hidden="1">
                <a:extLst>
                  <a:ext uri="{63B3BB69-23CF-44E3-9099-C40C66FF867C}">
                    <a14:compatExt spid="_x0000_s1900"/>
                  </a:ext>
                </a:extLst>
              </xdr:cNvPr>
              <xdr:cNvSpPr/>
            </xdr:nvSpPr>
            <xdr:spPr bwMode="auto">
              <a:xfrm>
                <a:off x="4371976" y="428910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178</xdr:row>
          <xdr:rowOff>0</xdr:rowOff>
        </xdr:from>
        <xdr:to>
          <xdr:col>5</xdr:col>
          <xdr:colOff>133351</xdr:colOff>
          <xdr:row>178</xdr:row>
          <xdr:rowOff>123826</xdr:rowOff>
        </xdr:to>
        <xdr:grpSp>
          <xdr:nvGrpSpPr>
            <xdr:cNvPr id="1941" name="Group 1940"/>
            <xdr:cNvGrpSpPr/>
          </xdr:nvGrpSpPr>
          <xdr:grpSpPr>
            <a:xfrm>
              <a:off x="3876675" y="44091225"/>
              <a:ext cx="647701" cy="123826"/>
              <a:chOff x="3876675" y="44024550"/>
              <a:chExt cx="647701" cy="123826"/>
            </a:xfrm>
          </xdr:grpSpPr>
          <xdr:sp macro="" textlink="">
            <xdr:nvSpPr>
              <xdr:cNvPr id="1901" name="Check Box 877" hidden="1">
                <a:extLst>
                  <a:ext uri="{63B3BB69-23CF-44E3-9099-C40C66FF867C}">
                    <a14:compatExt spid="_x0000_s1901"/>
                  </a:ext>
                </a:extLst>
              </xdr:cNvPr>
              <xdr:cNvSpPr/>
            </xdr:nvSpPr>
            <xdr:spPr bwMode="auto">
              <a:xfrm>
                <a:off x="3876675" y="440436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02" name="Check Box 878" hidden="1">
                <a:extLst>
                  <a:ext uri="{63B3BB69-23CF-44E3-9099-C40C66FF867C}">
                    <a14:compatExt spid="_x0000_s1902"/>
                  </a:ext>
                </a:extLst>
              </xdr:cNvPr>
              <xdr:cNvSpPr/>
            </xdr:nvSpPr>
            <xdr:spPr bwMode="auto">
              <a:xfrm>
                <a:off x="4105276" y="440340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03" name="Check Box 879" hidden="1">
                <a:extLst>
                  <a:ext uri="{63B3BB69-23CF-44E3-9099-C40C66FF867C}">
                    <a14:compatExt spid="_x0000_s1903"/>
                  </a:ext>
                </a:extLst>
              </xdr:cNvPr>
              <xdr:cNvSpPr/>
            </xdr:nvSpPr>
            <xdr:spPr bwMode="auto">
              <a:xfrm>
                <a:off x="4371976" y="440245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182</xdr:row>
          <xdr:rowOff>0</xdr:rowOff>
        </xdr:from>
        <xdr:to>
          <xdr:col>5</xdr:col>
          <xdr:colOff>133351</xdr:colOff>
          <xdr:row>182</xdr:row>
          <xdr:rowOff>123826</xdr:rowOff>
        </xdr:to>
        <xdr:grpSp>
          <xdr:nvGrpSpPr>
            <xdr:cNvPr id="1942" name="Group 1941"/>
            <xdr:cNvGrpSpPr/>
          </xdr:nvGrpSpPr>
          <xdr:grpSpPr>
            <a:xfrm>
              <a:off x="3876675" y="44843700"/>
              <a:ext cx="647701" cy="123826"/>
              <a:chOff x="3876675" y="44624625"/>
              <a:chExt cx="647701" cy="123826"/>
            </a:xfrm>
          </xdr:grpSpPr>
          <xdr:sp macro="" textlink="">
            <xdr:nvSpPr>
              <xdr:cNvPr id="1904" name="Check Box 880" hidden="1">
                <a:extLst>
                  <a:ext uri="{63B3BB69-23CF-44E3-9099-C40C66FF867C}">
                    <a14:compatExt spid="_x0000_s1904"/>
                  </a:ext>
                </a:extLst>
              </xdr:cNvPr>
              <xdr:cNvSpPr/>
            </xdr:nvSpPr>
            <xdr:spPr bwMode="auto">
              <a:xfrm>
                <a:off x="3876675" y="446436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05" name="Check Box 881" hidden="1">
                <a:extLst>
                  <a:ext uri="{63B3BB69-23CF-44E3-9099-C40C66FF867C}">
                    <a14:compatExt spid="_x0000_s1905"/>
                  </a:ext>
                </a:extLst>
              </xdr:cNvPr>
              <xdr:cNvSpPr/>
            </xdr:nvSpPr>
            <xdr:spPr bwMode="auto">
              <a:xfrm>
                <a:off x="4105276" y="446341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49" name="Check Box 882" hidden="1">
                <a:extLst>
                  <a:ext uri="{63B3BB69-23CF-44E3-9099-C40C66FF867C}">
                    <a14:compatExt spid="_x0000_s1906"/>
                  </a:ext>
                </a:extLst>
              </xdr:cNvPr>
              <xdr:cNvSpPr/>
            </xdr:nvSpPr>
            <xdr:spPr bwMode="auto">
              <a:xfrm>
                <a:off x="4371976" y="446246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183</xdr:row>
          <xdr:rowOff>0</xdr:rowOff>
        </xdr:from>
        <xdr:to>
          <xdr:col>5</xdr:col>
          <xdr:colOff>133351</xdr:colOff>
          <xdr:row>183</xdr:row>
          <xdr:rowOff>123826</xdr:rowOff>
        </xdr:to>
        <xdr:grpSp>
          <xdr:nvGrpSpPr>
            <xdr:cNvPr id="1943" name="Group 1942"/>
            <xdr:cNvGrpSpPr/>
          </xdr:nvGrpSpPr>
          <xdr:grpSpPr>
            <a:xfrm>
              <a:off x="3876675" y="45281850"/>
              <a:ext cx="647701" cy="123826"/>
              <a:chOff x="3876675" y="45062775"/>
              <a:chExt cx="647701" cy="123826"/>
            </a:xfrm>
          </xdr:grpSpPr>
          <xdr:sp macro="" textlink="">
            <xdr:nvSpPr>
              <xdr:cNvPr id="250" name="Check Box 883" hidden="1">
                <a:extLst>
                  <a:ext uri="{63B3BB69-23CF-44E3-9099-C40C66FF867C}">
                    <a14:compatExt spid="_x0000_s1907"/>
                  </a:ext>
                </a:extLst>
              </xdr:cNvPr>
              <xdr:cNvSpPr/>
            </xdr:nvSpPr>
            <xdr:spPr bwMode="auto">
              <a:xfrm>
                <a:off x="3876675" y="450818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51" name="Check Box 884" hidden="1">
                <a:extLst>
                  <a:ext uri="{63B3BB69-23CF-44E3-9099-C40C66FF867C}">
                    <a14:compatExt spid="_x0000_s1908"/>
                  </a:ext>
                </a:extLst>
              </xdr:cNvPr>
              <xdr:cNvSpPr/>
            </xdr:nvSpPr>
            <xdr:spPr bwMode="auto">
              <a:xfrm>
                <a:off x="4105276" y="450723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09" name="Check Box 885" hidden="1">
                <a:extLst>
                  <a:ext uri="{63B3BB69-23CF-44E3-9099-C40C66FF867C}">
                    <a14:compatExt spid="_x0000_s1909"/>
                  </a:ext>
                </a:extLst>
              </xdr:cNvPr>
              <xdr:cNvSpPr/>
            </xdr:nvSpPr>
            <xdr:spPr bwMode="auto">
              <a:xfrm>
                <a:off x="4371976" y="450627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187</xdr:row>
          <xdr:rowOff>0</xdr:rowOff>
        </xdr:from>
        <xdr:to>
          <xdr:col>5</xdr:col>
          <xdr:colOff>133351</xdr:colOff>
          <xdr:row>187</xdr:row>
          <xdr:rowOff>123826</xdr:rowOff>
        </xdr:to>
        <xdr:grpSp>
          <xdr:nvGrpSpPr>
            <xdr:cNvPr id="252" name="Group 251"/>
            <xdr:cNvGrpSpPr/>
          </xdr:nvGrpSpPr>
          <xdr:grpSpPr>
            <a:xfrm>
              <a:off x="3876675" y="46386750"/>
              <a:ext cx="647701" cy="123826"/>
              <a:chOff x="3876675" y="46558200"/>
              <a:chExt cx="647701" cy="123826"/>
            </a:xfrm>
          </xdr:grpSpPr>
          <xdr:sp macro="" textlink="">
            <xdr:nvSpPr>
              <xdr:cNvPr id="1910" name="Check Box 886" hidden="1">
                <a:extLst>
                  <a:ext uri="{63B3BB69-23CF-44E3-9099-C40C66FF867C}">
                    <a14:compatExt spid="_x0000_s1910"/>
                  </a:ext>
                </a:extLst>
              </xdr:cNvPr>
              <xdr:cNvSpPr/>
            </xdr:nvSpPr>
            <xdr:spPr bwMode="auto">
              <a:xfrm>
                <a:off x="3876675" y="465772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11" name="Check Box 887" hidden="1">
                <a:extLst>
                  <a:ext uri="{63B3BB69-23CF-44E3-9099-C40C66FF867C}">
                    <a14:compatExt spid="_x0000_s1911"/>
                  </a:ext>
                </a:extLst>
              </xdr:cNvPr>
              <xdr:cNvSpPr/>
            </xdr:nvSpPr>
            <xdr:spPr bwMode="auto">
              <a:xfrm>
                <a:off x="4105276" y="465677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12" name="Check Box 888" hidden="1">
                <a:extLst>
                  <a:ext uri="{63B3BB69-23CF-44E3-9099-C40C66FF867C}">
                    <a14:compatExt spid="_x0000_s1912"/>
                  </a:ext>
                </a:extLst>
              </xdr:cNvPr>
              <xdr:cNvSpPr/>
            </xdr:nvSpPr>
            <xdr:spPr bwMode="auto">
              <a:xfrm>
                <a:off x="4371976" y="465582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188</xdr:row>
          <xdr:rowOff>0</xdr:rowOff>
        </xdr:from>
        <xdr:to>
          <xdr:col>5</xdr:col>
          <xdr:colOff>133351</xdr:colOff>
          <xdr:row>188</xdr:row>
          <xdr:rowOff>123826</xdr:rowOff>
        </xdr:to>
        <xdr:grpSp>
          <xdr:nvGrpSpPr>
            <xdr:cNvPr id="253" name="Group 252"/>
            <xdr:cNvGrpSpPr/>
          </xdr:nvGrpSpPr>
          <xdr:grpSpPr>
            <a:xfrm>
              <a:off x="3876675" y="46710600"/>
              <a:ext cx="647701" cy="123826"/>
              <a:chOff x="3876675" y="46882050"/>
              <a:chExt cx="647701" cy="123826"/>
            </a:xfrm>
          </xdr:grpSpPr>
          <xdr:sp macro="" textlink="">
            <xdr:nvSpPr>
              <xdr:cNvPr id="1913" name="Check Box 889" hidden="1">
                <a:extLst>
                  <a:ext uri="{63B3BB69-23CF-44E3-9099-C40C66FF867C}">
                    <a14:compatExt spid="_x0000_s1913"/>
                  </a:ext>
                </a:extLst>
              </xdr:cNvPr>
              <xdr:cNvSpPr/>
            </xdr:nvSpPr>
            <xdr:spPr bwMode="auto">
              <a:xfrm>
                <a:off x="3876675" y="469011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14" name="Check Box 890" hidden="1">
                <a:extLst>
                  <a:ext uri="{63B3BB69-23CF-44E3-9099-C40C66FF867C}">
                    <a14:compatExt spid="_x0000_s1914"/>
                  </a:ext>
                </a:extLst>
              </xdr:cNvPr>
              <xdr:cNvSpPr/>
            </xdr:nvSpPr>
            <xdr:spPr bwMode="auto">
              <a:xfrm>
                <a:off x="4105276" y="468915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15" name="Check Box 891" hidden="1">
                <a:extLst>
                  <a:ext uri="{63B3BB69-23CF-44E3-9099-C40C66FF867C}">
                    <a14:compatExt spid="_x0000_s1915"/>
                  </a:ext>
                </a:extLst>
              </xdr:cNvPr>
              <xdr:cNvSpPr/>
            </xdr:nvSpPr>
            <xdr:spPr bwMode="auto">
              <a:xfrm>
                <a:off x="4371976" y="468820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189</xdr:row>
          <xdr:rowOff>0</xdr:rowOff>
        </xdr:from>
        <xdr:to>
          <xdr:col>5</xdr:col>
          <xdr:colOff>133351</xdr:colOff>
          <xdr:row>189</xdr:row>
          <xdr:rowOff>123826</xdr:rowOff>
        </xdr:to>
        <xdr:grpSp>
          <xdr:nvGrpSpPr>
            <xdr:cNvPr id="254" name="Group 253"/>
            <xdr:cNvGrpSpPr/>
          </xdr:nvGrpSpPr>
          <xdr:grpSpPr>
            <a:xfrm>
              <a:off x="3876675" y="47034450"/>
              <a:ext cx="647701" cy="123826"/>
              <a:chOff x="3876675" y="47205900"/>
              <a:chExt cx="647701" cy="123826"/>
            </a:xfrm>
          </xdr:grpSpPr>
          <xdr:sp macro="" textlink="">
            <xdr:nvSpPr>
              <xdr:cNvPr id="1916" name="Check Box 892" hidden="1">
                <a:extLst>
                  <a:ext uri="{63B3BB69-23CF-44E3-9099-C40C66FF867C}">
                    <a14:compatExt spid="_x0000_s1916"/>
                  </a:ext>
                </a:extLst>
              </xdr:cNvPr>
              <xdr:cNvSpPr/>
            </xdr:nvSpPr>
            <xdr:spPr bwMode="auto">
              <a:xfrm>
                <a:off x="3876675" y="472249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17" name="Check Box 893" hidden="1">
                <a:extLst>
                  <a:ext uri="{63B3BB69-23CF-44E3-9099-C40C66FF867C}">
                    <a14:compatExt spid="_x0000_s1917"/>
                  </a:ext>
                </a:extLst>
              </xdr:cNvPr>
              <xdr:cNvSpPr/>
            </xdr:nvSpPr>
            <xdr:spPr bwMode="auto">
              <a:xfrm>
                <a:off x="4105276" y="472154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18" name="Check Box 894" hidden="1">
                <a:extLst>
                  <a:ext uri="{63B3BB69-23CF-44E3-9099-C40C66FF867C}">
                    <a14:compatExt spid="_x0000_s1918"/>
                  </a:ext>
                </a:extLst>
              </xdr:cNvPr>
              <xdr:cNvSpPr/>
            </xdr:nvSpPr>
            <xdr:spPr bwMode="auto">
              <a:xfrm>
                <a:off x="4371976" y="472059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193</xdr:row>
          <xdr:rowOff>0</xdr:rowOff>
        </xdr:from>
        <xdr:to>
          <xdr:col>5</xdr:col>
          <xdr:colOff>133351</xdr:colOff>
          <xdr:row>193</xdr:row>
          <xdr:rowOff>123826</xdr:rowOff>
        </xdr:to>
        <xdr:grpSp>
          <xdr:nvGrpSpPr>
            <xdr:cNvPr id="1781" name="Group 1780"/>
            <xdr:cNvGrpSpPr/>
          </xdr:nvGrpSpPr>
          <xdr:grpSpPr>
            <a:xfrm>
              <a:off x="3876675" y="47682150"/>
              <a:ext cx="647701" cy="123826"/>
              <a:chOff x="3876675" y="47853600"/>
              <a:chExt cx="647701" cy="123826"/>
            </a:xfrm>
          </xdr:grpSpPr>
          <xdr:sp macro="" textlink="">
            <xdr:nvSpPr>
              <xdr:cNvPr id="1919" name="Check Box 895" hidden="1">
                <a:extLst>
                  <a:ext uri="{63B3BB69-23CF-44E3-9099-C40C66FF867C}">
                    <a14:compatExt spid="_x0000_s1919"/>
                  </a:ext>
                </a:extLst>
              </xdr:cNvPr>
              <xdr:cNvSpPr/>
            </xdr:nvSpPr>
            <xdr:spPr bwMode="auto">
              <a:xfrm>
                <a:off x="3876675" y="478726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20" name="Check Box 896" hidden="1">
                <a:extLst>
                  <a:ext uri="{63B3BB69-23CF-44E3-9099-C40C66FF867C}">
                    <a14:compatExt spid="_x0000_s1920"/>
                  </a:ext>
                </a:extLst>
              </xdr:cNvPr>
              <xdr:cNvSpPr/>
            </xdr:nvSpPr>
            <xdr:spPr bwMode="auto">
              <a:xfrm>
                <a:off x="4105276" y="478631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21" name="Check Box 897" hidden="1">
                <a:extLst>
                  <a:ext uri="{63B3BB69-23CF-44E3-9099-C40C66FF867C}">
                    <a14:compatExt spid="_x0000_s1921"/>
                  </a:ext>
                </a:extLst>
              </xdr:cNvPr>
              <xdr:cNvSpPr/>
            </xdr:nvSpPr>
            <xdr:spPr bwMode="auto">
              <a:xfrm>
                <a:off x="4371976" y="478536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47625</xdr:colOff>
          <xdr:row>205</xdr:row>
          <xdr:rowOff>76200</xdr:rowOff>
        </xdr:from>
        <xdr:to>
          <xdr:col>5</xdr:col>
          <xdr:colOff>180976</xdr:colOff>
          <xdr:row>205</xdr:row>
          <xdr:rowOff>200026</xdr:rowOff>
        </xdr:to>
        <xdr:grpSp>
          <xdr:nvGrpSpPr>
            <xdr:cNvPr id="1782" name="Group 1781"/>
            <xdr:cNvGrpSpPr/>
          </xdr:nvGrpSpPr>
          <xdr:grpSpPr>
            <a:xfrm>
              <a:off x="3924300" y="50215800"/>
              <a:ext cx="647701" cy="123826"/>
              <a:chOff x="3924300" y="50387250"/>
              <a:chExt cx="647701" cy="123826"/>
            </a:xfrm>
          </xdr:grpSpPr>
          <xdr:sp macro="" textlink="">
            <xdr:nvSpPr>
              <xdr:cNvPr id="1922" name="Check Box 898" hidden="1">
                <a:extLst>
                  <a:ext uri="{63B3BB69-23CF-44E3-9099-C40C66FF867C}">
                    <a14:compatExt spid="_x0000_s1922"/>
                  </a:ext>
                </a:extLst>
              </xdr:cNvPr>
              <xdr:cNvSpPr/>
            </xdr:nvSpPr>
            <xdr:spPr bwMode="auto">
              <a:xfrm>
                <a:off x="3924300" y="504063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23" name="Check Box 899" hidden="1">
                <a:extLst>
                  <a:ext uri="{63B3BB69-23CF-44E3-9099-C40C66FF867C}">
                    <a14:compatExt spid="_x0000_s1923"/>
                  </a:ext>
                </a:extLst>
              </xdr:cNvPr>
              <xdr:cNvSpPr/>
            </xdr:nvSpPr>
            <xdr:spPr bwMode="auto">
              <a:xfrm>
                <a:off x="4152901" y="503967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24" name="Check Box 900" hidden="1">
                <a:extLst>
                  <a:ext uri="{63B3BB69-23CF-44E3-9099-C40C66FF867C}">
                    <a14:compatExt spid="_x0000_s1924"/>
                  </a:ext>
                </a:extLst>
              </xdr:cNvPr>
              <xdr:cNvSpPr/>
            </xdr:nvSpPr>
            <xdr:spPr bwMode="auto">
              <a:xfrm>
                <a:off x="4419601" y="503872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28575</xdr:colOff>
          <xdr:row>208</xdr:row>
          <xdr:rowOff>9525</xdr:rowOff>
        </xdr:from>
        <xdr:to>
          <xdr:col>5</xdr:col>
          <xdr:colOff>161926</xdr:colOff>
          <xdr:row>208</xdr:row>
          <xdr:rowOff>133351</xdr:rowOff>
        </xdr:to>
        <xdr:grpSp>
          <xdr:nvGrpSpPr>
            <xdr:cNvPr id="1783" name="Group 1782"/>
            <xdr:cNvGrpSpPr/>
          </xdr:nvGrpSpPr>
          <xdr:grpSpPr>
            <a:xfrm>
              <a:off x="3905250" y="50958750"/>
              <a:ext cx="647701" cy="123826"/>
              <a:chOff x="3905250" y="51615975"/>
              <a:chExt cx="647701" cy="123826"/>
            </a:xfrm>
          </xdr:grpSpPr>
          <xdr:sp macro="" textlink="">
            <xdr:nvSpPr>
              <xdr:cNvPr id="1925" name="Check Box 901" hidden="1">
                <a:extLst>
                  <a:ext uri="{63B3BB69-23CF-44E3-9099-C40C66FF867C}">
                    <a14:compatExt spid="_x0000_s1925"/>
                  </a:ext>
                </a:extLst>
              </xdr:cNvPr>
              <xdr:cNvSpPr/>
            </xdr:nvSpPr>
            <xdr:spPr bwMode="auto">
              <a:xfrm>
                <a:off x="3905250" y="516350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26" name="Check Box 902" hidden="1">
                <a:extLst>
                  <a:ext uri="{63B3BB69-23CF-44E3-9099-C40C66FF867C}">
                    <a14:compatExt spid="_x0000_s1926"/>
                  </a:ext>
                </a:extLst>
              </xdr:cNvPr>
              <xdr:cNvSpPr/>
            </xdr:nvSpPr>
            <xdr:spPr bwMode="auto">
              <a:xfrm>
                <a:off x="4133851" y="516255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27" name="Check Box 903" hidden="1">
                <a:extLst>
                  <a:ext uri="{63B3BB69-23CF-44E3-9099-C40C66FF867C}">
                    <a14:compatExt spid="_x0000_s1927"/>
                  </a:ext>
                </a:extLst>
              </xdr:cNvPr>
              <xdr:cNvSpPr/>
            </xdr:nvSpPr>
            <xdr:spPr bwMode="auto">
              <a:xfrm>
                <a:off x="4400551" y="516159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209</xdr:row>
          <xdr:rowOff>47625</xdr:rowOff>
        </xdr:from>
        <xdr:to>
          <xdr:col>5</xdr:col>
          <xdr:colOff>171451</xdr:colOff>
          <xdr:row>209</xdr:row>
          <xdr:rowOff>171451</xdr:rowOff>
        </xdr:to>
        <xdr:grpSp>
          <xdr:nvGrpSpPr>
            <xdr:cNvPr id="1802" name="Group 1801"/>
            <xdr:cNvGrpSpPr/>
          </xdr:nvGrpSpPr>
          <xdr:grpSpPr>
            <a:xfrm>
              <a:off x="3914775" y="52130325"/>
              <a:ext cx="647701" cy="123826"/>
              <a:chOff x="3914775" y="52787550"/>
              <a:chExt cx="647701" cy="123826"/>
            </a:xfrm>
          </xdr:grpSpPr>
          <xdr:sp macro="" textlink="">
            <xdr:nvSpPr>
              <xdr:cNvPr id="1928" name="Check Box 904" hidden="1">
                <a:extLst>
                  <a:ext uri="{63B3BB69-23CF-44E3-9099-C40C66FF867C}">
                    <a14:compatExt spid="_x0000_s1928"/>
                  </a:ext>
                </a:extLst>
              </xdr:cNvPr>
              <xdr:cNvSpPr/>
            </xdr:nvSpPr>
            <xdr:spPr bwMode="auto">
              <a:xfrm>
                <a:off x="3914775" y="528066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29" name="Check Box 905" hidden="1">
                <a:extLst>
                  <a:ext uri="{63B3BB69-23CF-44E3-9099-C40C66FF867C}">
                    <a14:compatExt spid="_x0000_s1929"/>
                  </a:ext>
                </a:extLst>
              </xdr:cNvPr>
              <xdr:cNvSpPr/>
            </xdr:nvSpPr>
            <xdr:spPr bwMode="auto">
              <a:xfrm>
                <a:off x="4143376" y="527970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30" name="Check Box 906" hidden="1">
                <a:extLst>
                  <a:ext uri="{63B3BB69-23CF-44E3-9099-C40C66FF867C}">
                    <a14:compatExt spid="_x0000_s1930"/>
                  </a:ext>
                </a:extLst>
              </xdr:cNvPr>
              <xdr:cNvSpPr/>
            </xdr:nvSpPr>
            <xdr:spPr bwMode="auto">
              <a:xfrm>
                <a:off x="4410076" y="527875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212</xdr:row>
          <xdr:rowOff>0</xdr:rowOff>
        </xdr:from>
        <xdr:to>
          <xdr:col>5</xdr:col>
          <xdr:colOff>171451</xdr:colOff>
          <xdr:row>212</xdr:row>
          <xdr:rowOff>123826</xdr:rowOff>
        </xdr:to>
        <xdr:grpSp>
          <xdr:nvGrpSpPr>
            <xdr:cNvPr id="1803" name="Group 1802"/>
            <xdr:cNvGrpSpPr/>
          </xdr:nvGrpSpPr>
          <xdr:grpSpPr>
            <a:xfrm>
              <a:off x="3914775" y="52730400"/>
              <a:ext cx="647701" cy="123826"/>
              <a:chOff x="3914775" y="53387625"/>
              <a:chExt cx="647701" cy="123826"/>
            </a:xfrm>
          </xdr:grpSpPr>
          <xdr:sp macro="" textlink="">
            <xdr:nvSpPr>
              <xdr:cNvPr id="1931" name="Check Box 907" hidden="1">
                <a:extLst>
                  <a:ext uri="{63B3BB69-23CF-44E3-9099-C40C66FF867C}">
                    <a14:compatExt spid="_x0000_s1931"/>
                  </a:ext>
                </a:extLst>
              </xdr:cNvPr>
              <xdr:cNvSpPr/>
            </xdr:nvSpPr>
            <xdr:spPr bwMode="auto">
              <a:xfrm>
                <a:off x="3914775" y="534066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32" name="Check Box 908" hidden="1">
                <a:extLst>
                  <a:ext uri="{63B3BB69-23CF-44E3-9099-C40C66FF867C}">
                    <a14:compatExt spid="_x0000_s1932"/>
                  </a:ext>
                </a:extLst>
              </xdr:cNvPr>
              <xdr:cNvSpPr/>
            </xdr:nvSpPr>
            <xdr:spPr bwMode="auto">
              <a:xfrm>
                <a:off x="4143376" y="533971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33" name="Check Box 909" hidden="1">
                <a:extLst>
                  <a:ext uri="{63B3BB69-23CF-44E3-9099-C40C66FF867C}">
                    <a14:compatExt spid="_x0000_s1933"/>
                  </a:ext>
                </a:extLst>
              </xdr:cNvPr>
              <xdr:cNvSpPr/>
            </xdr:nvSpPr>
            <xdr:spPr bwMode="auto">
              <a:xfrm>
                <a:off x="4410076" y="533876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28575</xdr:colOff>
          <xdr:row>220</xdr:row>
          <xdr:rowOff>28575</xdr:rowOff>
        </xdr:from>
        <xdr:to>
          <xdr:col>5</xdr:col>
          <xdr:colOff>161926</xdr:colOff>
          <xdr:row>220</xdr:row>
          <xdr:rowOff>152401</xdr:rowOff>
        </xdr:to>
        <xdr:grpSp>
          <xdr:nvGrpSpPr>
            <xdr:cNvPr id="1804" name="Group 1803"/>
            <xdr:cNvGrpSpPr/>
          </xdr:nvGrpSpPr>
          <xdr:grpSpPr>
            <a:xfrm>
              <a:off x="3905250" y="54492525"/>
              <a:ext cx="647701" cy="123826"/>
              <a:chOff x="3905250" y="55035450"/>
              <a:chExt cx="647701" cy="123826"/>
            </a:xfrm>
          </xdr:grpSpPr>
          <xdr:sp macro="" textlink="">
            <xdr:nvSpPr>
              <xdr:cNvPr id="1934" name="Check Box 910" hidden="1">
                <a:extLst>
                  <a:ext uri="{63B3BB69-23CF-44E3-9099-C40C66FF867C}">
                    <a14:compatExt spid="_x0000_s1934"/>
                  </a:ext>
                </a:extLst>
              </xdr:cNvPr>
              <xdr:cNvSpPr/>
            </xdr:nvSpPr>
            <xdr:spPr bwMode="auto">
              <a:xfrm>
                <a:off x="3905250" y="550545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35" name="Check Box 911" hidden="1">
                <a:extLst>
                  <a:ext uri="{63B3BB69-23CF-44E3-9099-C40C66FF867C}">
                    <a14:compatExt spid="_x0000_s1935"/>
                  </a:ext>
                </a:extLst>
              </xdr:cNvPr>
              <xdr:cNvSpPr/>
            </xdr:nvSpPr>
            <xdr:spPr bwMode="auto">
              <a:xfrm>
                <a:off x="4133851" y="550449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36" name="Check Box 912" hidden="1">
                <a:extLst>
                  <a:ext uri="{63B3BB69-23CF-44E3-9099-C40C66FF867C}">
                    <a14:compatExt spid="_x0000_s1936"/>
                  </a:ext>
                </a:extLst>
              </xdr:cNvPr>
              <xdr:cNvSpPr/>
            </xdr:nvSpPr>
            <xdr:spPr bwMode="auto">
              <a:xfrm>
                <a:off x="4400551" y="550354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222</xdr:row>
          <xdr:rowOff>0</xdr:rowOff>
        </xdr:from>
        <xdr:to>
          <xdr:col>5</xdr:col>
          <xdr:colOff>133351</xdr:colOff>
          <xdr:row>222</xdr:row>
          <xdr:rowOff>123826</xdr:rowOff>
        </xdr:to>
        <xdr:grpSp>
          <xdr:nvGrpSpPr>
            <xdr:cNvPr id="1826" name="Group 1825"/>
            <xdr:cNvGrpSpPr/>
          </xdr:nvGrpSpPr>
          <xdr:grpSpPr>
            <a:xfrm>
              <a:off x="3876675" y="55511700"/>
              <a:ext cx="647701" cy="123826"/>
              <a:chOff x="3876675" y="55635525"/>
              <a:chExt cx="647701" cy="123826"/>
            </a:xfrm>
          </xdr:grpSpPr>
          <xdr:sp macro="" textlink="">
            <xdr:nvSpPr>
              <xdr:cNvPr id="992" name="Check Box 913" hidden="1">
                <a:extLst>
                  <a:ext uri="{63B3BB69-23CF-44E3-9099-C40C66FF867C}">
                    <a14:compatExt spid="_x0000_s1937"/>
                  </a:ext>
                </a:extLst>
              </xdr:cNvPr>
              <xdr:cNvSpPr/>
            </xdr:nvSpPr>
            <xdr:spPr bwMode="auto">
              <a:xfrm>
                <a:off x="3876675" y="556545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993" name="Check Box 914" hidden="1">
                <a:extLst>
                  <a:ext uri="{63B3BB69-23CF-44E3-9099-C40C66FF867C}">
                    <a14:compatExt spid="_x0000_s1938"/>
                  </a:ext>
                </a:extLst>
              </xdr:cNvPr>
              <xdr:cNvSpPr/>
            </xdr:nvSpPr>
            <xdr:spPr bwMode="auto">
              <a:xfrm>
                <a:off x="4105276" y="556450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01" name="Check Box 915" hidden="1">
                <a:extLst>
                  <a:ext uri="{63B3BB69-23CF-44E3-9099-C40C66FF867C}">
                    <a14:compatExt spid="_x0000_s1939"/>
                  </a:ext>
                </a:extLst>
              </xdr:cNvPr>
              <xdr:cNvSpPr/>
            </xdr:nvSpPr>
            <xdr:spPr bwMode="auto">
              <a:xfrm>
                <a:off x="4371976" y="556355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224</xdr:row>
          <xdr:rowOff>0</xdr:rowOff>
        </xdr:from>
        <xdr:to>
          <xdr:col>5</xdr:col>
          <xdr:colOff>133351</xdr:colOff>
          <xdr:row>224</xdr:row>
          <xdr:rowOff>123826</xdr:rowOff>
        </xdr:to>
        <xdr:grpSp>
          <xdr:nvGrpSpPr>
            <xdr:cNvPr id="1840" name="Group 1839"/>
            <xdr:cNvGrpSpPr/>
          </xdr:nvGrpSpPr>
          <xdr:grpSpPr>
            <a:xfrm>
              <a:off x="3876675" y="56245125"/>
              <a:ext cx="647701" cy="123826"/>
              <a:chOff x="3876675" y="56368950"/>
              <a:chExt cx="647701" cy="123826"/>
            </a:xfrm>
          </xdr:grpSpPr>
          <xdr:sp macro="" textlink="">
            <xdr:nvSpPr>
              <xdr:cNvPr id="1002" name="Check Box 919" hidden="1">
                <a:extLst>
                  <a:ext uri="{63B3BB69-23CF-44E3-9099-C40C66FF867C}">
                    <a14:compatExt spid="_x0000_s1943"/>
                  </a:ext>
                </a:extLst>
              </xdr:cNvPr>
              <xdr:cNvSpPr/>
            </xdr:nvSpPr>
            <xdr:spPr bwMode="auto">
              <a:xfrm>
                <a:off x="3876675" y="563880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44" name="Check Box 920" hidden="1">
                <a:extLst>
                  <a:ext uri="{63B3BB69-23CF-44E3-9099-C40C66FF867C}">
                    <a14:compatExt spid="_x0000_s1944"/>
                  </a:ext>
                </a:extLst>
              </xdr:cNvPr>
              <xdr:cNvSpPr/>
            </xdr:nvSpPr>
            <xdr:spPr bwMode="auto">
              <a:xfrm>
                <a:off x="4105276" y="563784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45" name="Check Box 921" hidden="1">
                <a:extLst>
                  <a:ext uri="{63B3BB69-23CF-44E3-9099-C40C66FF867C}">
                    <a14:compatExt spid="_x0000_s1945"/>
                  </a:ext>
                </a:extLst>
              </xdr:cNvPr>
              <xdr:cNvSpPr/>
            </xdr:nvSpPr>
            <xdr:spPr bwMode="auto">
              <a:xfrm>
                <a:off x="4371976" y="563689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226</xdr:row>
          <xdr:rowOff>0</xdr:rowOff>
        </xdr:from>
        <xdr:to>
          <xdr:col>5</xdr:col>
          <xdr:colOff>133351</xdr:colOff>
          <xdr:row>226</xdr:row>
          <xdr:rowOff>123826</xdr:rowOff>
        </xdr:to>
        <xdr:grpSp>
          <xdr:nvGrpSpPr>
            <xdr:cNvPr id="480" name="Group 479"/>
            <xdr:cNvGrpSpPr/>
          </xdr:nvGrpSpPr>
          <xdr:grpSpPr>
            <a:xfrm>
              <a:off x="3876675" y="56692800"/>
              <a:ext cx="647701" cy="123826"/>
              <a:chOff x="3876675" y="56816625"/>
              <a:chExt cx="647701" cy="123826"/>
            </a:xfrm>
          </xdr:grpSpPr>
          <xdr:sp macro="" textlink="">
            <xdr:nvSpPr>
              <xdr:cNvPr id="1946" name="Check Box 922" hidden="1">
                <a:extLst>
                  <a:ext uri="{63B3BB69-23CF-44E3-9099-C40C66FF867C}">
                    <a14:compatExt spid="_x0000_s1946"/>
                  </a:ext>
                </a:extLst>
              </xdr:cNvPr>
              <xdr:cNvSpPr/>
            </xdr:nvSpPr>
            <xdr:spPr bwMode="auto">
              <a:xfrm>
                <a:off x="3876675" y="568356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47" name="Check Box 923" hidden="1">
                <a:extLst>
                  <a:ext uri="{63B3BB69-23CF-44E3-9099-C40C66FF867C}">
                    <a14:compatExt spid="_x0000_s1947"/>
                  </a:ext>
                </a:extLst>
              </xdr:cNvPr>
              <xdr:cNvSpPr/>
            </xdr:nvSpPr>
            <xdr:spPr bwMode="auto">
              <a:xfrm>
                <a:off x="4105276" y="568261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48" name="Check Box 924" hidden="1">
                <a:extLst>
                  <a:ext uri="{63B3BB69-23CF-44E3-9099-C40C66FF867C}">
                    <a14:compatExt spid="_x0000_s1948"/>
                  </a:ext>
                </a:extLst>
              </xdr:cNvPr>
              <xdr:cNvSpPr/>
            </xdr:nvSpPr>
            <xdr:spPr bwMode="auto">
              <a:xfrm>
                <a:off x="4371976" y="568166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228</xdr:row>
          <xdr:rowOff>0</xdr:rowOff>
        </xdr:from>
        <xdr:to>
          <xdr:col>5</xdr:col>
          <xdr:colOff>133351</xdr:colOff>
          <xdr:row>228</xdr:row>
          <xdr:rowOff>123826</xdr:rowOff>
        </xdr:to>
        <xdr:grpSp>
          <xdr:nvGrpSpPr>
            <xdr:cNvPr id="481" name="Group 480"/>
            <xdr:cNvGrpSpPr/>
          </xdr:nvGrpSpPr>
          <xdr:grpSpPr>
            <a:xfrm>
              <a:off x="3876675" y="57140475"/>
              <a:ext cx="647701" cy="123826"/>
              <a:chOff x="3876675" y="57264300"/>
              <a:chExt cx="647701" cy="123826"/>
            </a:xfrm>
          </xdr:grpSpPr>
          <xdr:sp macro="" textlink="">
            <xdr:nvSpPr>
              <xdr:cNvPr id="1952" name="Check Box 928" hidden="1">
                <a:extLst>
                  <a:ext uri="{63B3BB69-23CF-44E3-9099-C40C66FF867C}">
                    <a14:compatExt spid="_x0000_s1952"/>
                  </a:ext>
                </a:extLst>
              </xdr:cNvPr>
              <xdr:cNvSpPr/>
            </xdr:nvSpPr>
            <xdr:spPr bwMode="auto">
              <a:xfrm>
                <a:off x="3876675" y="572833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53" name="Check Box 929" hidden="1">
                <a:extLst>
                  <a:ext uri="{63B3BB69-23CF-44E3-9099-C40C66FF867C}">
                    <a14:compatExt spid="_x0000_s1953"/>
                  </a:ext>
                </a:extLst>
              </xdr:cNvPr>
              <xdr:cNvSpPr/>
            </xdr:nvSpPr>
            <xdr:spPr bwMode="auto">
              <a:xfrm>
                <a:off x="4105276" y="572738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54" name="Check Box 930" hidden="1">
                <a:extLst>
                  <a:ext uri="{63B3BB69-23CF-44E3-9099-C40C66FF867C}">
                    <a14:compatExt spid="_x0000_s1954"/>
                  </a:ext>
                </a:extLst>
              </xdr:cNvPr>
              <xdr:cNvSpPr/>
            </xdr:nvSpPr>
            <xdr:spPr bwMode="auto">
              <a:xfrm>
                <a:off x="4371976" y="572643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231</xdr:row>
          <xdr:rowOff>0</xdr:rowOff>
        </xdr:from>
        <xdr:to>
          <xdr:col>5</xdr:col>
          <xdr:colOff>133351</xdr:colOff>
          <xdr:row>231</xdr:row>
          <xdr:rowOff>123826</xdr:rowOff>
        </xdr:to>
        <xdr:grpSp>
          <xdr:nvGrpSpPr>
            <xdr:cNvPr id="490" name="Group 489"/>
            <xdr:cNvGrpSpPr/>
          </xdr:nvGrpSpPr>
          <xdr:grpSpPr>
            <a:xfrm>
              <a:off x="3876675" y="57750075"/>
              <a:ext cx="647701" cy="123826"/>
              <a:chOff x="3876675" y="57873900"/>
              <a:chExt cx="647701" cy="123826"/>
            </a:xfrm>
          </xdr:grpSpPr>
          <xdr:sp macro="" textlink="">
            <xdr:nvSpPr>
              <xdr:cNvPr id="1958" name="Check Box 934" hidden="1">
                <a:extLst>
                  <a:ext uri="{63B3BB69-23CF-44E3-9099-C40C66FF867C}">
                    <a14:compatExt spid="_x0000_s1958"/>
                  </a:ext>
                </a:extLst>
              </xdr:cNvPr>
              <xdr:cNvSpPr/>
            </xdr:nvSpPr>
            <xdr:spPr bwMode="auto">
              <a:xfrm>
                <a:off x="3876675" y="578929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59" name="Check Box 935" hidden="1">
                <a:extLst>
                  <a:ext uri="{63B3BB69-23CF-44E3-9099-C40C66FF867C}">
                    <a14:compatExt spid="_x0000_s1959"/>
                  </a:ext>
                </a:extLst>
              </xdr:cNvPr>
              <xdr:cNvSpPr/>
            </xdr:nvSpPr>
            <xdr:spPr bwMode="auto">
              <a:xfrm>
                <a:off x="4105276" y="578834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60" name="Check Box 936" hidden="1">
                <a:extLst>
                  <a:ext uri="{63B3BB69-23CF-44E3-9099-C40C66FF867C}">
                    <a14:compatExt spid="_x0000_s1960"/>
                  </a:ext>
                </a:extLst>
              </xdr:cNvPr>
              <xdr:cNvSpPr/>
            </xdr:nvSpPr>
            <xdr:spPr bwMode="auto">
              <a:xfrm>
                <a:off x="4371976" y="578739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239</xdr:row>
          <xdr:rowOff>0</xdr:rowOff>
        </xdr:from>
        <xdr:to>
          <xdr:col>5</xdr:col>
          <xdr:colOff>133351</xdr:colOff>
          <xdr:row>239</xdr:row>
          <xdr:rowOff>123826</xdr:rowOff>
        </xdr:to>
        <xdr:grpSp>
          <xdr:nvGrpSpPr>
            <xdr:cNvPr id="491" name="Group 490"/>
            <xdr:cNvGrpSpPr/>
          </xdr:nvGrpSpPr>
          <xdr:grpSpPr>
            <a:xfrm>
              <a:off x="3876675" y="59874150"/>
              <a:ext cx="647701" cy="123826"/>
              <a:chOff x="3876675" y="59997975"/>
              <a:chExt cx="647701" cy="123826"/>
            </a:xfrm>
          </xdr:grpSpPr>
          <xdr:sp macro="" textlink="">
            <xdr:nvSpPr>
              <xdr:cNvPr id="1964" name="Check Box 940" hidden="1">
                <a:extLst>
                  <a:ext uri="{63B3BB69-23CF-44E3-9099-C40C66FF867C}">
                    <a14:compatExt spid="_x0000_s1964"/>
                  </a:ext>
                </a:extLst>
              </xdr:cNvPr>
              <xdr:cNvSpPr/>
            </xdr:nvSpPr>
            <xdr:spPr bwMode="auto">
              <a:xfrm>
                <a:off x="3876675" y="600170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65" name="Check Box 941" hidden="1">
                <a:extLst>
                  <a:ext uri="{63B3BB69-23CF-44E3-9099-C40C66FF867C}">
                    <a14:compatExt spid="_x0000_s1965"/>
                  </a:ext>
                </a:extLst>
              </xdr:cNvPr>
              <xdr:cNvSpPr/>
            </xdr:nvSpPr>
            <xdr:spPr bwMode="auto">
              <a:xfrm>
                <a:off x="4105276" y="600075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66" name="Check Box 942" hidden="1">
                <a:extLst>
                  <a:ext uri="{63B3BB69-23CF-44E3-9099-C40C66FF867C}">
                    <a14:compatExt spid="_x0000_s1966"/>
                  </a:ext>
                </a:extLst>
              </xdr:cNvPr>
              <xdr:cNvSpPr/>
            </xdr:nvSpPr>
            <xdr:spPr bwMode="auto">
              <a:xfrm>
                <a:off x="4371976" y="599979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241</xdr:row>
          <xdr:rowOff>0</xdr:rowOff>
        </xdr:from>
        <xdr:to>
          <xdr:col>5</xdr:col>
          <xdr:colOff>133351</xdr:colOff>
          <xdr:row>241</xdr:row>
          <xdr:rowOff>123826</xdr:rowOff>
        </xdr:to>
        <xdr:grpSp>
          <xdr:nvGrpSpPr>
            <xdr:cNvPr id="492" name="Group 491"/>
            <xdr:cNvGrpSpPr/>
          </xdr:nvGrpSpPr>
          <xdr:grpSpPr>
            <a:xfrm>
              <a:off x="3876675" y="60464700"/>
              <a:ext cx="647701" cy="123826"/>
              <a:chOff x="3876675" y="60588525"/>
              <a:chExt cx="647701" cy="123826"/>
            </a:xfrm>
          </xdr:grpSpPr>
          <xdr:sp macro="" textlink="">
            <xdr:nvSpPr>
              <xdr:cNvPr id="1967" name="Check Box 943" hidden="1">
                <a:extLst>
                  <a:ext uri="{63B3BB69-23CF-44E3-9099-C40C66FF867C}">
                    <a14:compatExt spid="_x0000_s1967"/>
                  </a:ext>
                </a:extLst>
              </xdr:cNvPr>
              <xdr:cNvSpPr/>
            </xdr:nvSpPr>
            <xdr:spPr bwMode="auto">
              <a:xfrm>
                <a:off x="3876675" y="606075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68" name="Check Box 944" hidden="1">
                <a:extLst>
                  <a:ext uri="{63B3BB69-23CF-44E3-9099-C40C66FF867C}">
                    <a14:compatExt spid="_x0000_s1968"/>
                  </a:ext>
                </a:extLst>
              </xdr:cNvPr>
              <xdr:cNvSpPr/>
            </xdr:nvSpPr>
            <xdr:spPr bwMode="auto">
              <a:xfrm>
                <a:off x="4105276" y="605980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69" name="Check Box 945" hidden="1">
                <a:extLst>
                  <a:ext uri="{63B3BB69-23CF-44E3-9099-C40C66FF867C}">
                    <a14:compatExt spid="_x0000_s1969"/>
                  </a:ext>
                </a:extLst>
              </xdr:cNvPr>
              <xdr:cNvSpPr/>
            </xdr:nvSpPr>
            <xdr:spPr bwMode="auto">
              <a:xfrm>
                <a:off x="4371976" y="605885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247</xdr:row>
          <xdr:rowOff>0</xdr:rowOff>
        </xdr:from>
        <xdr:to>
          <xdr:col>5</xdr:col>
          <xdr:colOff>133351</xdr:colOff>
          <xdr:row>247</xdr:row>
          <xdr:rowOff>123826</xdr:rowOff>
        </xdr:to>
        <xdr:grpSp>
          <xdr:nvGrpSpPr>
            <xdr:cNvPr id="493" name="Group 492"/>
            <xdr:cNvGrpSpPr/>
          </xdr:nvGrpSpPr>
          <xdr:grpSpPr>
            <a:xfrm>
              <a:off x="3876675" y="61607700"/>
              <a:ext cx="647701" cy="123826"/>
              <a:chOff x="3876675" y="61731525"/>
              <a:chExt cx="647701" cy="123826"/>
            </a:xfrm>
          </xdr:grpSpPr>
          <xdr:sp macro="" textlink="">
            <xdr:nvSpPr>
              <xdr:cNvPr id="1970" name="Check Box 946" hidden="1">
                <a:extLst>
                  <a:ext uri="{63B3BB69-23CF-44E3-9099-C40C66FF867C}">
                    <a14:compatExt spid="_x0000_s1970"/>
                  </a:ext>
                </a:extLst>
              </xdr:cNvPr>
              <xdr:cNvSpPr/>
            </xdr:nvSpPr>
            <xdr:spPr bwMode="auto">
              <a:xfrm>
                <a:off x="3876675" y="617505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71" name="Check Box 947" hidden="1">
                <a:extLst>
                  <a:ext uri="{63B3BB69-23CF-44E3-9099-C40C66FF867C}">
                    <a14:compatExt spid="_x0000_s1971"/>
                  </a:ext>
                </a:extLst>
              </xdr:cNvPr>
              <xdr:cNvSpPr/>
            </xdr:nvSpPr>
            <xdr:spPr bwMode="auto">
              <a:xfrm>
                <a:off x="4105276" y="617410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72" name="Check Box 948" hidden="1">
                <a:extLst>
                  <a:ext uri="{63B3BB69-23CF-44E3-9099-C40C66FF867C}">
                    <a14:compatExt spid="_x0000_s1972"/>
                  </a:ext>
                </a:extLst>
              </xdr:cNvPr>
              <xdr:cNvSpPr/>
            </xdr:nvSpPr>
            <xdr:spPr bwMode="auto">
              <a:xfrm>
                <a:off x="4371976" y="617315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251</xdr:row>
          <xdr:rowOff>0</xdr:rowOff>
        </xdr:from>
        <xdr:to>
          <xdr:col>5</xdr:col>
          <xdr:colOff>133351</xdr:colOff>
          <xdr:row>251</xdr:row>
          <xdr:rowOff>123826</xdr:rowOff>
        </xdr:to>
        <xdr:grpSp>
          <xdr:nvGrpSpPr>
            <xdr:cNvPr id="494" name="Group 493"/>
            <xdr:cNvGrpSpPr/>
          </xdr:nvGrpSpPr>
          <xdr:grpSpPr>
            <a:xfrm>
              <a:off x="3876675" y="62255400"/>
              <a:ext cx="647701" cy="123826"/>
              <a:chOff x="3876675" y="62379225"/>
              <a:chExt cx="647701" cy="123826"/>
            </a:xfrm>
          </xdr:grpSpPr>
          <xdr:sp macro="" textlink="">
            <xdr:nvSpPr>
              <xdr:cNvPr id="1973" name="Check Box 949" hidden="1">
                <a:extLst>
                  <a:ext uri="{63B3BB69-23CF-44E3-9099-C40C66FF867C}">
                    <a14:compatExt spid="_x0000_s1973"/>
                  </a:ext>
                </a:extLst>
              </xdr:cNvPr>
              <xdr:cNvSpPr/>
            </xdr:nvSpPr>
            <xdr:spPr bwMode="auto">
              <a:xfrm>
                <a:off x="3876675" y="623982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74" name="Check Box 950" hidden="1">
                <a:extLst>
                  <a:ext uri="{63B3BB69-23CF-44E3-9099-C40C66FF867C}">
                    <a14:compatExt spid="_x0000_s1974"/>
                  </a:ext>
                </a:extLst>
              </xdr:cNvPr>
              <xdr:cNvSpPr/>
            </xdr:nvSpPr>
            <xdr:spPr bwMode="auto">
              <a:xfrm>
                <a:off x="4105276" y="623887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75" name="Check Box 951" hidden="1">
                <a:extLst>
                  <a:ext uri="{63B3BB69-23CF-44E3-9099-C40C66FF867C}">
                    <a14:compatExt spid="_x0000_s1975"/>
                  </a:ext>
                </a:extLst>
              </xdr:cNvPr>
              <xdr:cNvSpPr/>
            </xdr:nvSpPr>
            <xdr:spPr bwMode="auto">
              <a:xfrm>
                <a:off x="4371976" y="623792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255</xdr:row>
          <xdr:rowOff>0</xdr:rowOff>
        </xdr:from>
        <xdr:to>
          <xdr:col>5</xdr:col>
          <xdr:colOff>133351</xdr:colOff>
          <xdr:row>255</xdr:row>
          <xdr:rowOff>123826</xdr:rowOff>
        </xdr:to>
        <xdr:grpSp>
          <xdr:nvGrpSpPr>
            <xdr:cNvPr id="495" name="Group 494"/>
            <xdr:cNvGrpSpPr/>
          </xdr:nvGrpSpPr>
          <xdr:grpSpPr>
            <a:xfrm>
              <a:off x="3876675" y="62903100"/>
              <a:ext cx="647701" cy="123826"/>
              <a:chOff x="3876675" y="63026925"/>
              <a:chExt cx="647701" cy="123826"/>
            </a:xfrm>
          </xdr:grpSpPr>
          <xdr:sp macro="" textlink="">
            <xdr:nvSpPr>
              <xdr:cNvPr id="1976" name="Check Box 952" hidden="1">
                <a:extLst>
                  <a:ext uri="{63B3BB69-23CF-44E3-9099-C40C66FF867C}">
                    <a14:compatExt spid="_x0000_s1976"/>
                  </a:ext>
                </a:extLst>
              </xdr:cNvPr>
              <xdr:cNvSpPr/>
            </xdr:nvSpPr>
            <xdr:spPr bwMode="auto">
              <a:xfrm>
                <a:off x="3876675" y="630459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77" name="Check Box 953" hidden="1">
                <a:extLst>
                  <a:ext uri="{63B3BB69-23CF-44E3-9099-C40C66FF867C}">
                    <a14:compatExt spid="_x0000_s1977"/>
                  </a:ext>
                </a:extLst>
              </xdr:cNvPr>
              <xdr:cNvSpPr/>
            </xdr:nvSpPr>
            <xdr:spPr bwMode="auto">
              <a:xfrm>
                <a:off x="4105276" y="630364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78" name="Check Box 954" hidden="1">
                <a:extLst>
                  <a:ext uri="{63B3BB69-23CF-44E3-9099-C40C66FF867C}">
                    <a14:compatExt spid="_x0000_s1978"/>
                  </a:ext>
                </a:extLst>
              </xdr:cNvPr>
              <xdr:cNvSpPr/>
            </xdr:nvSpPr>
            <xdr:spPr bwMode="auto">
              <a:xfrm>
                <a:off x="4371976" y="630269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260</xdr:row>
          <xdr:rowOff>0</xdr:rowOff>
        </xdr:from>
        <xdr:to>
          <xdr:col>5</xdr:col>
          <xdr:colOff>133351</xdr:colOff>
          <xdr:row>260</xdr:row>
          <xdr:rowOff>123826</xdr:rowOff>
        </xdr:to>
        <xdr:grpSp>
          <xdr:nvGrpSpPr>
            <xdr:cNvPr id="496" name="Group 495"/>
            <xdr:cNvGrpSpPr/>
          </xdr:nvGrpSpPr>
          <xdr:grpSpPr>
            <a:xfrm>
              <a:off x="3876675" y="63712725"/>
              <a:ext cx="647701" cy="123826"/>
              <a:chOff x="3876675" y="63836550"/>
              <a:chExt cx="647701" cy="123826"/>
            </a:xfrm>
          </xdr:grpSpPr>
          <xdr:sp macro="" textlink="">
            <xdr:nvSpPr>
              <xdr:cNvPr id="1979" name="Check Box 955" hidden="1">
                <a:extLst>
                  <a:ext uri="{63B3BB69-23CF-44E3-9099-C40C66FF867C}">
                    <a14:compatExt spid="_x0000_s1979"/>
                  </a:ext>
                </a:extLst>
              </xdr:cNvPr>
              <xdr:cNvSpPr/>
            </xdr:nvSpPr>
            <xdr:spPr bwMode="auto">
              <a:xfrm>
                <a:off x="3876675" y="638556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80" name="Check Box 956" hidden="1">
                <a:extLst>
                  <a:ext uri="{63B3BB69-23CF-44E3-9099-C40C66FF867C}">
                    <a14:compatExt spid="_x0000_s1980"/>
                  </a:ext>
                </a:extLst>
              </xdr:cNvPr>
              <xdr:cNvSpPr/>
            </xdr:nvSpPr>
            <xdr:spPr bwMode="auto">
              <a:xfrm>
                <a:off x="4105276" y="638460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81" name="Check Box 957" hidden="1">
                <a:extLst>
                  <a:ext uri="{63B3BB69-23CF-44E3-9099-C40C66FF867C}">
                    <a14:compatExt spid="_x0000_s1981"/>
                  </a:ext>
                </a:extLst>
              </xdr:cNvPr>
              <xdr:cNvSpPr/>
            </xdr:nvSpPr>
            <xdr:spPr bwMode="auto">
              <a:xfrm>
                <a:off x="4371976" y="638365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264</xdr:row>
          <xdr:rowOff>0</xdr:rowOff>
        </xdr:from>
        <xdr:to>
          <xdr:col>5</xdr:col>
          <xdr:colOff>133351</xdr:colOff>
          <xdr:row>264</xdr:row>
          <xdr:rowOff>123826</xdr:rowOff>
        </xdr:to>
        <xdr:grpSp>
          <xdr:nvGrpSpPr>
            <xdr:cNvPr id="499" name="Group 498"/>
            <xdr:cNvGrpSpPr/>
          </xdr:nvGrpSpPr>
          <xdr:grpSpPr>
            <a:xfrm>
              <a:off x="3876675" y="64360425"/>
              <a:ext cx="647701" cy="123826"/>
              <a:chOff x="3876675" y="64484250"/>
              <a:chExt cx="647701" cy="123826"/>
            </a:xfrm>
          </xdr:grpSpPr>
          <xdr:sp macro="" textlink="">
            <xdr:nvSpPr>
              <xdr:cNvPr id="1982" name="Check Box 958" hidden="1">
                <a:extLst>
                  <a:ext uri="{63B3BB69-23CF-44E3-9099-C40C66FF867C}">
                    <a14:compatExt spid="_x0000_s1982"/>
                  </a:ext>
                </a:extLst>
              </xdr:cNvPr>
              <xdr:cNvSpPr/>
            </xdr:nvSpPr>
            <xdr:spPr bwMode="auto">
              <a:xfrm>
                <a:off x="3876675" y="645033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83" name="Check Box 959" hidden="1">
                <a:extLst>
                  <a:ext uri="{63B3BB69-23CF-44E3-9099-C40C66FF867C}">
                    <a14:compatExt spid="_x0000_s1983"/>
                  </a:ext>
                </a:extLst>
              </xdr:cNvPr>
              <xdr:cNvSpPr/>
            </xdr:nvSpPr>
            <xdr:spPr bwMode="auto">
              <a:xfrm>
                <a:off x="4105276" y="644937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84" name="Check Box 960" hidden="1">
                <a:extLst>
                  <a:ext uri="{63B3BB69-23CF-44E3-9099-C40C66FF867C}">
                    <a14:compatExt spid="_x0000_s1984"/>
                  </a:ext>
                </a:extLst>
              </xdr:cNvPr>
              <xdr:cNvSpPr/>
            </xdr:nvSpPr>
            <xdr:spPr bwMode="auto">
              <a:xfrm>
                <a:off x="4371976" y="644842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274</xdr:row>
          <xdr:rowOff>0</xdr:rowOff>
        </xdr:from>
        <xdr:to>
          <xdr:col>5</xdr:col>
          <xdr:colOff>161926</xdr:colOff>
          <xdr:row>274</xdr:row>
          <xdr:rowOff>123826</xdr:rowOff>
        </xdr:to>
        <xdr:grpSp>
          <xdr:nvGrpSpPr>
            <xdr:cNvPr id="497" name="Group 496"/>
            <xdr:cNvGrpSpPr/>
          </xdr:nvGrpSpPr>
          <xdr:grpSpPr>
            <a:xfrm>
              <a:off x="3905250" y="65979675"/>
              <a:ext cx="647701" cy="123826"/>
              <a:chOff x="3933825" y="66103500"/>
              <a:chExt cx="647701" cy="123826"/>
            </a:xfrm>
          </xdr:grpSpPr>
          <xdr:sp macro="" textlink="">
            <xdr:nvSpPr>
              <xdr:cNvPr id="1988" name="Check Box 964" hidden="1">
                <a:extLst>
                  <a:ext uri="{63B3BB69-23CF-44E3-9099-C40C66FF867C}">
                    <a14:compatExt spid="_x0000_s1988"/>
                  </a:ext>
                </a:extLst>
              </xdr:cNvPr>
              <xdr:cNvSpPr/>
            </xdr:nvSpPr>
            <xdr:spPr bwMode="auto">
              <a:xfrm>
                <a:off x="3933825" y="661225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89" name="Check Box 965" hidden="1">
                <a:extLst>
                  <a:ext uri="{63B3BB69-23CF-44E3-9099-C40C66FF867C}">
                    <a14:compatExt spid="_x0000_s1989"/>
                  </a:ext>
                </a:extLst>
              </xdr:cNvPr>
              <xdr:cNvSpPr/>
            </xdr:nvSpPr>
            <xdr:spPr bwMode="auto">
              <a:xfrm>
                <a:off x="4162426" y="661130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90" name="Check Box 966" hidden="1">
                <a:extLst>
                  <a:ext uri="{63B3BB69-23CF-44E3-9099-C40C66FF867C}">
                    <a14:compatExt spid="_x0000_s1990"/>
                  </a:ext>
                </a:extLst>
              </xdr:cNvPr>
              <xdr:cNvSpPr/>
            </xdr:nvSpPr>
            <xdr:spPr bwMode="auto">
              <a:xfrm>
                <a:off x="4429126" y="661035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277</xdr:row>
          <xdr:rowOff>0</xdr:rowOff>
        </xdr:from>
        <xdr:to>
          <xdr:col>5</xdr:col>
          <xdr:colOff>133351</xdr:colOff>
          <xdr:row>277</xdr:row>
          <xdr:rowOff>123826</xdr:rowOff>
        </xdr:to>
        <xdr:grpSp>
          <xdr:nvGrpSpPr>
            <xdr:cNvPr id="507" name="Group 506"/>
            <xdr:cNvGrpSpPr/>
          </xdr:nvGrpSpPr>
          <xdr:grpSpPr>
            <a:xfrm>
              <a:off x="3876675" y="66465450"/>
              <a:ext cx="647701" cy="123826"/>
              <a:chOff x="3876675" y="66589275"/>
              <a:chExt cx="647701" cy="123826"/>
            </a:xfrm>
          </xdr:grpSpPr>
          <xdr:sp macro="" textlink="">
            <xdr:nvSpPr>
              <xdr:cNvPr id="1991" name="Check Box 967" hidden="1">
                <a:extLst>
                  <a:ext uri="{63B3BB69-23CF-44E3-9099-C40C66FF867C}">
                    <a14:compatExt spid="_x0000_s1991"/>
                  </a:ext>
                </a:extLst>
              </xdr:cNvPr>
              <xdr:cNvSpPr/>
            </xdr:nvSpPr>
            <xdr:spPr bwMode="auto">
              <a:xfrm>
                <a:off x="3876675" y="666083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92" name="Check Box 968" hidden="1">
                <a:extLst>
                  <a:ext uri="{63B3BB69-23CF-44E3-9099-C40C66FF867C}">
                    <a14:compatExt spid="_x0000_s1992"/>
                  </a:ext>
                </a:extLst>
              </xdr:cNvPr>
              <xdr:cNvSpPr/>
            </xdr:nvSpPr>
            <xdr:spPr bwMode="auto">
              <a:xfrm>
                <a:off x="4105276" y="665988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93" name="Check Box 969" hidden="1">
                <a:extLst>
                  <a:ext uri="{63B3BB69-23CF-44E3-9099-C40C66FF867C}">
                    <a14:compatExt spid="_x0000_s1993"/>
                  </a:ext>
                </a:extLst>
              </xdr:cNvPr>
              <xdr:cNvSpPr/>
            </xdr:nvSpPr>
            <xdr:spPr bwMode="auto">
              <a:xfrm>
                <a:off x="4371976" y="665892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279</xdr:row>
          <xdr:rowOff>0</xdr:rowOff>
        </xdr:from>
        <xdr:to>
          <xdr:col>5</xdr:col>
          <xdr:colOff>133351</xdr:colOff>
          <xdr:row>279</xdr:row>
          <xdr:rowOff>123826</xdr:rowOff>
        </xdr:to>
        <xdr:grpSp>
          <xdr:nvGrpSpPr>
            <xdr:cNvPr id="508" name="Group 507"/>
            <xdr:cNvGrpSpPr/>
          </xdr:nvGrpSpPr>
          <xdr:grpSpPr>
            <a:xfrm>
              <a:off x="3876675" y="66789300"/>
              <a:ext cx="647701" cy="123826"/>
              <a:chOff x="3876675" y="66913125"/>
              <a:chExt cx="647701" cy="123826"/>
            </a:xfrm>
          </xdr:grpSpPr>
          <xdr:sp macro="" textlink="">
            <xdr:nvSpPr>
              <xdr:cNvPr id="1994" name="Check Box 970" hidden="1">
                <a:extLst>
                  <a:ext uri="{63B3BB69-23CF-44E3-9099-C40C66FF867C}">
                    <a14:compatExt spid="_x0000_s1994"/>
                  </a:ext>
                </a:extLst>
              </xdr:cNvPr>
              <xdr:cNvSpPr/>
            </xdr:nvSpPr>
            <xdr:spPr bwMode="auto">
              <a:xfrm>
                <a:off x="3876675" y="669321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95" name="Check Box 971" hidden="1">
                <a:extLst>
                  <a:ext uri="{63B3BB69-23CF-44E3-9099-C40C66FF867C}">
                    <a14:compatExt spid="_x0000_s1995"/>
                  </a:ext>
                </a:extLst>
              </xdr:cNvPr>
              <xdr:cNvSpPr/>
            </xdr:nvSpPr>
            <xdr:spPr bwMode="auto">
              <a:xfrm>
                <a:off x="4105276" y="669226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96" name="Check Box 972" hidden="1">
                <a:extLst>
                  <a:ext uri="{63B3BB69-23CF-44E3-9099-C40C66FF867C}">
                    <a14:compatExt spid="_x0000_s1996"/>
                  </a:ext>
                </a:extLst>
              </xdr:cNvPr>
              <xdr:cNvSpPr/>
            </xdr:nvSpPr>
            <xdr:spPr bwMode="auto">
              <a:xfrm>
                <a:off x="4371976" y="669131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296</xdr:row>
          <xdr:rowOff>0</xdr:rowOff>
        </xdr:from>
        <xdr:to>
          <xdr:col>5</xdr:col>
          <xdr:colOff>133351</xdr:colOff>
          <xdr:row>296</xdr:row>
          <xdr:rowOff>123826</xdr:rowOff>
        </xdr:to>
        <xdr:grpSp>
          <xdr:nvGrpSpPr>
            <xdr:cNvPr id="509" name="Group 508"/>
            <xdr:cNvGrpSpPr/>
          </xdr:nvGrpSpPr>
          <xdr:grpSpPr>
            <a:xfrm>
              <a:off x="3876675" y="69656325"/>
              <a:ext cx="647701" cy="123826"/>
              <a:chOff x="3876675" y="69780150"/>
              <a:chExt cx="647701" cy="123826"/>
            </a:xfrm>
          </xdr:grpSpPr>
          <xdr:sp macro="" textlink="">
            <xdr:nvSpPr>
              <xdr:cNvPr id="1997" name="Check Box 973" hidden="1">
                <a:extLst>
                  <a:ext uri="{63B3BB69-23CF-44E3-9099-C40C66FF867C}">
                    <a14:compatExt spid="_x0000_s1997"/>
                  </a:ext>
                </a:extLst>
              </xdr:cNvPr>
              <xdr:cNvSpPr/>
            </xdr:nvSpPr>
            <xdr:spPr bwMode="auto">
              <a:xfrm>
                <a:off x="3876675" y="697992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98" name="Check Box 974" hidden="1">
                <a:extLst>
                  <a:ext uri="{63B3BB69-23CF-44E3-9099-C40C66FF867C}">
                    <a14:compatExt spid="_x0000_s1998"/>
                  </a:ext>
                </a:extLst>
              </xdr:cNvPr>
              <xdr:cNvSpPr/>
            </xdr:nvSpPr>
            <xdr:spPr bwMode="auto">
              <a:xfrm>
                <a:off x="4105276" y="697896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999" name="Check Box 975" hidden="1">
                <a:extLst>
                  <a:ext uri="{63B3BB69-23CF-44E3-9099-C40C66FF867C}">
                    <a14:compatExt spid="_x0000_s1999"/>
                  </a:ext>
                </a:extLst>
              </xdr:cNvPr>
              <xdr:cNvSpPr/>
            </xdr:nvSpPr>
            <xdr:spPr bwMode="auto">
              <a:xfrm>
                <a:off x="4371976" y="697801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296</xdr:row>
          <xdr:rowOff>476250</xdr:rowOff>
        </xdr:from>
        <xdr:to>
          <xdr:col>5</xdr:col>
          <xdr:colOff>142876</xdr:colOff>
          <xdr:row>297</xdr:row>
          <xdr:rowOff>114301</xdr:rowOff>
        </xdr:to>
        <xdr:grpSp>
          <xdr:nvGrpSpPr>
            <xdr:cNvPr id="510" name="Group 509"/>
            <xdr:cNvGrpSpPr/>
          </xdr:nvGrpSpPr>
          <xdr:grpSpPr>
            <a:xfrm>
              <a:off x="3886200" y="70132575"/>
              <a:ext cx="647701" cy="123826"/>
              <a:chOff x="3886200" y="70256400"/>
              <a:chExt cx="647701" cy="123826"/>
            </a:xfrm>
          </xdr:grpSpPr>
          <xdr:sp macro="" textlink="">
            <xdr:nvSpPr>
              <xdr:cNvPr id="2000" name="Check Box 976" hidden="1">
                <a:extLst>
                  <a:ext uri="{63B3BB69-23CF-44E3-9099-C40C66FF867C}">
                    <a14:compatExt spid="_x0000_s2000"/>
                  </a:ext>
                </a:extLst>
              </xdr:cNvPr>
              <xdr:cNvSpPr/>
            </xdr:nvSpPr>
            <xdr:spPr bwMode="auto">
              <a:xfrm>
                <a:off x="3886200" y="702754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01" name="Check Box 977" hidden="1">
                <a:extLst>
                  <a:ext uri="{63B3BB69-23CF-44E3-9099-C40C66FF867C}">
                    <a14:compatExt spid="_x0000_s2001"/>
                  </a:ext>
                </a:extLst>
              </xdr:cNvPr>
              <xdr:cNvSpPr/>
            </xdr:nvSpPr>
            <xdr:spPr bwMode="auto">
              <a:xfrm>
                <a:off x="4114801" y="702659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02" name="Check Box 978" hidden="1">
                <a:extLst>
                  <a:ext uri="{63B3BB69-23CF-44E3-9099-C40C66FF867C}">
                    <a14:compatExt spid="_x0000_s2002"/>
                  </a:ext>
                </a:extLst>
              </xdr:cNvPr>
              <xdr:cNvSpPr/>
            </xdr:nvSpPr>
            <xdr:spPr bwMode="auto">
              <a:xfrm>
                <a:off x="4381501" y="702564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298</xdr:row>
          <xdr:rowOff>0</xdr:rowOff>
        </xdr:from>
        <xdr:to>
          <xdr:col>5</xdr:col>
          <xdr:colOff>133351</xdr:colOff>
          <xdr:row>298</xdr:row>
          <xdr:rowOff>123826</xdr:rowOff>
        </xdr:to>
        <xdr:grpSp>
          <xdr:nvGrpSpPr>
            <xdr:cNvPr id="511" name="Group 510"/>
            <xdr:cNvGrpSpPr/>
          </xdr:nvGrpSpPr>
          <xdr:grpSpPr>
            <a:xfrm>
              <a:off x="3876675" y="70304025"/>
              <a:ext cx="647701" cy="123826"/>
              <a:chOff x="3876675" y="70427850"/>
              <a:chExt cx="647701" cy="123826"/>
            </a:xfrm>
          </xdr:grpSpPr>
          <xdr:sp macro="" textlink="">
            <xdr:nvSpPr>
              <xdr:cNvPr id="2003" name="Check Box 979" hidden="1">
                <a:extLst>
                  <a:ext uri="{63B3BB69-23CF-44E3-9099-C40C66FF867C}">
                    <a14:compatExt spid="_x0000_s2003"/>
                  </a:ext>
                </a:extLst>
              </xdr:cNvPr>
              <xdr:cNvSpPr/>
            </xdr:nvSpPr>
            <xdr:spPr bwMode="auto">
              <a:xfrm>
                <a:off x="3876675" y="704469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04" name="Check Box 980" hidden="1">
                <a:extLst>
                  <a:ext uri="{63B3BB69-23CF-44E3-9099-C40C66FF867C}">
                    <a14:compatExt spid="_x0000_s2004"/>
                  </a:ext>
                </a:extLst>
              </xdr:cNvPr>
              <xdr:cNvSpPr/>
            </xdr:nvSpPr>
            <xdr:spPr bwMode="auto">
              <a:xfrm>
                <a:off x="4105276" y="704373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05" name="Check Box 981" hidden="1">
                <a:extLst>
                  <a:ext uri="{63B3BB69-23CF-44E3-9099-C40C66FF867C}">
                    <a14:compatExt spid="_x0000_s2005"/>
                  </a:ext>
                </a:extLst>
              </xdr:cNvPr>
              <xdr:cNvSpPr/>
            </xdr:nvSpPr>
            <xdr:spPr bwMode="auto">
              <a:xfrm>
                <a:off x="4371976" y="704278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299</xdr:row>
          <xdr:rowOff>0</xdr:rowOff>
        </xdr:from>
        <xdr:to>
          <xdr:col>5</xdr:col>
          <xdr:colOff>133351</xdr:colOff>
          <xdr:row>299</xdr:row>
          <xdr:rowOff>123826</xdr:rowOff>
        </xdr:to>
        <xdr:grpSp>
          <xdr:nvGrpSpPr>
            <xdr:cNvPr id="1877" name="Group 1876"/>
            <xdr:cNvGrpSpPr/>
          </xdr:nvGrpSpPr>
          <xdr:grpSpPr>
            <a:xfrm>
              <a:off x="3876675" y="70627875"/>
              <a:ext cx="647701" cy="123826"/>
              <a:chOff x="3876675" y="70751700"/>
              <a:chExt cx="647701" cy="123826"/>
            </a:xfrm>
          </xdr:grpSpPr>
          <xdr:sp macro="" textlink="">
            <xdr:nvSpPr>
              <xdr:cNvPr id="2006" name="Check Box 982" hidden="1">
                <a:extLst>
                  <a:ext uri="{63B3BB69-23CF-44E3-9099-C40C66FF867C}">
                    <a14:compatExt spid="_x0000_s2006"/>
                  </a:ext>
                </a:extLst>
              </xdr:cNvPr>
              <xdr:cNvSpPr/>
            </xdr:nvSpPr>
            <xdr:spPr bwMode="auto">
              <a:xfrm>
                <a:off x="3876675" y="707707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07" name="Check Box 983" hidden="1">
                <a:extLst>
                  <a:ext uri="{63B3BB69-23CF-44E3-9099-C40C66FF867C}">
                    <a14:compatExt spid="_x0000_s2007"/>
                  </a:ext>
                </a:extLst>
              </xdr:cNvPr>
              <xdr:cNvSpPr/>
            </xdr:nvSpPr>
            <xdr:spPr bwMode="auto">
              <a:xfrm>
                <a:off x="4105276" y="707612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08" name="Check Box 984" hidden="1">
                <a:extLst>
                  <a:ext uri="{63B3BB69-23CF-44E3-9099-C40C66FF867C}">
                    <a14:compatExt spid="_x0000_s2008"/>
                  </a:ext>
                </a:extLst>
              </xdr:cNvPr>
              <xdr:cNvSpPr/>
            </xdr:nvSpPr>
            <xdr:spPr bwMode="auto">
              <a:xfrm>
                <a:off x="4371976" y="707517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300</xdr:row>
          <xdr:rowOff>0</xdr:rowOff>
        </xdr:from>
        <xdr:to>
          <xdr:col>5</xdr:col>
          <xdr:colOff>133351</xdr:colOff>
          <xdr:row>300</xdr:row>
          <xdr:rowOff>123826</xdr:rowOff>
        </xdr:to>
        <xdr:grpSp>
          <xdr:nvGrpSpPr>
            <xdr:cNvPr id="1878" name="Group 1877"/>
            <xdr:cNvGrpSpPr/>
          </xdr:nvGrpSpPr>
          <xdr:grpSpPr>
            <a:xfrm>
              <a:off x="3876675" y="70789800"/>
              <a:ext cx="647701" cy="123826"/>
              <a:chOff x="3876675" y="70913625"/>
              <a:chExt cx="647701" cy="123826"/>
            </a:xfrm>
          </xdr:grpSpPr>
          <xdr:sp macro="" textlink="">
            <xdr:nvSpPr>
              <xdr:cNvPr id="2009" name="Check Box 985" hidden="1">
                <a:extLst>
                  <a:ext uri="{63B3BB69-23CF-44E3-9099-C40C66FF867C}">
                    <a14:compatExt spid="_x0000_s2009"/>
                  </a:ext>
                </a:extLst>
              </xdr:cNvPr>
              <xdr:cNvSpPr/>
            </xdr:nvSpPr>
            <xdr:spPr bwMode="auto">
              <a:xfrm>
                <a:off x="3876675" y="709326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10" name="Check Box 986" hidden="1">
                <a:extLst>
                  <a:ext uri="{63B3BB69-23CF-44E3-9099-C40C66FF867C}">
                    <a14:compatExt spid="_x0000_s2010"/>
                  </a:ext>
                </a:extLst>
              </xdr:cNvPr>
              <xdr:cNvSpPr/>
            </xdr:nvSpPr>
            <xdr:spPr bwMode="auto">
              <a:xfrm>
                <a:off x="4105276" y="709231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11" name="Check Box 987" hidden="1">
                <a:extLst>
                  <a:ext uri="{63B3BB69-23CF-44E3-9099-C40C66FF867C}">
                    <a14:compatExt spid="_x0000_s2011"/>
                  </a:ext>
                </a:extLst>
              </xdr:cNvPr>
              <xdr:cNvSpPr/>
            </xdr:nvSpPr>
            <xdr:spPr bwMode="auto">
              <a:xfrm>
                <a:off x="4371976" y="709136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301</xdr:row>
          <xdr:rowOff>0</xdr:rowOff>
        </xdr:from>
        <xdr:to>
          <xdr:col>5</xdr:col>
          <xdr:colOff>133351</xdr:colOff>
          <xdr:row>301</xdr:row>
          <xdr:rowOff>123826</xdr:rowOff>
        </xdr:to>
        <xdr:grpSp>
          <xdr:nvGrpSpPr>
            <xdr:cNvPr id="1879" name="Group 1878"/>
            <xdr:cNvGrpSpPr/>
          </xdr:nvGrpSpPr>
          <xdr:grpSpPr>
            <a:xfrm>
              <a:off x="3876675" y="71113650"/>
              <a:ext cx="647701" cy="123826"/>
              <a:chOff x="3876675" y="71237475"/>
              <a:chExt cx="647701" cy="123826"/>
            </a:xfrm>
          </xdr:grpSpPr>
          <xdr:sp macro="" textlink="">
            <xdr:nvSpPr>
              <xdr:cNvPr id="2015" name="Check Box 991" hidden="1">
                <a:extLst>
                  <a:ext uri="{63B3BB69-23CF-44E3-9099-C40C66FF867C}">
                    <a14:compatExt spid="_x0000_s2015"/>
                  </a:ext>
                </a:extLst>
              </xdr:cNvPr>
              <xdr:cNvSpPr/>
            </xdr:nvSpPr>
            <xdr:spPr bwMode="auto">
              <a:xfrm>
                <a:off x="3876675" y="712565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16" name="Check Box 992" hidden="1">
                <a:extLst>
                  <a:ext uri="{63B3BB69-23CF-44E3-9099-C40C66FF867C}">
                    <a14:compatExt spid="_x0000_s2016"/>
                  </a:ext>
                </a:extLst>
              </xdr:cNvPr>
              <xdr:cNvSpPr/>
            </xdr:nvSpPr>
            <xdr:spPr bwMode="auto">
              <a:xfrm>
                <a:off x="4105276" y="712470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17" name="Check Box 993" hidden="1">
                <a:extLst>
                  <a:ext uri="{63B3BB69-23CF-44E3-9099-C40C66FF867C}">
                    <a14:compatExt spid="_x0000_s2017"/>
                  </a:ext>
                </a:extLst>
              </xdr:cNvPr>
              <xdr:cNvSpPr/>
            </xdr:nvSpPr>
            <xdr:spPr bwMode="auto">
              <a:xfrm>
                <a:off x="4371976" y="712374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304</xdr:row>
          <xdr:rowOff>0</xdr:rowOff>
        </xdr:from>
        <xdr:to>
          <xdr:col>5</xdr:col>
          <xdr:colOff>133351</xdr:colOff>
          <xdr:row>304</xdr:row>
          <xdr:rowOff>123826</xdr:rowOff>
        </xdr:to>
        <xdr:grpSp>
          <xdr:nvGrpSpPr>
            <xdr:cNvPr id="994" name="Group 993"/>
            <xdr:cNvGrpSpPr/>
          </xdr:nvGrpSpPr>
          <xdr:grpSpPr>
            <a:xfrm>
              <a:off x="3876675" y="71923275"/>
              <a:ext cx="647701" cy="123826"/>
              <a:chOff x="3876675" y="72047100"/>
              <a:chExt cx="647701" cy="123826"/>
            </a:xfrm>
          </xdr:grpSpPr>
          <xdr:sp macro="" textlink="">
            <xdr:nvSpPr>
              <xdr:cNvPr id="2018" name="Check Box 994" hidden="1">
                <a:extLst>
                  <a:ext uri="{63B3BB69-23CF-44E3-9099-C40C66FF867C}">
                    <a14:compatExt spid="_x0000_s2018"/>
                  </a:ext>
                </a:extLst>
              </xdr:cNvPr>
              <xdr:cNvSpPr/>
            </xdr:nvSpPr>
            <xdr:spPr bwMode="auto">
              <a:xfrm>
                <a:off x="3876675" y="720661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19" name="Check Box 995" hidden="1">
                <a:extLst>
                  <a:ext uri="{63B3BB69-23CF-44E3-9099-C40C66FF867C}">
                    <a14:compatExt spid="_x0000_s2019"/>
                  </a:ext>
                </a:extLst>
              </xdr:cNvPr>
              <xdr:cNvSpPr/>
            </xdr:nvSpPr>
            <xdr:spPr bwMode="auto">
              <a:xfrm>
                <a:off x="4105276" y="720566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20" name="Check Box 996" hidden="1">
                <a:extLst>
                  <a:ext uri="{63B3BB69-23CF-44E3-9099-C40C66FF867C}">
                    <a14:compatExt spid="_x0000_s2020"/>
                  </a:ext>
                </a:extLst>
              </xdr:cNvPr>
              <xdr:cNvSpPr/>
            </xdr:nvSpPr>
            <xdr:spPr bwMode="auto">
              <a:xfrm>
                <a:off x="4371976" y="720471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305</xdr:row>
          <xdr:rowOff>0</xdr:rowOff>
        </xdr:from>
        <xdr:to>
          <xdr:col>5</xdr:col>
          <xdr:colOff>133351</xdr:colOff>
          <xdr:row>305</xdr:row>
          <xdr:rowOff>123826</xdr:rowOff>
        </xdr:to>
        <xdr:grpSp>
          <xdr:nvGrpSpPr>
            <xdr:cNvPr id="995" name="Group 994"/>
            <xdr:cNvGrpSpPr/>
          </xdr:nvGrpSpPr>
          <xdr:grpSpPr>
            <a:xfrm>
              <a:off x="3876675" y="72247125"/>
              <a:ext cx="647701" cy="123826"/>
              <a:chOff x="3876675" y="72370950"/>
              <a:chExt cx="647701" cy="123826"/>
            </a:xfrm>
          </xdr:grpSpPr>
          <xdr:sp macro="" textlink="">
            <xdr:nvSpPr>
              <xdr:cNvPr id="2021" name="Check Box 997" hidden="1">
                <a:extLst>
                  <a:ext uri="{63B3BB69-23CF-44E3-9099-C40C66FF867C}">
                    <a14:compatExt spid="_x0000_s2021"/>
                  </a:ext>
                </a:extLst>
              </xdr:cNvPr>
              <xdr:cNvSpPr/>
            </xdr:nvSpPr>
            <xdr:spPr bwMode="auto">
              <a:xfrm>
                <a:off x="3876675" y="723900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22" name="Check Box 998" hidden="1">
                <a:extLst>
                  <a:ext uri="{63B3BB69-23CF-44E3-9099-C40C66FF867C}">
                    <a14:compatExt spid="_x0000_s2022"/>
                  </a:ext>
                </a:extLst>
              </xdr:cNvPr>
              <xdr:cNvSpPr/>
            </xdr:nvSpPr>
            <xdr:spPr bwMode="auto">
              <a:xfrm>
                <a:off x="4105276" y="723804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23" name="Check Box 999" hidden="1">
                <a:extLst>
                  <a:ext uri="{63B3BB69-23CF-44E3-9099-C40C66FF867C}">
                    <a14:compatExt spid="_x0000_s2023"/>
                  </a:ext>
                </a:extLst>
              </xdr:cNvPr>
              <xdr:cNvSpPr/>
            </xdr:nvSpPr>
            <xdr:spPr bwMode="auto">
              <a:xfrm>
                <a:off x="4371976" y="723709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313</xdr:row>
          <xdr:rowOff>0</xdr:rowOff>
        </xdr:from>
        <xdr:to>
          <xdr:col>5</xdr:col>
          <xdr:colOff>133351</xdr:colOff>
          <xdr:row>313</xdr:row>
          <xdr:rowOff>123826</xdr:rowOff>
        </xdr:to>
        <xdr:grpSp>
          <xdr:nvGrpSpPr>
            <xdr:cNvPr id="996" name="Group 995"/>
            <xdr:cNvGrpSpPr/>
          </xdr:nvGrpSpPr>
          <xdr:grpSpPr>
            <a:xfrm>
              <a:off x="3876675" y="73875900"/>
              <a:ext cx="647701" cy="123826"/>
              <a:chOff x="3876675" y="73999725"/>
              <a:chExt cx="647701" cy="123826"/>
            </a:xfrm>
          </xdr:grpSpPr>
          <xdr:sp macro="" textlink="">
            <xdr:nvSpPr>
              <xdr:cNvPr id="2024" name="Check Box 1000" hidden="1">
                <a:extLst>
                  <a:ext uri="{63B3BB69-23CF-44E3-9099-C40C66FF867C}">
                    <a14:compatExt spid="_x0000_s2024"/>
                  </a:ext>
                </a:extLst>
              </xdr:cNvPr>
              <xdr:cNvSpPr/>
            </xdr:nvSpPr>
            <xdr:spPr bwMode="auto">
              <a:xfrm>
                <a:off x="3876675" y="740187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25" name="Check Box 1001" hidden="1">
                <a:extLst>
                  <a:ext uri="{63B3BB69-23CF-44E3-9099-C40C66FF867C}">
                    <a14:compatExt spid="_x0000_s2025"/>
                  </a:ext>
                </a:extLst>
              </xdr:cNvPr>
              <xdr:cNvSpPr/>
            </xdr:nvSpPr>
            <xdr:spPr bwMode="auto">
              <a:xfrm>
                <a:off x="4105276" y="740092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26" name="Check Box 1002" hidden="1">
                <a:extLst>
                  <a:ext uri="{63B3BB69-23CF-44E3-9099-C40C66FF867C}">
                    <a14:compatExt spid="_x0000_s2026"/>
                  </a:ext>
                </a:extLst>
              </xdr:cNvPr>
              <xdr:cNvSpPr/>
            </xdr:nvSpPr>
            <xdr:spPr bwMode="auto">
              <a:xfrm>
                <a:off x="4371976" y="739997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316</xdr:row>
          <xdr:rowOff>19050</xdr:rowOff>
        </xdr:from>
        <xdr:to>
          <xdr:col>5</xdr:col>
          <xdr:colOff>152401</xdr:colOff>
          <xdr:row>316</xdr:row>
          <xdr:rowOff>142876</xdr:rowOff>
        </xdr:to>
        <xdr:grpSp>
          <xdr:nvGrpSpPr>
            <xdr:cNvPr id="997" name="Group 996"/>
            <xdr:cNvGrpSpPr/>
          </xdr:nvGrpSpPr>
          <xdr:grpSpPr>
            <a:xfrm>
              <a:off x="3895725" y="74542650"/>
              <a:ext cx="647701" cy="123826"/>
              <a:chOff x="3895725" y="74666475"/>
              <a:chExt cx="647701" cy="123826"/>
            </a:xfrm>
          </xdr:grpSpPr>
          <xdr:sp macro="" textlink="">
            <xdr:nvSpPr>
              <xdr:cNvPr id="2030" name="Check Box 1006" hidden="1">
                <a:extLst>
                  <a:ext uri="{63B3BB69-23CF-44E3-9099-C40C66FF867C}">
                    <a14:compatExt spid="_x0000_s2030"/>
                  </a:ext>
                </a:extLst>
              </xdr:cNvPr>
              <xdr:cNvSpPr/>
            </xdr:nvSpPr>
            <xdr:spPr bwMode="auto">
              <a:xfrm>
                <a:off x="3895725" y="746855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31" name="Check Box 1007" hidden="1">
                <a:extLst>
                  <a:ext uri="{63B3BB69-23CF-44E3-9099-C40C66FF867C}">
                    <a14:compatExt spid="_x0000_s2031"/>
                  </a:ext>
                </a:extLst>
              </xdr:cNvPr>
              <xdr:cNvSpPr/>
            </xdr:nvSpPr>
            <xdr:spPr bwMode="auto">
              <a:xfrm>
                <a:off x="4124326" y="746760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32" name="Check Box 1008" hidden="1">
                <a:extLst>
                  <a:ext uri="{63B3BB69-23CF-44E3-9099-C40C66FF867C}">
                    <a14:compatExt spid="_x0000_s2032"/>
                  </a:ext>
                </a:extLst>
              </xdr:cNvPr>
              <xdr:cNvSpPr/>
            </xdr:nvSpPr>
            <xdr:spPr bwMode="auto">
              <a:xfrm>
                <a:off x="4391026" y="746664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320</xdr:row>
          <xdr:rowOff>0</xdr:rowOff>
        </xdr:from>
        <xdr:to>
          <xdr:col>5</xdr:col>
          <xdr:colOff>133351</xdr:colOff>
          <xdr:row>320</xdr:row>
          <xdr:rowOff>123826</xdr:rowOff>
        </xdr:to>
        <xdr:grpSp>
          <xdr:nvGrpSpPr>
            <xdr:cNvPr id="998" name="Group 997"/>
            <xdr:cNvGrpSpPr/>
          </xdr:nvGrpSpPr>
          <xdr:grpSpPr>
            <a:xfrm>
              <a:off x="3876675" y="75418950"/>
              <a:ext cx="647701" cy="123826"/>
              <a:chOff x="3876675" y="75542775"/>
              <a:chExt cx="647701" cy="123826"/>
            </a:xfrm>
          </xdr:grpSpPr>
          <xdr:sp macro="" textlink="">
            <xdr:nvSpPr>
              <xdr:cNvPr id="2033" name="Check Box 1009" hidden="1">
                <a:extLst>
                  <a:ext uri="{63B3BB69-23CF-44E3-9099-C40C66FF867C}">
                    <a14:compatExt spid="_x0000_s2033"/>
                  </a:ext>
                </a:extLst>
              </xdr:cNvPr>
              <xdr:cNvSpPr/>
            </xdr:nvSpPr>
            <xdr:spPr bwMode="auto">
              <a:xfrm>
                <a:off x="3876675" y="755618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34" name="Check Box 1010" hidden="1">
                <a:extLst>
                  <a:ext uri="{63B3BB69-23CF-44E3-9099-C40C66FF867C}">
                    <a14:compatExt spid="_x0000_s2034"/>
                  </a:ext>
                </a:extLst>
              </xdr:cNvPr>
              <xdr:cNvSpPr/>
            </xdr:nvSpPr>
            <xdr:spPr bwMode="auto">
              <a:xfrm>
                <a:off x="4105276" y="755523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35" name="Check Box 1011" hidden="1">
                <a:extLst>
                  <a:ext uri="{63B3BB69-23CF-44E3-9099-C40C66FF867C}">
                    <a14:compatExt spid="_x0000_s2035"/>
                  </a:ext>
                </a:extLst>
              </xdr:cNvPr>
              <xdr:cNvSpPr/>
            </xdr:nvSpPr>
            <xdr:spPr bwMode="auto">
              <a:xfrm>
                <a:off x="4371976" y="755427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321</xdr:row>
          <xdr:rowOff>0</xdr:rowOff>
        </xdr:from>
        <xdr:to>
          <xdr:col>5</xdr:col>
          <xdr:colOff>133351</xdr:colOff>
          <xdr:row>321</xdr:row>
          <xdr:rowOff>123826</xdr:rowOff>
        </xdr:to>
        <xdr:grpSp>
          <xdr:nvGrpSpPr>
            <xdr:cNvPr id="999" name="Group 998"/>
            <xdr:cNvGrpSpPr/>
          </xdr:nvGrpSpPr>
          <xdr:grpSpPr>
            <a:xfrm>
              <a:off x="3876675" y="75742800"/>
              <a:ext cx="647701" cy="123826"/>
              <a:chOff x="3876675" y="75866625"/>
              <a:chExt cx="647701" cy="123826"/>
            </a:xfrm>
          </xdr:grpSpPr>
          <xdr:sp macro="" textlink="">
            <xdr:nvSpPr>
              <xdr:cNvPr id="2036" name="Check Box 1012" hidden="1">
                <a:extLst>
                  <a:ext uri="{63B3BB69-23CF-44E3-9099-C40C66FF867C}">
                    <a14:compatExt spid="_x0000_s2036"/>
                  </a:ext>
                </a:extLst>
              </xdr:cNvPr>
              <xdr:cNvSpPr/>
            </xdr:nvSpPr>
            <xdr:spPr bwMode="auto">
              <a:xfrm>
                <a:off x="3876675" y="758856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37" name="Check Box 1013" hidden="1">
                <a:extLst>
                  <a:ext uri="{63B3BB69-23CF-44E3-9099-C40C66FF867C}">
                    <a14:compatExt spid="_x0000_s2037"/>
                  </a:ext>
                </a:extLst>
              </xdr:cNvPr>
              <xdr:cNvSpPr/>
            </xdr:nvSpPr>
            <xdr:spPr bwMode="auto">
              <a:xfrm>
                <a:off x="4105276" y="758761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38" name="Check Box 1014" hidden="1">
                <a:extLst>
                  <a:ext uri="{63B3BB69-23CF-44E3-9099-C40C66FF867C}">
                    <a14:compatExt spid="_x0000_s2038"/>
                  </a:ext>
                </a:extLst>
              </xdr:cNvPr>
              <xdr:cNvSpPr/>
            </xdr:nvSpPr>
            <xdr:spPr bwMode="auto">
              <a:xfrm>
                <a:off x="4371976" y="758666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322</xdr:row>
          <xdr:rowOff>0</xdr:rowOff>
        </xdr:from>
        <xdr:to>
          <xdr:col>5</xdr:col>
          <xdr:colOff>133351</xdr:colOff>
          <xdr:row>322</xdr:row>
          <xdr:rowOff>123826</xdr:rowOff>
        </xdr:to>
        <xdr:grpSp>
          <xdr:nvGrpSpPr>
            <xdr:cNvPr id="1000" name="Group 999"/>
            <xdr:cNvGrpSpPr/>
          </xdr:nvGrpSpPr>
          <xdr:grpSpPr>
            <a:xfrm>
              <a:off x="3876675" y="75904725"/>
              <a:ext cx="647701" cy="123826"/>
              <a:chOff x="3876675" y="76028550"/>
              <a:chExt cx="647701" cy="123826"/>
            </a:xfrm>
          </xdr:grpSpPr>
          <xdr:sp macro="" textlink="">
            <xdr:nvSpPr>
              <xdr:cNvPr id="2039" name="Check Box 1015" hidden="1">
                <a:extLst>
                  <a:ext uri="{63B3BB69-23CF-44E3-9099-C40C66FF867C}">
                    <a14:compatExt spid="_x0000_s2039"/>
                  </a:ext>
                </a:extLst>
              </xdr:cNvPr>
              <xdr:cNvSpPr/>
            </xdr:nvSpPr>
            <xdr:spPr bwMode="auto">
              <a:xfrm>
                <a:off x="3876675" y="760476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40" name="Check Box 1016" hidden="1">
                <a:extLst>
                  <a:ext uri="{63B3BB69-23CF-44E3-9099-C40C66FF867C}">
                    <a14:compatExt spid="_x0000_s2040"/>
                  </a:ext>
                </a:extLst>
              </xdr:cNvPr>
              <xdr:cNvSpPr/>
            </xdr:nvSpPr>
            <xdr:spPr bwMode="auto">
              <a:xfrm>
                <a:off x="4105276" y="760380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41" name="Check Box 1017" hidden="1">
                <a:extLst>
                  <a:ext uri="{63B3BB69-23CF-44E3-9099-C40C66FF867C}">
                    <a14:compatExt spid="_x0000_s2041"/>
                  </a:ext>
                </a:extLst>
              </xdr:cNvPr>
              <xdr:cNvSpPr/>
            </xdr:nvSpPr>
            <xdr:spPr bwMode="auto">
              <a:xfrm>
                <a:off x="4371976" y="760285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338</xdr:row>
          <xdr:rowOff>0</xdr:rowOff>
        </xdr:from>
        <xdr:to>
          <xdr:col>5</xdr:col>
          <xdr:colOff>133351</xdr:colOff>
          <xdr:row>338</xdr:row>
          <xdr:rowOff>123826</xdr:rowOff>
        </xdr:to>
        <xdr:grpSp>
          <xdr:nvGrpSpPr>
            <xdr:cNvPr id="2056" name="Group 2055"/>
            <xdr:cNvGrpSpPr/>
          </xdr:nvGrpSpPr>
          <xdr:grpSpPr>
            <a:xfrm>
              <a:off x="3876675" y="78800325"/>
              <a:ext cx="647701" cy="123826"/>
              <a:chOff x="3876675" y="79562325"/>
              <a:chExt cx="647701" cy="123826"/>
            </a:xfrm>
          </xdr:grpSpPr>
          <xdr:sp macro="" textlink="">
            <xdr:nvSpPr>
              <xdr:cNvPr id="2042" name="Check Box 1018" hidden="1">
                <a:extLst>
                  <a:ext uri="{63B3BB69-23CF-44E3-9099-C40C66FF867C}">
                    <a14:compatExt spid="_x0000_s2042"/>
                  </a:ext>
                </a:extLst>
              </xdr:cNvPr>
              <xdr:cNvSpPr/>
            </xdr:nvSpPr>
            <xdr:spPr bwMode="auto">
              <a:xfrm>
                <a:off x="3876675" y="795813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43" name="Check Box 1019" hidden="1">
                <a:extLst>
                  <a:ext uri="{63B3BB69-23CF-44E3-9099-C40C66FF867C}">
                    <a14:compatExt spid="_x0000_s2043"/>
                  </a:ext>
                </a:extLst>
              </xdr:cNvPr>
              <xdr:cNvSpPr/>
            </xdr:nvSpPr>
            <xdr:spPr bwMode="auto">
              <a:xfrm>
                <a:off x="4105276" y="795718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44" name="Check Box 1020" hidden="1">
                <a:extLst>
                  <a:ext uri="{63B3BB69-23CF-44E3-9099-C40C66FF867C}">
                    <a14:compatExt spid="_x0000_s2044"/>
                  </a:ext>
                </a:extLst>
              </xdr:cNvPr>
              <xdr:cNvSpPr/>
            </xdr:nvSpPr>
            <xdr:spPr bwMode="auto">
              <a:xfrm>
                <a:off x="4371976" y="795623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339</xdr:row>
          <xdr:rowOff>19050</xdr:rowOff>
        </xdr:from>
        <xdr:to>
          <xdr:col>3</xdr:col>
          <xdr:colOff>152400</xdr:colOff>
          <xdr:row>339</xdr:row>
          <xdr:rowOff>123825</xdr:rowOff>
        </xdr:to>
        <xdr:sp macro="" textlink="">
          <xdr:nvSpPr>
            <xdr:cNvPr id="2045" name="Check Box 1021" hidden="1">
              <a:extLst>
                <a:ext uri="{63B3BB69-23CF-44E3-9099-C40C66FF867C}">
                  <a14:compatExt spid="_x0000_s20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339</xdr:row>
          <xdr:rowOff>9525</xdr:rowOff>
        </xdr:from>
        <xdr:to>
          <xdr:col>4</xdr:col>
          <xdr:colOff>123825</xdr:colOff>
          <xdr:row>339</xdr:row>
          <xdr:rowOff>114300</xdr:rowOff>
        </xdr:to>
        <xdr:sp macro="" textlink="">
          <xdr:nvSpPr>
            <xdr:cNvPr id="2046" name="Check Box 1022" hidden="1">
              <a:extLst>
                <a:ext uri="{63B3BB69-23CF-44E3-9099-C40C66FF867C}">
                  <a14:compatExt spid="_x0000_s2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339</xdr:row>
          <xdr:rowOff>0</xdr:rowOff>
        </xdr:from>
        <xdr:to>
          <xdr:col>5</xdr:col>
          <xdr:colOff>133350</xdr:colOff>
          <xdr:row>339</xdr:row>
          <xdr:rowOff>104775</xdr:rowOff>
        </xdr:to>
        <xdr:sp macro="" textlink="">
          <xdr:nvSpPr>
            <xdr:cNvPr id="2047" name="Check Box 1023" hidden="1">
              <a:extLst>
                <a:ext uri="{63B3BB69-23CF-44E3-9099-C40C66FF867C}">
                  <a14:compatExt spid="_x0000_s20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342</xdr:row>
          <xdr:rowOff>0</xdr:rowOff>
        </xdr:from>
        <xdr:to>
          <xdr:col>5</xdr:col>
          <xdr:colOff>133351</xdr:colOff>
          <xdr:row>342</xdr:row>
          <xdr:rowOff>123826</xdr:rowOff>
        </xdr:to>
        <xdr:grpSp>
          <xdr:nvGrpSpPr>
            <xdr:cNvPr id="2057" name="Group 2056"/>
            <xdr:cNvGrpSpPr/>
          </xdr:nvGrpSpPr>
          <xdr:grpSpPr>
            <a:xfrm>
              <a:off x="3876675" y="79933800"/>
              <a:ext cx="647701" cy="123826"/>
              <a:chOff x="3876675" y="80695800"/>
              <a:chExt cx="647701" cy="123826"/>
            </a:xfrm>
          </xdr:grpSpPr>
          <xdr:sp macro="" textlink="">
            <xdr:nvSpPr>
              <xdr:cNvPr id="8192" name="Check Box 1024" hidden="1">
                <a:extLst>
                  <a:ext uri="{63B3BB69-23CF-44E3-9099-C40C66FF867C}">
                    <a14:compatExt spid="_x0000_s8192"/>
                  </a:ext>
                </a:extLst>
              </xdr:cNvPr>
              <xdr:cNvSpPr/>
            </xdr:nvSpPr>
            <xdr:spPr bwMode="auto">
              <a:xfrm>
                <a:off x="3876675" y="807148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193" name="Check Box 1025" hidden="1">
                <a:extLst>
                  <a:ext uri="{63B3BB69-23CF-44E3-9099-C40C66FF867C}">
                    <a14:compatExt spid="_x0000_s8193"/>
                  </a:ext>
                </a:extLst>
              </xdr:cNvPr>
              <xdr:cNvSpPr/>
            </xdr:nvSpPr>
            <xdr:spPr bwMode="auto">
              <a:xfrm>
                <a:off x="4105276" y="807053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194" name="Check Box 1026" hidden="1">
                <a:extLst>
                  <a:ext uri="{63B3BB69-23CF-44E3-9099-C40C66FF867C}">
                    <a14:compatExt spid="_x0000_s8194"/>
                  </a:ext>
                </a:extLst>
              </xdr:cNvPr>
              <xdr:cNvSpPr/>
            </xdr:nvSpPr>
            <xdr:spPr bwMode="auto">
              <a:xfrm>
                <a:off x="4371976" y="806958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343</xdr:row>
          <xdr:rowOff>0</xdr:rowOff>
        </xdr:from>
        <xdr:to>
          <xdr:col>5</xdr:col>
          <xdr:colOff>133351</xdr:colOff>
          <xdr:row>343</xdr:row>
          <xdr:rowOff>123826</xdr:rowOff>
        </xdr:to>
        <xdr:grpSp>
          <xdr:nvGrpSpPr>
            <xdr:cNvPr id="2058" name="Group 2057"/>
            <xdr:cNvGrpSpPr/>
          </xdr:nvGrpSpPr>
          <xdr:grpSpPr>
            <a:xfrm>
              <a:off x="3876675" y="80257650"/>
              <a:ext cx="647701" cy="123826"/>
              <a:chOff x="3876675" y="81019650"/>
              <a:chExt cx="647701" cy="123826"/>
            </a:xfrm>
          </xdr:grpSpPr>
          <xdr:sp macro="" textlink="">
            <xdr:nvSpPr>
              <xdr:cNvPr id="8195" name="Check Box 1027" hidden="1">
                <a:extLst>
                  <a:ext uri="{63B3BB69-23CF-44E3-9099-C40C66FF867C}">
                    <a14:compatExt spid="_x0000_s8195"/>
                  </a:ext>
                </a:extLst>
              </xdr:cNvPr>
              <xdr:cNvSpPr/>
            </xdr:nvSpPr>
            <xdr:spPr bwMode="auto">
              <a:xfrm>
                <a:off x="3876675" y="810387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196" name="Check Box 1028" hidden="1">
                <a:extLst>
                  <a:ext uri="{63B3BB69-23CF-44E3-9099-C40C66FF867C}">
                    <a14:compatExt spid="_x0000_s8196"/>
                  </a:ext>
                </a:extLst>
              </xdr:cNvPr>
              <xdr:cNvSpPr/>
            </xdr:nvSpPr>
            <xdr:spPr bwMode="auto">
              <a:xfrm>
                <a:off x="4105276" y="810291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197" name="Check Box 1029" hidden="1">
                <a:extLst>
                  <a:ext uri="{63B3BB69-23CF-44E3-9099-C40C66FF867C}">
                    <a14:compatExt spid="_x0000_s8197"/>
                  </a:ext>
                </a:extLst>
              </xdr:cNvPr>
              <xdr:cNvSpPr/>
            </xdr:nvSpPr>
            <xdr:spPr bwMode="auto">
              <a:xfrm>
                <a:off x="4371976" y="810196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347</xdr:row>
          <xdr:rowOff>0</xdr:rowOff>
        </xdr:from>
        <xdr:to>
          <xdr:col>5</xdr:col>
          <xdr:colOff>133351</xdr:colOff>
          <xdr:row>347</xdr:row>
          <xdr:rowOff>123826</xdr:rowOff>
        </xdr:to>
        <xdr:grpSp>
          <xdr:nvGrpSpPr>
            <xdr:cNvPr id="2063" name="Group 2062"/>
            <xdr:cNvGrpSpPr/>
          </xdr:nvGrpSpPr>
          <xdr:grpSpPr>
            <a:xfrm>
              <a:off x="3876675" y="81067275"/>
              <a:ext cx="647701" cy="123826"/>
              <a:chOff x="3876675" y="81829275"/>
              <a:chExt cx="647701" cy="123826"/>
            </a:xfrm>
          </xdr:grpSpPr>
          <xdr:sp macro="" textlink="">
            <xdr:nvSpPr>
              <xdr:cNvPr id="8198" name="Check Box 1030" hidden="1">
                <a:extLst>
                  <a:ext uri="{63B3BB69-23CF-44E3-9099-C40C66FF867C}">
                    <a14:compatExt spid="_x0000_s8198"/>
                  </a:ext>
                </a:extLst>
              </xdr:cNvPr>
              <xdr:cNvSpPr/>
            </xdr:nvSpPr>
            <xdr:spPr bwMode="auto">
              <a:xfrm>
                <a:off x="3876675" y="818483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199" name="Check Box 1031" hidden="1">
                <a:extLst>
                  <a:ext uri="{63B3BB69-23CF-44E3-9099-C40C66FF867C}">
                    <a14:compatExt spid="_x0000_s8199"/>
                  </a:ext>
                </a:extLst>
              </xdr:cNvPr>
              <xdr:cNvSpPr/>
            </xdr:nvSpPr>
            <xdr:spPr bwMode="auto">
              <a:xfrm>
                <a:off x="4105276" y="818388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00" name="Check Box 1032" hidden="1">
                <a:extLst>
                  <a:ext uri="{63B3BB69-23CF-44E3-9099-C40C66FF867C}">
                    <a14:compatExt spid="_x0000_s8200"/>
                  </a:ext>
                </a:extLst>
              </xdr:cNvPr>
              <xdr:cNvSpPr/>
            </xdr:nvSpPr>
            <xdr:spPr bwMode="auto">
              <a:xfrm>
                <a:off x="4371976" y="818292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350</xdr:row>
          <xdr:rowOff>0</xdr:rowOff>
        </xdr:from>
        <xdr:to>
          <xdr:col>5</xdr:col>
          <xdr:colOff>133351</xdr:colOff>
          <xdr:row>350</xdr:row>
          <xdr:rowOff>123826</xdr:rowOff>
        </xdr:to>
        <xdr:grpSp>
          <xdr:nvGrpSpPr>
            <xdr:cNvPr id="2061" name="Group 2060"/>
            <xdr:cNvGrpSpPr/>
          </xdr:nvGrpSpPr>
          <xdr:grpSpPr>
            <a:xfrm>
              <a:off x="3876675" y="81714975"/>
              <a:ext cx="647701" cy="123826"/>
              <a:chOff x="3876675" y="82476975"/>
              <a:chExt cx="647701" cy="123826"/>
            </a:xfrm>
          </xdr:grpSpPr>
          <xdr:sp macro="" textlink="">
            <xdr:nvSpPr>
              <xdr:cNvPr id="8201" name="Check Box 1033" hidden="1">
                <a:extLst>
                  <a:ext uri="{63B3BB69-23CF-44E3-9099-C40C66FF867C}">
                    <a14:compatExt spid="_x0000_s8201"/>
                  </a:ext>
                </a:extLst>
              </xdr:cNvPr>
              <xdr:cNvSpPr/>
            </xdr:nvSpPr>
            <xdr:spPr bwMode="auto">
              <a:xfrm>
                <a:off x="3876675" y="824960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02" name="Check Box 1034" hidden="1">
                <a:extLst>
                  <a:ext uri="{63B3BB69-23CF-44E3-9099-C40C66FF867C}">
                    <a14:compatExt spid="_x0000_s8202"/>
                  </a:ext>
                </a:extLst>
              </xdr:cNvPr>
              <xdr:cNvSpPr/>
            </xdr:nvSpPr>
            <xdr:spPr bwMode="auto">
              <a:xfrm>
                <a:off x="4105276" y="824865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03" name="Check Box 1035" hidden="1">
                <a:extLst>
                  <a:ext uri="{63B3BB69-23CF-44E3-9099-C40C66FF867C}">
                    <a14:compatExt spid="_x0000_s8203"/>
                  </a:ext>
                </a:extLst>
              </xdr:cNvPr>
              <xdr:cNvSpPr/>
            </xdr:nvSpPr>
            <xdr:spPr bwMode="auto">
              <a:xfrm>
                <a:off x="4371976" y="824769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353</xdr:row>
          <xdr:rowOff>28575</xdr:rowOff>
        </xdr:from>
        <xdr:to>
          <xdr:col>5</xdr:col>
          <xdr:colOff>152401</xdr:colOff>
          <xdr:row>353</xdr:row>
          <xdr:rowOff>152401</xdr:rowOff>
        </xdr:to>
        <xdr:grpSp>
          <xdr:nvGrpSpPr>
            <xdr:cNvPr id="2065" name="Group 2064"/>
            <xdr:cNvGrpSpPr/>
          </xdr:nvGrpSpPr>
          <xdr:grpSpPr>
            <a:xfrm>
              <a:off x="3895725" y="82534125"/>
              <a:ext cx="647701" cy="123826"/>
              <a:chOff x="3895725" y="83296125"/>
              <a:chExt cx="647701" cy="123826"/>
            </a:xfrm>
          </xdr:grpSpPr>
          <xdr:sp macro="" textlink="">
            <xdr:nvSpPr>
              <xdr:cNvPr id="8204" name="Check Box 1036" hidden="1">
                <a:extLst>
                  <a:ext uri="{63B3BB69-23CF-44E3-9099-C40C66FF867C}">
                    <a14:compatExt spid="_x0000_s8204"/>
                  </a:ext>
                </a:extLst>
              </xdr:cNvPr>
              <xdr:cNvSpPr/>
            </xdr:nvSpPr>
            <xdr:spPr bwMode="auto">
              <a:xfrm>
                <a:off x="3895725" y="833151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05" name="Check Box 1037" hidden="1">
                <a:extLst>
                  <a:ext uri="{63B3BB69-23CF-44E3-9099-C40C66FF867C}">
                    <a14:compatExt spid="_x0000_s8205"/>
                  </a:ext>
                </a:extLst>
              </xdr:cNvPr>
              <xdr:cNvSpPr/>
            </xdr:nvSpPr>
            <xdr:spPr bwMode="auto">
              <a:xfrm>
                <a:off x="4124326" y="833056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06" name="Check Box 1038" hidden="1">
                <a:extLst>
                  <a:ext uri="{63B3BB69-23CF-44E3-9099-C40C66FF867C}">
                    <a14:compatExt spid="_x0000_s8206"/>
                  </a:ext>
                </a:extLst>
              </xdr:cNvPr>
              <xdr:cNvSpPr/>
            </xdr:nvSpPr>
            <xdr:spPr bwMode="auto">
              <a:xfrm>
                <a:off x="4391026" y="832961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356</xdr:row>
          <xdr:rowOff>0</xdr:rowOff>
        </xdr:from>
        <xdr:to>
          <xdr:col>5</xdr:col>
          <xdr:colOff>133351</xdr:colOff>
          <xdr:row>356</xdr:row>
          <xdr:rowOff>123826</xdr:rowOff>
        </xdr:to>
        <xdr:grpSp>
          <xdr:nvGrpSpPr>
            <xdr:cNvPr id="2068" name="Group 2067"/>
            <xdr:cNvGrpSpPr/>
          </xdr:nvGrpSpPr>
          <xdr:grpSpPr>
            <a:xfrm>
              <a:off x="3876675" y="83267550"/>
              <a:ext cx="647701" cy="123826"/>
              <a:chOff x="3876675" y="84029550"/>
              <a:chExt cx="647701" cy="123826"/>
            </a:xfrm>
          </xdr:grpSpPr>
          <xdr:sp macro="" textlink="">
            <xdr:nvSpPr>
              <xdr:cNvPr id="8210" name="Check Box 1042" hidden="1">
                <a:extLst>
                  <a:ext uri="{63B3BB69-23CF-44E3-9099-C40C66FF867C}">
                    <a14:compatExt spid="_x0000_s8210"/>
                  </a:ext>
                </a:extLst>
              </xdr:cNvPr>
              <xdr:cNvSpPr/>
            </xdr:nvSpPr>
            <xdr:spPr bwMode="auto">
              <a:xfrm>
                <a:off x="3876675" y="840486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11" name="Check Box 1043" hidden="1">
                <a:extLst>
                  <a:ext uri="{63B3BB69-23CF-44E3-9099-C40C66FF867C}">
                    <a14:compatExt spid="_x0000_s8211"/>
                  </a:ext>
                </a:extLst>
              </xdr:cNvPr>
              <xdr:cNvSpPr/>
            </xdr:nvSpPr>
            <xdr:spPr bwMode="auto">
              <a:xfrm>
                <a:off x="4105276" y="840390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12" name="Check Box 1044" hidden="1">
                <a:extLst>
                  <a:ext uri="{63B3BB69-23CF-44E3-9099-C40C66FF867C}">
                    <a14:compatExt spid="_x0000_s8212"/>
                  </a:ext>
                </a:extLst>
              </xdr:cNvPr>
              <xdr:cNvSpPr/>
            </xdr:nvSpPr>
            <xdr:spPr bwMode="auto">
              <a:xfrm>
                <a:off x="4371976" y="840295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359</xdr:row>
          <xdr:rowOff>0</xdr:rowOff>
        </xdr:from>
        <xdr:to>
          <xdr:col>5</xdr:col>
          <xdr:colOff>133351</xdr:colOff>
          <xdr:row>359</xdr:row>
          <xdr:rowOff>123826</xdr:rowOff>
        </xdr:to>
        <xdr:grpSp>
          <xdr:nvGrpSpPr>
            <xdr:cNvPr id="2070" name="Group 2069"/>
            <xdr:cNvGrpSpPr/>
          </xdr:nvGrpSpPr>
          <xdr:grpSpPr>
            <a:xfrm>
              <a:off x="3876675" y="83934300"/>
              <a:ext cx="647701" cy="123826"/>
              <a:chOff x="3876675" y="84696300"/>
              <a:chExt cx="647701" cy="123826"/>
            </a:xfrm>
          </xdr:grpSpPr>
          <xdr:sp macro="" textlink="">
            <xdr:nvSpPr>
              <xdr:cNvPr id="8213" name="Check Box 1045" hidden="1">
                <a:extLst>
                  <a:ext uri="{63B3BB69-23CF-44E3-9099-C40C66FF867C}">
                    <a14:compatExt spid="_x0000_s8213"/>
                  </a:ext>
                </a:extLst>
              </xdr:cNvPr>
              <xdr:cNvSpPr/>
            </xdr:nvSpPr>
            <xdr:spPr bwMode="auto">
              <a:xfrm>
                <a:off x="3876675" y="847153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14" name="Check Box 1046" hidden="1">
                <a:extLst>
                  <a:ext uri="{63B3BB69-23CF-44E3-9099-C40C66FF867C}">
                    <a14:compatExt spid="_x0000_s8214"/>
                  </a:ext>
                </a:extLst>
              </xdr:cNvPr>
              <xdr:cNvSpPr/>
            </xdr:nvSpPr>
            <xdr:spPr bwMode="auto">
              <a:xfrm>
                <a:off x="4105276" y="847058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15" name="Check Box 1047" hidden="1">
                <a:extLst>
                  <a:ext uri="{63B3BB69-23CF-44E3-9099-C40C66FF867C}">
                    <a14:compatExt spid="_x0000_s8215"/>
                  </a:ext>
                </a:extLst>
              </xdr:cNvPr>
              <xdr:cNvSpPr/>
            </xdr:nvSpPr>
            <xdr:spPr bwMode="auto">
              <a:xfrm>
                <a:off x="4371976" y="846963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361</xdr:row>
          <xdr:rowOff>0</xdr:rowOff>
        </xdr:from>
        <xdr:to>
          <xdr:col>5</xdr:col>
          <xdr:colOff>133351</xdr:colOff>
          <xdr:row>361</xdr:row>
          <xdr:rowOff>123826</xdr:rowOff>
        </xdr:to>
        <xdr:grpSp>
          <xdr:nvGrpSpPr>
            <xdr:cNvPr id="2072" name="Group 2071"/>
            <xdr:cNvGrpSpPr/>
          </xdr:nvGrpSpPr>
          <xdr:grpSpPr>
            <a:xfrm>
              <a:off x="3876675" y="84582000"/>
              <a:ext cx="647701" cy="123826"/>
              <a:chOff x="3876675" y="85344000"/>
              <a:chExt cx="647701" cy="123826"/>
            </a:xfrm>
          </xdr:grpSpPr>
          <xdr:sp macro="" textlink="">
            <xdr:nvSpPr>
              <xdr:cNvPr id="8216" name="Check Box 1048" hidden="1">
                <a:extLst>
                  <a:ext uri="{63B3BB69-23CF-44E3-9099-C40C66FF867C}">
                    <a14:compatExt spid="_x0000_s8216"/>
                  </a:ext>
                </a:extLst>
              </xdr:cNvPr>
              <xdr:cNvSpPr/>
            </xdr:nvSpPr>
            <xdr:spPr bwMode="auto">
              <a:xfrm>
                <a:off x="3876675" y="853630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17" name="Check Box 1049" hidden="1">
                <a:extLst>
                  <a:ext uri="{63B3BB69-23CF-44E3-9099-C40C66FF867C}">
                    <a14:compatExt spid="_x0000_s8217"/>
                  </a:ext>
                </a:extLst>
              </xdr:cNvPr>
              <xdr:cNvSpPr/>
            </xdr:nvSpPr>
            <xdr:spPr bwMode="auto">
              <a:xfrm>
                <a:off x="4105276" y="853535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18" name="Check Box 1050" hidden="1">
                <a:extLst>
                  <a:ext uri="{63B3BB69-23CF-44E3-9099-C40C66FF867C}">
                    <a14:compatExt spid="_x0000_s8218"/>
                  </a:ext>
                </a:extLst>
              </xdr:cNvPr>
              <xdr:cNvSpPr/>
            </xdr:nvSpPr>
            <xdr:spPr bwMode="auto">
              <a:xfrm>
                <a:off x="4371976" y="853440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363</xdr:row>
          <xdr:rowOff>0</xdr:rowOff>
        </xdr:from>
        <xdr:to>
          <xdr:col>5</xdr:col>
          <xdr:colOff>133351</xdr:colOff>
          <xdr:row>363</xdr:row>
          <xdr:rowOff>123826</xdr:rowOff>
        </xdr:to>
        <xdr:grpSp>
          <xdr:nvGrpSpPr>
            <xdr:cNvPr id="2074" name="Group 2073"/>
            <xdr:cNvGrpSpPr/>
          </xdr:nvGrpSpPr>
          <xdr:grpSpPr>
            <a:xfrm>
              <a:off x="3876675" y="85067775"/>
              <a:ext cx="647701" cy="123826"/>
              <a:chOff x="3876675" y="85829775"/>
              <a:chExt cx="647701" cy="123826"/>
            </a:xfrm>
          </xdr:grpSpPr>
          <xdr:sp macro="" textlink="">
            <xdr:nvSpPr>
              <xdr:cNvPr id="8220" name="Check Box 1052" hidden="1">
                <a:extLst>
                  <a:ext uri="{63B3BB69-23CF-44E3-9099-C40C66FF867C}">
                    <a14:compatExt spid="_x0000_s8220"/>
                  </a:ext>
                </a:extLst>
              </xdr:cNvPr>
              <xdr:cNvSpPr/>
            </xdr:nvSpPr>
            <xdr:spPr bwMode="auto">
              <a:xfrm>
                <a:off x="3876675" y="858488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21" name="Check Box 1053" hidden="1">
                <a:extLst>
                  <a:ext uri="{63B3BB69-23CF-44E3-9099-C40C66FF867C}">
                    <a14:compatExt spid="_x0000_s8221"/>
                  </a:ext>
                </a:extLst>
              </xdr:cNvPr>
              <xdr:cNvSpPr/>
            </xdr:nvSpPr>
            <xdr:spPr bwMode="auto">
              <a:xfrm>
                <a:off x="4105276" y="858393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22" name="Check Box 1054" hidden="1">
                <a:extLst>
                  <a:ext uri="{63B3BB69-23CF-44E3-9099-C40C66FF867C}">
                    <a14:compatExt spid="_x0000_s8222"/>
                  </a:ext>
                </a:extLst>
              </xdr:cNvPr>
              <xdr:cNvSpPr/>
            </xdr:nvSpPr>
            <xdr:spPr bwMode="auto">
              <a:xfrm>
                <a:off x="4371976" y="858297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364</xdr:row>
          <xdr:rowOff>0</xdr:rowOff>
        </xdr:from>
        <xdr:to>
          <xdr:col>5</xdr:col>
          <xdr:colOff>133351</xdr:colOff>
          <xdr:row>364</xdr:row>
          <xdr:rowOff>123826</xdr:rowOff>
        </xdr:to>
        <xdr:grpSp>
          <xdr:nvGrpSpPr>
            <xdr:cNvPr id="2077" name="Group 2076"/>
            <xdr:cNvGrpSpPr/>
          </xdr:nvGrpSpPr>
          <xdr:grpSpPr>
            <a:xfrm>
              <a:off x="3876675" y="85391625"/>
              <a:ext cx="647701" cy="123826"/>
              <a:chOff x="3876675" y="86153625"/>
              <a:chExt cx="647701" cy="123826"/>
            </a:xfrm>
          </xdr:grpSpPr>
          <xdr:sp macro="" textlink="">
            <xdr:nvSpPr>
              <xdr:cNvPr id="8226" name="Check Box 1058" hidden="1">
                <a:extLst>
                  <a:ext uri="{63B3BB69-23CF-44E3-9099-C40C66FF867C}">
                    <a14:compatExt spid="_x0000_s8226"/>
                  </a:ext>
                </a:extLst>
              </xdr:cNvPr>
              <xdr:cNvSpPr/>
            </xdr:nvSpPr>
            <xdr:spPr bwMode="auto">
              <a:xfrm>
                <a:off x="3876675" y="861726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27" name="Check Box 1059" hidden="1">
                <a:extLst>
                  <a:ext uri="{63B3BB69-23CF-44E3-9099-C40C66FF867C}">
                    <a14:compatExt spid="_x0000_s8227"/>
                  </a:ext>
                </a:extLst>
              </xdr:cNvPr>
              <xdr:cNvSpPr/>
            </xdr:nvSpPr>
            <xdr:spPr bwMode="auto">
              <a:xfrm>
                <a:off x="4105276" y="861631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28" name="Check Box 1060" hidden="1">
                <a:extLst>
                  <a:ext uri="{63B3BB69-23CF-44E3-9099-C40C66FF867C}">
                    <a14:compatExt spid="_x0000_s8228"/>
                  </a:ext>
                </a:extLst>
              </xdr:cNvPr>
              <xdr:cNvSpPr/>
            </xdr:nvSpPr>
            <xdr:spPr bwMode="auto">
              <a:xfrm>
                <a:off x="4371976" y="861536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366</xdr:row>
          <xdr:rowOff>0</xdr:rowOff>
        </xdr:from>
        <xdr:to>
          <xdr:col>5</xdr:col>
          <xdr:colOff>133351</xdr:colOff>
          <xdr:row>366</xdr:row>
          <xdr:rowOff>123826</xdr:rowOff>
        </xdr:to>
        <xdr:grpSp>
          <xdr:nvGrpSpPr>
            <xdr:cNvPr id="2081" name="Group 2080"/>
            <xdr:cNvGrpSpPr/>
          </xdr:nvGrpSpPr>
          <xdr:grpSpPr>
            <a:xfrm>
              <a:off x="3876675" y="85839300"/>
              <a:ext cx="647701" cy="123826"/>
              <a:chOff x="3876675" y="86572725"/>
              <a:chExt cx="647701" cy="123826"/>
            </a:xfrm>
          </xdr:grpSpPr>
          <xdr:sp macro="" textlink="">
            <xdr:nvSpPr>
              <xdr:cNvPr id="8229" name="Check Box 1061" hidden="1">
                <a:extLst>
                  <a:ext uri="{63B3BB69-23CF-44E3-9099-C40C66FF867C}">
                    <a14:compatExt spid="_x0000_s8229"/>
                  </a:ext>
                </a:extLst>
              </xdr:cNvPr>
              <xdr:cNvSpPr/>
            </xdr:nvSpPr>
            <xdr:spPr bwMode="auto">
              <a:xfrm>
                <a:off x="3876675" y="865917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30" name="Check Box 1062" hidden="1">
                <a:extLst>
                  <a:ext uri="{63B3BB69-23CF-44E3-9099-C40C66FF867C}">
                    <a14:compatExt spid="_x0000_s8230"/>
                  </a:ext>
                </a:extLst>
              </xdr:cNvPr>
              <xdr:cNvSpPr/>
            </xdr:nvSpPr>
            <xdr:spPr bwMode="auto">
              <a:xfrm>
                <a:off x="4105276" y="865822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31" name="Check Box 1063" hidden="1">
                <a:extLst>
                  <a:ext uri="{63B3BB69-23CF-44E3-9099-C40C66FF867C}">
                    <a14:compatExt spid="_x0000_s8231"/>
                  </a:ext>
                </a:extLst>
              </xdr:cNvPr>
              <xdr:cNvSpPr/>
            </xdr:nvSpPr>
            <xdr:spPr bwMode="auto">
              <a:xfrm>
                <a:off x="4371976" y="865727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367</xdr:row>
          <xdr:rowOff>0</xdr:rowOff>
        </xdr:from>
        <xdr:to>
          <xdr:col>5</xdr:col>
          <xdr:colOff>133351</xdr:colOff>
          <xdr:row>367</xdr:row>
          <xdr:rowOff>123826</xdr:rowOff>
        </xdr:to>
        <xdr:grpSp>
          <xdr:nvGrpSpPr>
            <xdr:cNvPr id="2082" name="Group 2081"/>
            <xdr:cNvGrpSpPr/>
          </xdr:nvGrpSpPr>
          <xdr:grpSpPr>
            <a:xfrm>
              <a:off x="3876675" y="86001225"/>
              <a:ext cx="647701" cy="123826"/>
              <a:chOff x="3876675" y="86734650"/>
              <a:chExt cx="647701" cy="123826"/>
            </a:xfrm>
          </xdr:grpSpPr>
          <xdr:sp macro="" textlink="">
            <xdr:nvSpPr>
              <xdr:cNvPr id="8232" name="Check Box 1064" hidden="1">
                <a:extLst>
                  <a:ext uri="{63B3BB69-23CF-44E3-9099-C40C66FF867C}">
                    <a14:compatExt spid="_x0000_s8232"/>
                  </a:ext>
                </a:extLst>
              </xdr:cNvPr>
              <xdr:cNvSpPr/>
            </xdr:nvSpPr>
            <xdr:spPr bwMode="auto">
              <a:xfrm>
                <a:off x="3876675" y="867537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33" name="Check Box 1065" hidden="1">
                <a:extLst>
                  <a:ext uri="{63B3BB69-23CF-44E3-9099-C40C66FF867C}">
                    <a14:compatExt spid="_x0000_s8233"/>
                  </a:ext>
                </a:extLst>
              </xdr:cNvPr>
              <xdr:cNvSpPr/>
            </xdr:nvSpPr>
            <xdr:spPr bwMode="auto">
              <a:xfrm>
                <a:off x="4105276" y="867441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34" name="Check Box 1066" hidden="1">
                <a:extLst>
                  <a:ext uri="{63B3BB69-23CF-44E3-9099-C40C66FF867C}">
                    <a14:compatExt spid="_x0000_s8234"/>
                  </a:ext>
                </a:extLst>
              </xdr:cNvPr>
              <xdr:cNvSpPr/>
            </xdr:nvSpPr>
            <xdr:spPr bwMode="auto">
              <a:xfrm>
                <a:off x="4371976" y="867346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368</xdr:row>
          <xdr:rowOff>0</xdr:rowOff>
        </xdr:from>
        <xdr:to>
          <xdr:col>5</xdr:col>
          <xdr:colOff>133351</xdr:colOff>
          <xdr:row>368</xdr:row>
          <xdr:rowOff>123826</xdr:rowOff>
        </xdr:to>
        <xdr:grpSp>
          <xdr:nvGrpSpPr>
            <xdr:cNvPr id="2083" name="Group 2082"/>
            <xdr:cNvGrpSpPr/>
          </xdr:nvGrpSpPr>
          <xdr:grpSpPr>
            <a:xfrm>
              <a:off x="3876675" y="86163150"/>
              <a:ext cx="647701" cy="123826"/>
              <a:chOff x="3876675" y="86896575"/>
              <a:chExt cx="647701" cy="123826"/>
            </a:xfrm>
          </xdr:grpSpPr>
          <xdr:sp macro="" textlink="">
            <xdr:nvSpPr>
              <xdr:cNvPr id="8235" name="Check Box 1067" hidden="1">
                <a:extLst>
                  <a:ext uri="{63B3BB69-23CF-44E3-9099-C40C66FF867C}">
                    <a14:compatExt spid="_x0000_s8235"/>
                  </a:ext>
                </a:extLst>
              </xdr:cNvPr>
              <xdr:cNvSpPr/>
            </xdr:nvSpPr>
            <xdr:spPr bwMode="auto">
              <a:xfrm>
                <a:off x="3876675" y="869156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36" name="Check Box 1068" hidden="1">
                <a:extLst>
                  <a:ext uri="{63B3BB69-23CF-44E3-9099-C40C66FF867C}">
                    <a14:compatExt spid="_x0000_s8236"/>
                  </a:ext>
                </a:extLst>
              </xdr:cNvPr>
              <xdr:cNvSpPr/>
            </xdr:nvSpPr>
            <xdr:spPr bwMode="auto">
              <a:xfrm>
                <a:off x="4105276" y="869061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37" name="Check Box 1069" hidden="1">
                <a:extLst>
                  <a:ext uri="{63B3BB69-23CF-44E3-9099-C40C66FF867C}">
                    <a14:compatExt spid="_x0000_s8237"/>
                  </a:ext>
                </a:extLst>
              </xdr:cNvPr>
              <xdr:cNvSpPr/>
            </xdr:nvSpPr>
            <xdr:spPr bwMode="auto">
              <a:xfrm>
                <a:off x="4371976" y="868965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369</xdr:row>
          <xdr:rowOff>0</xdr:rowOff>
        </xdr:from>
        <xdr:to>
          <xdr:col>5</xdr:col>
          <xdr:colOff>133351</xdr:colOff>
          <xdr:row>369</xdr:row>
          <xdr:rowOff>123826</xdr:rowOff>
        </xdr:to>
        <xdr:grpSp>
          <xdr:nvGrpSpPr>
            <xdr:cNvPr id="2085" name="Group 2084"/>
            <xdr:cNvGrpSpPr/>
          </xdr:nvGrpSpPr>
          <xdr:grpSpPr>
            <a:xfrm>
              <a:off x="3876675" y="86648925"/>
              <a:ext cx="647701" cy="123826"/>
              <a:chOff x="3876675" y="87382350"/>
              <a:chExt cx="647701" cy="123826"/>
            </a:xfrm>
          </xdr:grpSpPr>
          <xdr:sp macro="" textlink="">
            <xdr:nvSpPr>
              <xdr:cNvPr id="8238" name="Check Box 1070" hidden="1">
                <a:extLst>
                  <a:ext uri="{63B3BB69-23CF-44E3-9099-C40C66FF867C}">
                    <a14:compatExt spid="_x0000_s8238"/>
                  </a:ext>
                </a:extLst>
              </xdr:cNvPr>
              <xdr:cNvSpPr/>
            </xdr:nvSpPr>
            <xdr:spPr bwMode="auto">
              <a:xfrm>
                <a:off x="3876675" y="874014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39" name="Check Box 1071" hidden="1">
                <a:extLst>
                  <a:ext uri="{63B3BB69-23CF-44E3-9099-C40C66FF867C}">
                    <a14:compatExt spid="_x0000_s8239"/>
                  </a:ext>
                </a:extLst>
              </xdr:cNvPr>
              <xdr:cNvSpPr/>
            </xdr:nvSpPr>
            <xdr:spPr bwMode="auto">
              <a:xfrm>
                <a:off x="4105276" y="873918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40" name="Check Box 1072" hidden="1">
                <a:extLst>
                  <a:ext uri="{63B3BB69-23CF-44E3-9099-C40C66FF867C}">
                    <a14:compatExt spid="_x0000_s8240"/>
                  </a:ext>
                </a:extLst>
              </xdr:cNvPr>
              <xdr:cNvSpPr/>
            </xdr:nvSpPr>
            <xdr:spPr bwMode="auto">
              <a:xfrm>
                <a:off x="4371976" y="873823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380</xdr:row>
          <xdr:rowOff>0</xdr:rowOff>
        </xdr:from>
        <xdr:to>
          <xdr:col>5</xdr:col>
          <xdr:colOff>133351</xdr:colOff>
          <xdr:row>380</xdr:row>
          <xdr:rowOff>123826</xdr:rowOff>
        </xdr:to>
        <xdr:grpSp>
          <xdr:nvGrpSpPr>
            <xdr:cNvPr id="2091" name="Group 2090"/>
            <xdr:cNvGrpSpPr/>
          </xdr:nvGrpSpPr>
          <xdr:grpSpPr>
            <a:xfrm>
              <a:off x="3876675" y="88782525"/>
              <a:ext cx="647701" cy="123826"/>
              <a:chOff x="3876675" y="89515950"/>
              <a:chExt cx="647701" cy="123826"/>
            </a:xfrm>
          </xdr:grpSpPr>
          <xdr:sp macro="" textlink="">
            <xdr:nvSpPr>
              <xdr:cNvPr id="8241" name="Check Box 1073" hidden="1">
                <a:extLst>
                  <a:ext uri="{63B3BB69-23CF-44E3-9099-C40C66FF867C}">
                    <a14:compatExt spid="_x0000_s8241"/>
                  </a:ext>
                </a:extLst>
              </xdr:cNvPr>
              <xdr:cNvSpPr/>
            </xdr:nvSpPr>
            <xdr:spPr bwMode="auto">
              <a:xfrm>
                <a:off x="3876675" y="895350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42" name="Check Box 1074" hidden="1">
                <a:extLst>
                  <a:ext uri="{63B3BB69-23CF-44E3-9099-C40C66FF867C}">
                    <a14:compatExt spid="_x0000_s8242"/>
                  </a:ext>
                </a:extLst>
              </xdr:cNvPr>
              <xdr:cNvSpPr/>
            </xdr:nvSpPr>
            <xdr:spPr bwMode="auto">
              <a:xfrm>
                <a:off x="4105276" y="895254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43" name="Check Box 1075" hidden="1">
                <a:extLst>
                  <a:ext uri="{63B3BB69-23CF-44E3-9099-C40C66FF867C}">
                    <a14:compatExt spid="_x0000_s8243"/>
                  </a:ext>
                </a:extLst>
              </xdr:cNvPr>
              <xdr:cNvSpPr/>
            </xdr:nvSpPr>
            <xdr:spPr bwMode="auto">
              <a:xfrm>
                <a:off x="4371976" y="895159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2876550</xdr:colOff>
          <xdr:row>381</xdr:row>
          <xdr:rowOff>142875</xdr:rowOff>
        </xdr:from>
        <xdr:to>
          <xdr:col>5</xdr:col>
          <xdr:colOff>123826</xdr:colOff>
          <xdr:row>382</xdr:row>
          <xdr:rowOff>95251</xdr:rowOff>
        </xdr:to>
        <xdr:grpSp>
          <xdr:nvGrpSpPr>
            <xdr:cNvPr id="2092" name="Group 2091"/>
            <xdr:cNvGrpSpPr/>
          </xdr:nvGrpSpPr>
          <xdr:grpSpPr>
            <a:xfrm>
              <a:off x="3867150" y="89230200"/>
              <a:ext cx="647701" cy="123826"/>
              <a:chOff x="3867150" y="89963625"/>
              <a:chExt cx="647701" cy="123826"/>
            </a:xfrm>
          </xdr:grpSpPr>
          <xdr:sp macro="" textlink="">
            <xdr:nvSpPr>
              <xdr:cNvPr id="8244" name="Check Box 1076" hidden="1">
                <a:extLst>
                  <a:ext uri="{63B3BB69-23CF-44E3-9099-C40C66FF867C}">
                    <a14:compatExt spid="_x0000_s8244"/>
                  </a:ext>
                </a:extLst>
              </xdr:cNvPr>
              <xdr:cNvSpPr/>
            </xdr:nvSpPr>
            <xdr:spPr bwMode="auto">
              <a:xfrm>
                <a:off x="3867150" y="899826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45" name="Check Box 1077" hidden="1">
                <a:extLst>
                  <a:ext uri="{63B3BB69-23CF-44E3-9099-C40C66FF867C}">
                    <a14:compatExt spid="_x0000_s8245"/>
                  </a:ext>
                </a:extLst>
              </xdr:cNvPr>
              <xdr:cNvSpPr/>
            </xdr:nvSpPr>
            <xdr:spPr bwMode="auto">
              <a:xfrm>
                <a:off x="4095751" y="899731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46" name="Check Box 1078" hidden="1">
                <a:extLst>
                  <a:ext uri="{63B3BB69-23CF-44E3-9099-C40C66FF867C}">
                    <a14:compatExt spid="_x0000_s8246"/>
                  </a:ext>
                </a:extLst>
              </xdr:cNvPr>
              <xdr:cNvSpPr/>
            </xdr:nvSpPr>
            <xdr:spPr bwMode="auto">
              <a:xfrm>
                <a:off x="4362451" y="899636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383</xdr:row>
          <xdr:rowOff>0</xdr:rowOff>
        </xdr:from>
        <xdr:to>
          <xdr:col>5</xdr:col>
          <xdr:colOff>133351</xdr:colOff>
          <xdr:row>383</xdr:row>
          <xdr:rowOff>123826</xdr:rowOff>
        </xdr:to>
        <xdr:grpSp>
          <xdr:nvGrpSpPr>
            <xdr:cNvPr id="2093" name="Group 2092"/>
            <xdr:cNvGrpSpPr/>
          </xdr:nvGrpSpPr>
          <xdr:grpSpPr>
            <a:xfrm>
              <a:off x="3876675" y="89554050"/>
              <a:ext cx="647701" cy="123826"/>
              <a:chOff x="3876675" y="90287475"/>
              <a:chExt cx="647701" cy="123826"/>
            </a:xfrm>
          </xdr:grpSpPr>
          <xdr:sp macro="" textlink="">
            <xdr:nvSpPr>
              <xdr:cNvPr id="8247" name="Check Box 1079" hidden="1">
                <a:extLst>
                  <a:ext uri="{63B3BB69-23CF-44E3-9099-C40C66FF867C}">
                    <a14:compatExt spid="_x0000_s8247"/>
                  </a:ext>
                </a:extLst>
              </xdr:cNvPr>
              <xdr:cNvSpPr/>
            </xdr:nvSpPr>
            <xdr:spPr bwMode="auto">
              <a:xfrm>
                <a:off x="3876675" y="903065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48" name="Check Box 1080" hidden="1">
                <a:extLst>
                  <a:ext uri="{63B3BB69-23CF-44E3-9099-C40C66FF867C}">
                    <a14:compatExt spid="_x0000_s8248"/>
                  </a:ext>
                </a:extLst>
              </xdr:cNvPr>
              <xdr:cNvSpPr/>
            </xdr:nvSpPr>
            <xdr:spPr bwMode="auto">
              <a:xfrm>
                <a:off x="4105276" y="902970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49" name="Check Box 1081" hidden="1">
                <a:extLst>
                  <a:ext uri="{63B3BB69-23CF-44E3-9099-C40C66FF867C}">
                    <a14:compatExt spid="_x0000_s8249"/>
                  </a:ext>
                </a:extLst>
              </xdr:cNvPr>
              <xdr:cNvSpPr/>
            </xdr:nvSpPr>
            <xdr:spPr bwMode="auto">
              <a:xfrm>
                <a:off x="4371976" y="902874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385</xdr:row>
          <xdr:rowOff>0</xdr:rowOff>
        </xdr:from>
        <xdr:to>
          <xdr:col>5</xdr:col>
          <xdr:colOff>133351</xdr:colOff>
          <xdr:row>385</xdr:row>
          <xdr:rowOff>123826</xdr:rowOff>
        </xdr:to>
        <xdr:grpSp>
          <xdr:nvGrpSpPr>
            <xdr:cNvPr id="2094" name="Group 2093"/>
            <xdr:cNvGrpSpPr/>
          </xdr:nvGrpSpPr>
          <xdr:grpSpPr>
            <a:xfrm>
              <a:off x="3876675" y="90068400"/>
              <a:ext cx="647701" cy="123826"/>
              <a:chOff x="3876675" y="90801825"/>
              <a:chExt cx="647701" cy="123826"/>
            </a:xfrm>
          </xdr:grpSpPr>
          <xdr:sp macro="" textlink="">
            <xdr:nvSpPr>
              <xdr:cNvPr id="8250" name="Check Box 1082" hidden="1">
                <a:extLst>
                  <a:ext uri="{63B3BB69-23CF-44E3-9099-C40C66FF867C}">
                    <a14:compatExt spid="_x0000_s8250"/>
                  </a:ext>
                </a:extLst>
              </xdr:cNvPr>
              <xdr:cNvSpPr/>
            </xdr:nvSpPr>
            <xdr:spPr bwMode="auto">
              <a:xfrm>
                <a:off x="3876675" y="908208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51" name="Check Box 1083" hidden="1">
                <a:extLst>
                  <a:ext uri="{63B3BB69-23CF-44E3-9099-C40C66FF867C}">
                    <a14:compatExt spid="_x0000_s8251"/>
                  </a:ext>
                </a:extLst>
              </xdr:cNvPr>
              <xdr:cNvSpPr/>
            </xdr:nvSpPr>
            <xdr:spPr bwMode="auto">
              <a:xfrm>
                <a:off x="4105276" y="908113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52" name="Check Box 1084" hidden="1">
                <a:extLst>
                  <a:ext uri="{63B3BB69-23CF-44E3-9099-C40C66FF867C}">
                    <a14:compatExt spid="_x0000_s8252"/>
                  </a:ext>
                </a:extLst>
              </xdr:cNvPr>
              <xdr:cNvSpPr/>
            </xdr:nvSpPr>
            <xdr:spPr bwMode="auto">
              <a:xfrm>
                <a:off x="4371976" y="908018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386</xdr:row>
          <xdr:rowOff>0</xdr:rowOff>
        </xdr:from>
        <xdr:to>
          <xdr:col>5</xdr:col>
          <xdr:colOff>133351</xdr:colOff>
          <xdr:row>386</xdr:row>
          <xdr:rowOff>123826</xdr:rowOff>
        </xdr:to>
        <xdr:grpSp>
          <xdr:nvGrpSpPr>
            <xdr:cNvPr id="2095" name="Group 2094"/>
            <xdr:cNvGrpSpPr/>
          </xdr:nvGrpSpPr>
          <xdr:grpSpPr>
            <a:xfrm>
              <a:off x="3876675" y="90392250"/>
              <a:ext cx="647701" cy="123826"/>
              <a:chOff x="3876675" y="91125675"/>
              <a:chExt cx="647701" cy="123826"/>
            </a:xfrm>
          </xdr:grpSpPr>
          <xdr:sp macro="" textlink="">
            <xdr:nvSpPr>
              <xdr:cNvPr id="8253" name="Check Box 1085" hidden="1">
                <a:extLst>
                  <a:ext uri="{63B3BB69-23CF-44E3-9099-C40C66FF867C}">
                    <a14:compatExt spid="_x0000_s8253"/>
                  </a:ext>
                </a:extLst>
              </xdr:cNvPr>
              <xdr:cNvSpPr/>
            </xdr:nvSpPr>
            <xdr:spPr bwMode="auto">
              <a:xfrm>
                <a:off x="3876675" y="911447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54" name="Check Box 1086" hidden="1">
                <a:extLst>
                  <a:ext uri="{63B3BB69-23CF-44E3-9099-C40C66FF867C}">
                    <a14:compatExt spid="_x0000_s8254"/>
                  </a:ext>
                </a:extLst>
              </xdr:cNvPr>
              <xdr:cNvSpPr/>
            </xdr:nvSpPr>
            <xdr:spPr bwMode="auto">
              <a:xfrm>
                <a:off x="4105276" y="911352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55" name="Check Box 1087" hidden="1">
                <a:extLst>
                  <a:ext uri="{63B3BB69-23CF-44E3-9099-C40C66FF867C}">
                    <a14:compatExt spid="_x0000_s8255"/>
                  </a:ext>
                </a:extLst>
              </xdr:cNvPr>
              <xdr:cNvSpPr/>
            </xdr:nvSpPr>
            <xdr:spPr bwMode="auto">
              <a:xfrm>
                <a:off x="4371976" y="911256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387</xdr:row>
          <xdr:rowOff>0</xdr:rowOff>
        </xdr:from>
        <xdr:to>
          <xdr:col>5</xdr:col>
          <xdr:colOff>133351</xdr:colOff>
          <xdr:row>387</xdr:row>
          <xdr:rowOff>123826</xdr:rowOff>
        </xdr:to>
        <xdr:grpSp>
          <xdr:nvGrpSpPr>
            <xdr:cNvPr id="2100" name="Group 2099"/>
            <xdr:cNvGrpSpPr/>
          </xdr:nvGrpSpPr>
          <xdr:grpSpPr>
            <a:xfrm>
              <a:off x="3876675" y="90716100"/>
              <a:ext cx="647701" cy="123826"/>
              <a:chOff x="3876675" y="91449525"/>
              <a:chExt cx="647701" cy="123826"/>
            </a:xfrm>
          </xdr:grpSpPr>
          <xdr:sp macro="" textlink="">
            <xdr:nvSpPr>
              <xdr:cNvPr id="8256" name="Check Box 1088" hidden="1">
                <a:extLst>
                  <a:ext uri="{63B3BB69-23CF-44E3-9099-C40C66FF867C}">
                    <a14:compatExt spid="_x0000_s8256"/>
                  </a:ext>
                </a:extLst>
              </xdr:cNvPr>
              <xdr:cNvSpPr/>
            </xdr:nvSpPr>
            <xdr:spPr bwMode="auto">
              <a:xfrm>
                <a:off x="3876675" y="914685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57" name="Check Box 1089" hidden="1">
                <a:extLst>
                  <a:ext uri="{63B3BB69-23CF-44E3-9099-C40C66FF867C}">
                    <a14:compatExt spid="_x0000_s8257"/>
                  </a:ext>
                </a:extLst>
              </xdr:cNvPr>
              <xdr:cNvSpPr/>
            </xdr:nvSpPr>
            <xdr:spPr bwMode="auto">
              <a:xfrm>
                <a:off x="4105276" y="914590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58" name="Check Box 1090" hidden="1">
                <a:extLst>
                  <a:ext uri="{63B3BB69-23CF-44E3-9099-C40C66FF867C}">
                    <a14:compatExt spid="_x0000_s8258"/>
                  </a:ext>
                </a:extLst>
              </xdr:cNvPr>
              <xdr:cNvSpPr/>
            </xdr:nvSpPr>
            <xdr:spPr bwMode="auto">
              <a:xfrm>
                <a:off x="4371976" y="914495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388</xdr:row>
          <xdr:rowOff>0</xdr:rowOff>
        </xdr:from>
        <xdr:to>
          <xdr:col>5</xdr:col>
          <xdr:colOff>133351</xdr:colOff>
          <xdr:row>388</xdr:row>
          <xdr:rowOff>123826</xdr:rowOff>
        </xdr:to>
        <xdr:grpSp>
          <xdr:nvGrpSpPr>
            <xdr:cNvPr id="2099" name="Group 2098"/>
            <xdr:cNvGrpSpPr/>
          </xdr:nvGrpSpPr>
          <xdr:grpSpPr>
            <a:xfrm>
              <a:off x="3876675" y="91039950"/>
              <a:ext cx="647701" cy="123826"/>
              <a:chOff x="3876675" y="91773375"/>
              <a:chExt cx="647701" cy="123826"/>
            </a:xfrm>
          </xdr:grpSpPr>
          <xdr:sp macro="" textlink="">
            <xdr:nvSpPr>
              <xdr:cNvPr id="8262" name="Check Box 1094" hidden="1">
                <a:extLst>
                  <a:ext uri="{63B3BB69-23CF-44E3-9099-C40C66FF867C}">
                    <a14:compatExt spid="_x0000_s8262"/>
                  </a:ext>
                </a:extLst>
              </xdr:cNvPr>
              <xdr:cNvSpPr/>
            </xdr:nvSpPr>
            <xdr:spPr bwMode="auto">
              <a:xfrm>
                <a:off x="3876675" y="917924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63" name="Check Box 1095" hidden="1">
                <a:extLst>
                  <a:ext uri="{63B3BB69-23CF-44E3-9099-C40C66FF867C}">
                    <a14:compatExt spid="_x0000_s8263"/>
                  </a:ext>
                </a:extLst>
              </xdr:cNvPr>
              <xdr:cNvSpPr/>
            </xdr:nvSpPr>
            <xdr:spPr bwMode="auto">
              <a:xfrm>
                <a:off x="4105276" y="917829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64" name="Check Box 1096" hidden="1">
                <a:extLst>
                  <a:ext uri="{63B3BB69-23CF-44E3-9099-C40C66FF867C}">
                    <a14:compatExt spid="_x0000_s8264"/>
                  </a:ext>
                </a:extLst>
              </xdr:cNvPr>
              <xdr:cNvSpPr/>
            </xdr:nvSpPr>
            <xdr:spPr bwMode="auto">
              <a:xfrm>
                <a:off x="4371976" y="917733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390</xdr:row>
          <xdr:rowOff>0</xdr:rowOff>
        </xdr:from>
        <xdr:to>
          <xdr:col>5</xdr:col>
          <xdr:colOff>133351</xdr:colOff>
          <xdr:row>390</xdr:row>
          <xdr:rowOff>123826</xdr:rowOff>
        </xdr:to>
        <xdr:grpSp>
          <xdr:nvGrpSpPr>
            <xdr:cNvPr id="2108" name="Group 2107"/>
            <xdr:cNvGrpSpPr/>
          </xdr:nvGrpSpPr>
          <xdr:grpSpPr>
            <a:xfrm>
              <a:off x="3876675" y="91478100"/>
              <a:ext cx="647701" cy="123826"/>
              <a:chOff x="3876675" y="92211525"/>
              <a:chExt cx="647701" cy="123826"/>
            </a:xfrm>
          </xdr:grpSpPr>
          <xdr:sp macro="" textlink="">
            <xdr:nvSpPr>
              <xdr:cNvPr id="8265" name="Check Box 1097" hidden="1">
                <a:extLst>
                  <a:ext uri="{63B3BB69-23CF-44E3-9099-C40C66FF867C}">
                    <a14:compatExt spid="_x0000_s8265"/>
                  </a:ext>
                </a:extLst>
              </xdr:cNvPr>
              <xdr:cNvSpPr/>
            </xdr:nvSpPr>
            <xdr:spPr bwMode="auto">
              <a:xfrm>
                <a:off x="3876675" y="922305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66" name="Check Box 1098" hidden="1">
                <a:extLst>
                  <a:ext uri="{63B3BB69-23CF-44E3-9099-C40C66FF867C}">
                    <a14:compatExt spid="_x0000_s8266"/>
                  </a:ext>
                </a:extLst>
              </xdr:cNvPr>
              <xdr:cNvSpPr/>
            </xdr:nvSpPr>
            <xdr:spPr bwMode="auto">
              <a:xfrm>
                <a:off x="4105276" y="922210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67" name="Check Box 1099" hidden="1">
                <a:extLst>
                  <a:ext uri="{63B3BB69-23CF-44E3-9099-C40C66FF867C}">
                    <a14:compatExt spid="_x0000_s8267"/>
                  </a:ext>
                </a:extLst>
              </xdr:cNvPr>
              <xdr:cNvSpPr/>
            </xdr:nvSpPr>
            <xdr:spPr bwMode="auto">
              <a:xfrm>
                <a:off x="4371976" y="922115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391</xdr:row>
          <xdr:rowOff>0</xdr:rowOff>
        </xdr:from>
        <xdr:to>
          <xdr:col>5</xdr:col>
          <xdr:colOff>133351</xdr:colOff>
          <xdr:row>391</xdr:row>
          <xdr:rowOff>123826</xdr:rowOff>
        </xdr:to>
        <xdr:grpSp>
          <xdr:nvGrpSpPr>
            <xdr:cNvPr id="2109" name="Group 2108"/>
            <xdr:cNvGrpSpPr/>
          </xdr:nvGrpSpPr>
          <xdr:grpSpPr>
            <a:xfrm>
              <a:off x="3876675" y="91640025"/>
              <a:ext cx="647701" cy="123826"/>
              <a:chOff x="3876675" y="92373450"/>
              <a:chExt cx="647701" cy="123826"/>
            </a:xfrm>
          </xdr:grpSpPr>
          <xdr:sp macro="" textlink="">
            <xdr:nvSpPr>
              <xdr:cNvPr id="8268" name="Check Box 1100" hidden="1">
                <a:extLst>
                  <a:ext uri="{63B3BB69-23CF-44E3-9099-C40C66FF867C}">
                    <a14:compatExt spid="_x0000_s8268"/>
                  </a:ext>
                </a:extLst>
              </xdr:cNvPr>
              <xdr:cNvSpPr/>
            </xdr:nvSpPr>
            <xdr:spPr bwMode="auto">
              <a:xfrm>
                <a:off x="3876675" y="923925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69" name="Check Box 1101" hidden="1">
                <a:extLst>
                  <a:ext uri="{63B3BB69-23CF-44E3-9099-C40C66FF867C}">
                    <a14:compatExt spid="_x0000_s8269"/>
                  </a:ext>
                </a:extLst>
              </xdr:cNvPr>
              <xdr:cNvSpPr/>
            </xdr:nvSpPr>
            <xdr:spPr bwMode="auto">
              <a:xfrm>
                <a:off x="4105276" y="923829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70" name="Check Box 1102" hidden="1">
                <a:extLst>
                  <a:ext uri="{63B3BB69-23CF-44E3-9099-C40C66FF867C}">
                    <a14:compatExt spid="_x0000_s8270"/>
                  </a:ext>
                </a:extLst>
              </xdr:cNvPr>
              <xdr:cNvSpPr/>
            </xdr:nvSpPr>
            <xdr:spPr bwMode="auto">
              <a:xfrm>
                <a:off x="4371976" y="923734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392</xdr:row>
          <xdr:rowOff>0</xdr:rowOff>
        </xdr:from>
        <xdr:to>
          <xdr:col>5</xdr:col>
          <xdr:colOff>133351</xdr:colOff>
          <xdr:row>392</xdr:row>
          <xdr:rowOff>123826</xdr:rowOff>
        </xdr:to>
        <xdr:grpSp>
          <xdr:nvGrpSpPr>
            <xdr:cNvPr id="2110" name="Group 2109"/>
            <xdr:cNvGrpSpPr/>
          </xdr:nvGrpSpPr>
          <xdr:grpSpPr>
            <a:xfrm>
              <a:off x="3876675" y="91963875"/>
              <a:ext cx="647701" cy="123826"/>
              <a:chOff x="3876675" y="92697300"/>
              <a:chExt cx="647701" cy="123826"/>
            </a:xfrm>
          </xdr:grpSpPr>
          <xdr:sp macro="" textlink="">
            <xdr:nvSpPr>
              <xdr:cNvPr id="8274" name="Check Box 1106" hidden="1">
                <a:extLst>
                  <a:ext uri="{63B3BB69-23CF-44E3-9099-C40C66FF867C}">
                    <a14:compatExt spid="_x0000_s8274"/>
                  </a:ext>
                </a:extLst>
              </xdr:cNvPr>
              <xdr:cNvSpPr/>
            </xdr:nvSpPr>
            <xdr:spPr bwMode="auto">
              <a:xfrm>
                <a:off x="3876675" y="927163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75" name="Check Box 1107" hidden="1">
                <a:extLst>
                  <a:ext uri="{63B3BB69-23CF-44E3-9099-C40C66FF867C}">
                    <a14:compatExt spid="_x0000_s8275"/>
                  </a:ext>
                </a:extLst>
              </xdr:cNvPr>
              <xdr:cNvSpPr/>
            </xdr:nvSpPr>
            <xdr:spPr bwMode="auto">
              <a:xfrm>
                <a:off x="4105276" y="927068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76" name="Check Box 1108" hidden="1">
                <a:extLst>
                  <a:ext uri="{63B3BB69-23CF-44E3-9099-C40C66FF867C}">
                    <a14:compatExt spid="_x0000_s8276"/>
                  </a:ext>
                </a:extLst>
              </xdr:cNvPr>
              <xdr:cNvSpPr/>
            </xdr:nvSpPr>
            <xdr:spPr bwMode="auto">
              <a:xfrm>
                <a:off x="4371976" y="926973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393</xdr:row>
          <xdr:rowOff>0</xdr:rowOff>
        </xdr:from>
        <xdr:to>
          <xdr:col>5</xdr:col>
          <xdr:colOff>133351</xdr:colOff>
          <xdr:row>393</xdr:row>
          <xdr:rowOff>123826</xdr:rowOff>
        </xdr:to>
        <xdr:grpSp>
          <xdr:nvGrpSpPr>
            <xdr:cNvPr id="2111" name="Group 2110"/>
            <xdr:cNvGrpSpPr/>
          </xdr:nvGrpSpPr>
          <xdr:grpSpPr>
            <a:xfrm>
              <a:off x="3876675" y="92316300"/>
              <a:ext cx="647701" cy="123826"/>
              <a:chOff x="3876675" y="93049725"/>
              <a:chExt cx="647701" cy="123826"/>
            </a:xfrm>
          </xdr:grpSpPr>
          <xdr:sp macro="" textlink="">
            <xdr:nvSpPr>
              <xdr:cNvPr id="8280" name="Check Box 1112" hidden="1">
                <a:extLst>
                  <a:ext uri="{63B3BB69-23CF-44E3-9099-C40C66FF867C}">
                    <a14:compatExt spid="_x0000_s8280"/>
                  </a:ext>
                </a:extLst>
              </xdr:cNvPr>
              <xdr:cNvSpPr/>
            </xdr:nvSpPr>
            <xdr:spPr bwMode="auto">
              <a:xfrm>
                <a:off x="3876675" y="930687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81" name="Check Box 1113" hidden="1">
                <a:extLst>
                  <a:ext uri="{63B3BB69-23CF-44E3-9099-C40C66FF867C}">
                    <a14:compatExt spid="_x0000_s8281"/>
                  </a:ext>
                </a:extLst>
              </xdr:cNvPr>
              <xdr:cNvSpPr/>
            </xdr:nvSpPr>
            <xdr:spPr bwMode="auto">
              <a:xfrm>
                <a:off x="4105276" y="930592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82" name="Check Box 1114" hidden="1">
                <a:extLst>
                  <a:ext uri="{63B3BB69-23CF-44E3-9099-C40C66FF867C}">
                    <a14:compatExt spid="_x0000_s8282"/>
                  </a:ext>
                </a:extLst>
              </xdr:cNvPr>
              <xdr:cNvSpPr/>
            </xdr:nvSpPr>
            <xdr:spPr bwMode="auto">
              <a:xfrm>
                <a:off x="4371976" y="930497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394</xdr:row>
          <xdr:rowOff>0</xdr:rowOff>
        </xdr:from>
        <xdr:to>
          <xdr:col>5</xdr:col>
          <xdr:colOff>133351</xdr:colOff>
          <xdr:row>394</xdr:row>
          <xdr:rowOff>123826</xdr:rowOff>
        </xdr:to>
        <xdr:grpSp>
          <xdr:nvGrpSpPr>
            <xdr:cNvPr id="8286" name="Group 8285"/>
            <xdr:cNvGrpSpPr/>
          </xdr:nvGrpSpPr>
          <xdr:grpSpPr>
            <a:xfrm>
              <a:off x="3876675" y="92640150"/>
              <a:ext cx="647701" cy="123826"/>
              <a:chOff x="3876675" y="93373575"/>
              <a:chExt cx="647701" cy="123826"/>
            </a:xfrm>
          </xdr:grpSpPr>
          <xdr:sp macro="" textlink="">
            <xdr:nvSpPr>
              <xdr:cNvPr id="8283" name="Check Box 1115" hidden="1">
                <a:extLst>
                  <a:ext uri="{63B3BB69-23CF-44E3-9099-C40C66FF867C}">
                    <a14:compatExt spid="_x0000_s8283"/>
                  </a:ext>
                </a:extLst>
              </xdr:cNvPr>
              <xdr:cNvSpPr/>
            </xdr:nvSpPr>
            <xdr:spPr bwMode="auto">
              <a:xfrm>
                <a:off x="3876675" y="933926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84" name="Check Box 1116" hidden="1">
                <a:extLst>
                  <a:ext uri="{63B3BB69-23CF-44E3-9099-C40C66FF867C}">
                    <a14:compatExt spid="_x0000_s8284"/>
                  </a:ext>
                </a:extLst>
              </xdr:cNvPr>
              <xdr:cNvSpPr/>
            </xdr:nvSpPr>
            <xdr:spPr bwMode="auto">
              <a:xfrm>
                <a:off x="4105276" y="933831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85" name="Check Box 1117" hidden="1">
                <a:extLst>
                  <a:ext uri="{63B3BB69-23CF-44E3-9099-C40C66FF867C}">
                    <a14:compatExt spid="_x0000_s8285"/>
                  </a:ext>
                </a:extLst>
              </xdr:cNvPr>
              <xdr:cNvSpPr/>
            </xdr:nvSpPr>
            <xdr:spPr bwMode="auto">
              <a:xfrm>
                <a:off x="4371976" y="933735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397</xdr:row>
          <xdr:rowOff>0</xdr:rowOff>
        </xdr:from>
        <xdr:to>
          <xdr:col>5</xdr:col>
          <xdr:colOff>133351</xdr:colOff>
          <xdr:row>397</xdr:row>
          <xdr:rowOff>123826</xdr:rowOff>
        </xdr:to>
        <xdr:grpSp>
          <xdr:nvGrpSpPr>
            <xdr:cNvPr id="2116" name="Group 2115"/>
            <xdr:cNvGrpSpPr/>
          </xdr:nvGrpSpPr>
          <xdr:grpSpPr>
            <a:xfrm>
              <a:off x="3876675" y="93421200"/>
              <a:ext cx="647701" cy="123826"/>
              <a:chOff x="3876675" y="94154625"/>
              <a:chExt cx="647701" cy="123826"/>
            </a:xfrm>
          </xdr:grpSpPr>
          <xdr:sp macro="" textlink="">
            <xdr:nvSpPr>
              <xdr:cNvPr id="1048" name="Check Box 1118" hidden="1">
                <a:extLst>
                  <a:ext uri="{63B3BB69-23CF-44E3-9099-C40C66FF867C}">
                    <a14:compatExt spid="_x0000_s8286"/>
                  </a:ext>
                </a:extLst>
              </xdr:cNvPr>
              <xdr:cNvSpPr/>
            </xdr:nvSpPr>
            <xdr:spPr bwMode="auto">
              <a:xfrm>
                <a:off x="3876675" y="941736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87" name="Check Box 1119" hidden="1">
                <a:extLst>
                  <a:ext uri="{63B3BB69-23CF-44E3-9099-C40C66FF867C}">
                    <a14:compatExt spid="_x0000_s8287"/>
                  </a:ext>
                </a:extLst>
              </xdr:cNvPr>
              <xdr:cNvSpPr/>
            </xdr:nvSpPr>
            <xdr:spPr bwMode="auto">
              <a:xfrm>
                <a:off x="4105276" y="941641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88" name="Check Box 1120" hidden="1">
                <a:extLst>
                  <a:ext uri="{63B3BB69-23CF-44E3-9099-C40C66FF867C}">
                    <a14:compatExt spid="_x0000_s8288"/>
                  </a:ext>
                </a:extLst>
              </xdr:cNvPr>
              <xdr:cNvSpPr/>
            </xdr:nvSpPr>
            <xdr:spPr bwMode="auto">
              <a:xfrm>
                <a:off x="4371976" y="941546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398</xdr:row>
          <xdr:rowOff>28575</xdr:rowOff>
        </xdr:from>
        <xdr:to>
          <xdr:col>5</xdr:col>
          <xdr:colOff>161926</xdr:colOff>
          <xdr:row>398</xdr:row>
          <xdr:rowOff>152401</xdr:rowOff>
        </xdr:to>
        <xdr:grpSp>
          <xdr:nvGrpSpPr>
            <xdr:cNvPr id="2117" name="Group 2116"/>
            <xdr:cNvGrpSpPr/>
          </xdr:nvGrpSpPr>
          <xdr:grpSpPr>
            <a:xfrm>
              <a:off x="3905250" y="93773625"/>
              <a:ext cx="647701" cy="123826"/>
              <a:chOff x="3905250" y="94507050"/>
              <a:chExt cx="647701" cy="123826"/>
            </a:xfrm>
          </xdr:grpSpPr>
          <xdr:sp macro="" textlink="">
            <xdr:nvSpPr>
              <xdr:cNvPr id="8289" name="Check Box 1121" hidden="1">
                <a:extLst>
                  <a:ext uri="{63B3BB69-23CF-44E3-9099-C40C66FF867C}">
                    <a14:compatExt spid="_x0000_s8289"/>
                  </a:ext>
                </a:extLst>
              </xdr:cNvPr>
              <xdr:cNvSpPr/>
            </xdr:nvSpPr>
            <xdr:spPr bwMode="auto">
              <a:xfrm>
                <a:off x="3905250" y="945261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90" name="Check Box 1122" hidden="1">
                <a:extLst>
                  <a:ext uri="{63B3BB69-23CF-44E3-9099-C40C66FF867C}">
                    <a14:compatExt spid="_x0000_s8290"/>
                  </a:ext>
                </a:extLst>
              </xdr:cNvPr>
              <xdr:cNvSpPr/>
            </xdr:nvSpPr>
            <xdr:spPr bwMode="auto">
              <a:xfrm>
                <a:off x="4133851" y="945165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91" name="Check Box 1123" hidden="1">
                <a:extLst>
                  <a:ext uri="{63B3BB69-23CF-44E3-9099-C40C66FF867C}">
                    <a14:compatExt spid="_x0000_s8291"/>
                  </a:ext>
                </a:extLst>
              </xdr:cNvPr>
              <xdr:cNvSpPr/>
            </xdr:nvSpPr>
            <xdr:spPr bwMode="auto">
              <a:xfrm>
                <a:off x="4400551" y="945070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401</xdr:row>
          <xdr:rowOff>0</xdr:rowOff>
        </xdr:from>
        <xdr:to>
          <xdr:col>5</xdr:col>
          <xdr:colOff>133351</xdr:colOff>
          <xdr:row>401</xdr:row>
          <xdr:rowOff>123826</xdr:rowOff>
        </xdr:to>
        <xdr:grpSp>
          <xdr:nvGrpSpPr>
            <xdr:cNvPr id="2118" name="Group 2117"/>
            <xdr:cNvGrpSpPr/>
          </xdr:nvGrpSpPr>
          <xdr:grpSpPr>
            <a:xfrm>
              <a:off x="3876675" y="94507050"/>
              <a:ext cx="647701" cy="123826"/>
              <a:chOff x="3876675" y="95240475"/>
              <a:chExt cx="647701" cy="123826"/>
            </a:xfrm>
          </xdr:grpSpPr>
          <xdr:sp macro="" textlink="">
            <xdr:nvSpPr>
              <xdr:cNvPr id="8292" name="Check Box 1124" hidden="1">
                <a:extLst>
                  <a:ext uri="{63B3BB69-23CF-44E3-9099-C40C66FF867C}">
                    <a14:compatExt spid="_x0000_s8292"/>
                  </a:ext>
                </a:extLst>
              </xdr:cNvPr>
              <xdr:cNvSpPr/>
            </xdr:nvSpPr>
            <xdr:spPr bwMode="auto">
              <a:xfrm>
                <a:off x="3876675" y="952595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93" name="Check Box 1125" hidden="1">
                <a:extLst>
                  <a:ext uri="{63B3BB69-23CF-44E3-9099-C40C66FF867C}">
                    <a14:compatExt spid="_x0000_s8293"/>
                  </a:ext>
                </a:extLst>
              </xdr:cNvPr>
              <xdr:cNvSpPr/>
            </xdr:nvSpPr>
            <xdr:spPr bwMode="auto">
              <a:xfrm>
                <a:off x="4105276" y="952500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94" name="Check Box 1126" hidden="1">
                <a:extLst>
                  <a:ext uri="{63B3BB69-23CF-44E3-9099-C40C66FF867C}">
                    <a14:compatExt spid="_x0000_s8294"/>
                  </a:ext>
                </a:extLst>
              </xdr:cNvPr>
              <xdr:cNvSpPr/>
            </xdr:nvSpPr>
            <xdr:spPr bwMode="auto">
              <a:xfrm>
                <a:off x="4371976" y="952404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402</xdr:row>
          <xdr:rowOff>0</xdr:rowOff>
        </xdr:from>
        <xdr:to>
          <xdr:col>5</xdr:col>
          <xdr:colOff>133351</xdr:colOff>
          <xdr:row>402</xdr:row>
          <xdr:rowOff>123826</xdr:rowOff>
        </xdr:to>
        <xdr:grpSp>
          <xdr:nvGrpSpPr>
            <xdr:cNvPr id="2122" name="Group 2121"/>
            <xdr:cNvGrpSpPr/>
          </xdr:nvGrpSpPr>
          <xdr:grpSpPr>
            <a:xfrm>
              <a:off x="3876675" y="95354775"/>
              <a:ext cx="647701" cy="123826"/>
              <a:chOff x="3876675" y="96050100"/>
              <a:chExt cx="647701" cy="123826"/>
            </a:xfrm>
          </xdr:grpSpPr>
          <xdr:sp macro="" textlink="">
            <xdr:nvSpPr>
              <xdr:cNvPr id="8295" name="Check Box 1127" hidden="1">
                <a:extLst>
                  <a:ext uri="{63B3BB69-23CF-44E3-9099-C40C66FF867C}">
                    <a14:compatExt spid="_x0000_s8295"/>
                  </a:ext>
                </a:extLst>
              </xdr:cNvPr>
              <xdr:cNvSpPr/>
            </xdr:nvSpPr>
            <xdr:spPr bwMode="auto">
              <a:xfrm>
                <a:off x="3876675" y="960691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96" name="Check Box 1128" hidden="1">
                <a:extLst>
                  <a:ext uri="{63B3BB69-23CF-44E3-9099-C40C66FF867C}">
                    <a14:compatExt spid="_x0000_s8296"/>
                  </a:ext>
                </a:extLst>
              </xdr:cNvPr>
              <xdr:cNvSpPr/>
            </xdr:nvSpPr>
            <xdr:spPr bwMode="auto">
              <a:xfrm>
                <a:off x="4105276" y="960596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97" name="Check Box 1129" hidden="1">
                <a:extLst>
                  <a:ext uri="{63B3BB69-23CF-44E3-9099-C40C66FF867C}">
                    <a14:compatExt spid="_x0000_s8297"/>
                  </a:ext>
                </a:extLst>
              </xdr:cNvPr>
              <xdr:cNvSpPr/>
            </xdr:nvSpPr>
            <xdr:spPr bwMode="auto">
              <a:xfrm>
                <a:off x="4371976" y="960501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403</xdr:row>
          <xdr:rowOff>0</xdr:rowOff>
        </xdr:from>
        <xdr:to>
          <xdr:col>5</xdr:col>
          <xdr:colOff>133351</xdr:colOff>
          <xdr:row>403</xdr:row>
          <xdr:rowOff>123826</xdr:rowOff>
        </xdr:to>
        <xdr:grpSp>
          <xdr:nvGrpSpPr>
            <xdr:cNvPr id="2123" name="Group 2122"/>
            <xdr:cNvGrpSpPr/>
          </xdr:nvGrpSpPr>
          <xdr:grpSpPr>
            <a:xfrm>
              <a:off x="3876675" y="95640525"/>
              <a:ext cx="647701" cy="123826"/>
              <a:chOff x="3876675" y="96278700"/>
              <a:chExt cx="647701" cy="123826"/>
            </a:xfrm>
          </xdr:grpSpPr>
          <xdr:sp macro="" textlink="">
            <xdr:nvSpPr>
              <xdr:cNvPr id="8298" name="Check Box 1130" hidden="1">
                <a:extLst>
                  <a:ext uri="{63B3BB69-23CF-44E3-9099-C40C66FF867C}">
                    <a14:compatExt spid="_x0000_s8298"/>
                  </a:ext>
                </a:extLst>
              </xdr:cNvPr>
              <xdr:cNvSpPr/>
            </xdr:nvSpPr>
            <xdr:spPr bwMode="auto">
              <a:xfrm>
                <a:off x="3876675" y="962977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299" name="Check Box 1131" hidden="1">
                <a:extLst>
                  <a:ext uri="{63B3BB69-23CF-44E3-9099-C40C66FF867C}">
                    <a14:compatExt spid="_x0000_s8299"/>
                  </a:ext>
                </a:extLst>
              </xdr:cNvPr>
              <xdr:cNvSpPr/>
            </xdr:nvSpPr>
            <xdr:spPr bwMode="auto">
              <a:xfrm>
                <a:off x="4105276" y="962882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00" name="Check Box 1132" hidden="1">
                <a:extLst>
                  <a:ext uri="{63B3BB69-23CF-44E3-9099-C40C66FF867C}">
                    <a14:compatExt spid="_x0000_s8300"/>
                  </a:ext>
                </a:extLst>
              </xdr:cNvPr>
              <xdr:cNvSpPr/>
            </xdr:nvSpPr>
            <xdr:spPr bwMode="auto">
              <a:xfrm>
                <a:off x="4371976" y="962787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404</xdr:row>
          <xdr:rowOff>0</xdr:rowOff>
        </xdr:from>
        <xdr:to>
          <xdr:col>5</xdr:col>
          <xdr:colOff>133351</xdr:colOff>
          <xdr:row>404</xdr:row>
          <xdr:rowOff>123826</xdr:rowOff>
        </xdr:to>
        <xdr:grpSp>
          <xdr:nvGrpSpPr>
            <xdr:cNvPr id="2124" name="Group 2123"/>
            <xdr:cNvGrpSpPr/>
          </xdr:nvGrpSpPr>
          <xdr:grpSpPr>
            <a:xfrm>
              <a:off x="3876675" y="95964375"/>
              <a:ext cx="647701" cy="123826"/>
              <a:chOff x="3876675" y="96602550"/>
              <a:chExt cx="647701" cy="123826"/>
            </a:xfrm>
          </xdr:grpSpPr>
          <xdr:sp macro="" textlink="">
            <xdr:nvSpPr>
              <xdr:cNvPr id="8301" name="Check Box 1133" hidden="1">
                <a:extLst>
                  <a:ext uri="{63B3BB69-23CF-44E3-9099-C40C66FF867C}">
                    <a14:compatExt spid="_x0000_s8301"/>
                  </a:ext>
                </a:extLst>
              </xdr:cNvPr>
              <xdr:cNvSpPr/>
            </xdr:nvSpPr>
            <xdr:spPr bwMode="auto">
              <a:xfrm>
                <a:off x="3876675" y="966216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02" name="Check Box 1134" hidden="1">
                <a:extLst>
                  <a:ext uri="{63B3BB69-23CF-44E3-9099-C40C66FF867C}">
                    <a14:compatExt spid="_x0000_s8302"/>
                  </a:ext>
                </a:extLst>
              </xdr:cNvPr>
              <xdr:cNvSpPr/>
            </xdr:nvSpPr>
            <xdr:spPr bwMode="auto">
              <a:xfrm>
                <a:off x="4105276" y="966120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03" name="Check Box 1135" hidden="1">
                <a:extLst>
                  <a:ext uri="{63B3BB69-23CF-44E3-9099-C40C66FF867C}">
                    <a14:compatExt spid="_x0000_s8303"/>
                  </a:ext>
                </a:extLst>
              </xdr:cNvPr>
              <xdr:cNvSpPr/>
            </xdr:nvSpPr>
            <xdr:spPr bwMode="auto">
              <a:xfrm>
                <a:off x="4371976" y="966025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405</xdr:row>
          <xdr:rowOff>0</xdr:rowOff>
        </xdr:from>
        <xdr:to>
          <xdr:col>5</xdr:col>
          <xdr:colOff>133351</xdr:colOff>
          <xdr:row>405</xdr:row>
          <xdr:rowOff>123826</xdr:rowOff>
        </xdr:to>
        <xdr:grpSp>
          <xdr:nvGrpSpPr>
            <xdr:cNvPr id="2126" name="Group 2125"/>
            <xdr:cNvGrpSpPr/>
          </xdr:nvGrpSpPr>
          <xdr:grpSpPr>
            <a:xfrm>
              <a:off x="3876675" y="96583500"/>
              <a:ext cx="647701" cy="123826"/>
              <a:chOff x="3876675" y="97221675"/>
              <a:chExt cx="647701" cy="123826"/>
            </a:xfrm>
          </xdr:grpSpPr>
          <xdr:sp macro="" textlink="">
            <xdr:nvSpPr>
              <xdr:cNvPr id="8304" name="Check Box 1136" hidden="1">
                <a:extLst>
                  <a:ext uri="{63B3BB69-23CF-44E3-9099-C40C66FF867C}">
                    <a14:compatExt spid="_x0000_s8304"/>
                  </a:ext>
                </a:extLst>
              </xdr:cNvPr>
              <xdr:cNvSpPr/>
            </xdr:nvSpPr>
            <xdr:spPr bwMode="auto">
              <a:xfrm>
                <a:off x="3876675" y="972407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05" name="Check Box 1137" hidden="1">
                <a:extLst>
                  <a:ext uri="{63B3BB69-23CF-44E3-9099-C40C66FF867C}">
                    <a14:compatExt spid="_x0000_s8305"/>
                  </a:ext>
                </a:extLst>
              </xdr:cNvPr>
              <xdr:cNvSpPr/>
            </xdr:nvSpPr>
            <xdr:spPr bwMode="auto">
              <a:xfrm>
                <a:off x="4105276" y="972312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06" name="Check Box 1138" hidden="1">
                <a:extLst>
                  <a:ext uri="{63B3BB69-23CF-44E3-9099-C40C66FF867C}">
                    <a14:compatExt spid="_x0000_s8306"/>
                  </a:ext>
                </a:extLst>
              </xdr:cNvPr>
              <xdr:cNvSpPr/>
            </xdr:nvSpPr>
            <xdr:spPr bwMode="auto">
              <a:xfrm>
                <a:off x="4371976" y="972216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656</xdr:row>
          <xdr:rowOff>57150</xdr:rowOff>
        </xdr:from>
        <xdr:to>
          <xdr:col>5</xdr:col>
          <xdr:colOff>133351</xdr:colOff>
          <xdr:row>656</xdr:row>
          <xdr:rowOff>180976</xdr:rowOff>
        </xdr:to>
        <xdr:grpSp>
          <xdr:nvGrpSpPr>
            <xdr:cNvPr id="2136" name="Group 2135"/>
            <xdr:cNvGrpSpPr/>
          </xdr:nvGrpSpPr>
          <xdr:grpSpPr>
            <a:xfrm>
              <a:off x="3876675" y="157238700"/>
              <a:ext cx="647701" cy="123826"/>
              <a:chOff x="3876675" y="158648400"/>
              <a:chExt cx="647701" cy="123826"/>
            </a:xfrm>
          </xdr:grpSpPr>
          <xdr:sp macro="" textlink="">
            <xdr:nvSpPr>
              <xdr:cNvPr id="8307" name="Check Box 1139" hidden="1">
                <a:extLst>
                  <a:ext uri="{63B3BB69-23CF-44E3-9099-C40C66FF867C}">
                    <a14:compatExt spid="_x0000_s8307"/>
                  </a:ext>
                </a:extLst>
              </xdr:cNvPr>
              <xdr:cNvSpPr/>
            </xdr:nvSpPr>
            <xdr:spPr bwMode="auto">
              <a:xfrm>
                <a:off x="3876675" y="1586674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08" name="Check Box 1140" hidden="1">
                <a:extLst>
                  <a:ext uri="{63B3BB69-23CF-44E3-9099-C40C66FF867C}">
                    <a14:compatExt spid="_x0000_s8308"/>
                  </a:ext>
                </a:extLst>
              </xdr:cNvPr>
              <xdr:cNvSpPr/>
            </xdr:nvSpPr>
            <xdr:spPr bwMode="auto">
              <a:xfrm>
                <a:off x="4105276" y="1586579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09" name="Check Box 1141" hidden="1">
                <a:extLst>
                  <a:ext uri="{63B3BB69-23CF-44E3-9099-C40C66FF867C}">
                    <a14:compatExt spid="_x0000_s8309"/>
                  </a:ext>
                </a:extLst>
              </xdr:cNvPr>
              <xdr:cNvSpPr/>
            </xdr:nvSpPr>
            <xdr:spPr bwMode="auto">
              <a:xfrm>
                <a:off x="4371976" y="1586484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659</xdr:row>
          <xdr:rowOff>38100</xdr:rowOff>
        </xdr:from>
        <xdr:to>
          <xdr:col>5</xdr:col>
          <xdr:colOff>152401</xdr:colOff>
          <xdr:row>659</xdr:row>
          <xdr:rowOff>161926</xdr:rowOff>
        </xdr:to>
        <xdr:grpSp>
          <xdr:nvGrpSpPr>
            <xdr:cNvPr id="2137" name="Group 2136"/>
            <xdr:cNvGrpSpPr/>
          </xdr:nvGrpSpPr>
          <xdr:grpSpPr>
            <a:xfrm>
              <a:off x="3895725" y="157867350"/>
              <a:ext cx="647701" cy="123826"/>
              <a:chOff x="3895725" y="159438975"/>
              <a:chExt cx="647701" cy="123826"/>
            </a:xfrm>
          </xdr:grpSpPr>
          <xdr:sp macro="" textlink="">
            <xdr:nvSpPr>
              <xdr:cNvPr id="8310" name="Check Box 1142" hidden="1">
                <a:extLst>
                  <a:ext uri="{63B3BB69-23CF-44E3-9099-C40C66FF867C}">
                    <a14:compatExt spid="_x0000_s8310"/>
                  </a:ext>
                </a:extLst>
              </xdr:cNvPr>
              <xdr:cNvSpPr/>
            </xdr:nvSpPr>
            <xdr:spPr bwMode="auto">
              <a:xfrm>
                <a:off x="3895725" y="1594580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11" name="Check Box 1143" hidden="1">
                <a:extLst>
                  <a:ext uri="{63B3BB69-23CF-44E3-9099-C40C66FF867C}">
                    <a14:compatExt spid="_x0000_s8311"/>
                  </a:ext>
                </a:extLst>
              </xdr:cNvPr>
              <xdr:cNvSpPr/>
            </xdr:nvSpPr>
            <xdr:spPr bwMode="auto">
              <a:xfrm>
                <a:off x="4124326" y="1594485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12" name="Check Box 1144" hidden="1">
                <a:extLst>
                  <a:ext uri="{63B3BB69-23CF-44E3-9099-C40C66FF867C}">
                    <a14:compatExt spid="_x0000_s8312"/>
                  </a:ext>
                </a:extLst>
              </xdr:cNvPr>
              <xdr:cNvSpPr/>
            </xdr:nvSpPr>
            <xdr:spPr bwMode="auto">
              <a:xfrm>
                <a:off x="4391026" y="1594389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660</xdr:row>
          <xdr:rowOff>0</xdr:rowOff>
        </xdr:from>
        <xdr:to>
          <xdr:col>5</xdr:col>
          <xdr:colOff>133351</xdr:colOff>
          <xdr:row>660</xdr:row>
          <xdr:rowOff>123826</xdr:rowOff>
        </xdr:to>
        <xdr:grpSp>
          <xdr:nvGrpSpPr>
            <xdr:cNvPr id="2138" name="Group 2137"/>
            <xdr:cNvGrpSpPr/>
          </xdr:nvGrpSpPr>
          <xdr:grpSpPr>
            <a:xfrm>
              <a:off x="3876675" y="158315025"/>
              <a:ext cx="647701" cy="123826"/>
              <a:chOff x="3876675" y="159886650"/>
              <a:chExt cx="647701" cy="123826"/>
            </a:xfrm>
          </xdr:grpSpPr>
          <xdr:sp macro="" textlink="">
            <xdr:nvSpPr>
              <xdr:cNvPr id="8316" name="Check Box 1148" hidden="1">
                <a:extLst>
                  <a:ext uri="{63B3BB69-23CF-44E3-9099-C40C66FF867C}">
                    <a14:compatExt spid="_x0000_s8316"/>
                  </a:ext>
                </a:extLst>
              </xdr:cNvPr>
              <xdr:cNvSpPr/>
            </xdr:nvSpPr>
            <xdr:spPr bwMode="auto">
              <a:xfrm>
                <a:off x="3876675" y="1599057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17" name="Check Box 1149" hidden="1">
                <a:extLst>
                  <a:ext uri="{63B3BB69-23CF-44E3-9099-C40C66FF867C}">
                    <a14:compatExt spid="_x0000_s8317"/>
                  </a:ext>
                </a:extLst>
              </xdr:cNvPr>
              <xdr:cNvSpPr/>
            </xdr:nvSpPr>
            <xdr:spPr bwMode="auto">
              <a:xfrm>
                <a:off x="4105276" y="1598961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18" name="Check Box 1150" hidden="1">
                <a:extLst>
                  <a:ext uri="{63B3BB69-23CF-44E3-9099-C40C66FF867C}">
                    <a14:compatExt spid="_x0000_s8318"/>
                  </a:ext>
                </a:extLst>
              </xdr:cNvPr>
              <xdr:cNvSpPr/>
            </xdr:nvSpPr>
            <xdr:spPr bwMode="auto">
              <a:xfrm>
                <a:off x="4371976" y="1598866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662</xdr:row>
          <xdr:rowOff>0</xdr:rowOff>
        </xdr:from>
        <xdr:to>
          <xdr:col>5</xdr:col>
          <xdr:colOff>133351</xdr:colOff>
          <xdr:row>662</xdr:row>
          <xdr:rowOff>123826</xdr:rowOff>
        </xdr:to>
        <xdr:grpSp>
          <xdr:nvGrpSpPr>
            <xdr:cNvPr id="2139" name="Group 2138"/>
            <xdr:cNvGrpSpPr/>
          </xdr:nvGrpSpPr>
          <xdr:grpSpPr>
            <a:xfrm>
              <a:off x="3876675" y="158962725"/>
              <a:ext cx="647701" cy="123826"/>
              <a:chOff x="3876675" y="160534350"/>
              <a:chExt cx="647701" cy="123826"/>
            </a:xfrm>
          </xdr:grpSpPr>
          <xdr:sp macro="" textlink="">
            <xdr:nvSpPr>
              <xdr:cNvPr id="8319" name="Check Box 1151" hidden="1">
                <a:extLst>
                  <a:ext uri="{63B3BB69-23CF-44E3-9099-C40C66FF867C}">
                    <a14:compatExt spid="_x0000_s8319"/>
                  </a:ext>
                </a:extLst>
              </xdr:cNvPr>
              <xdr:cNvSpPr/>
            </xdr:nvSpPr>
            <xdr:spPr bwMode="auto">
              <a:xfrm>
                <a:off x="3876675" y="1605534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20" name="Check Box 1152" hidden="1">
                <a:extLst>
                  <a:ext uri="{63B3BB69-23CF-44E3-9099-C40C66FF867C}">
                    <a14:compatExt spid="_x0000_s8320"/>
                  </a:ext>
                </a:extLst>
              </xdr:cNvPr>
              <xdr:cNvSpPr/>
            </xdr:nvSpPr>
            <xdr:spPr bwMode="auto">
              <a:xfrm>
                <a:off x="4105276" y="1605438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21" name="Check Box 1153" hidden="1">
                <a:extLst>
                  <a:ext uri="{63B3BB69-23CF-44E3-9099-C40C66FF867C}">
                    <a14:compatExt spid="_x0000_s8321"/>
                  </a:ext>
                </a:extLst>
              </xdr:cNvPr>
              <xdr:cNvSpPr/>
            </xdr:nvSpPr>
            <xdr:spPr bwMode="auto">
              <a:xfrm>
                <a:off x="4371976" y="1605343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664</xdr:row>
          <xdr:rowOff>0</xdr:rowOff>
        </xdr:from>
        <xdr:to>
          <xdr:col>5</xdr:col>
          <xdr:colOff>133351</xdr:colOff>
          <xdr:row>664</xdr:row>
          <xdr:rowOff>123826</xdr:rowOff>
        </xdr:to>
        <xdr:grpSp>
          <xdr:nvGrpSpPr>
            <xdr:cNvPr id="2140" name="Group 2139"/>
            <xdr:cNvGrpSpPr/>
          </xdr:nvGrpSpPr>
          <xdr:grpSpPr>
            <a:xfrm>
              <a:off x="3876675" y="159286575"/>
              <a:ext cx="647701" cy="123826"/>
              <a:chOff x="3876675" y="160858200"/>
              <a:chExt cx="647701" cy="123826"/>
            </a:xfrm>
          </xdr:grpSpPr>
          <xdr:sp macro="" textlink="">
            <xdr:nvSpPr>
              <xdr:cNvPr id="8322" name="Check Box 1154" hidden="1">
                <a:extLst>
                  <a:ext uri="{63B3BB69-23CF-44E3-9099-C40C66FF867C}">
                    <a14:compatExt spid="_x0000_s8322"/>
                  </a:ext>
                </a:extLst>
              </xdr:cNvPr>
              <xdr:cNvSpPr/>
            </xdr:nvSpPr>
            <xdr:spPr bwMode="auto">
              <a:xfrm>
                <a:off x="3876675" y="1608772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23" name="Check Box 1155" hidden="1">
                <a:extLst>
                  <a:ext uri="{63B3BB69-23CF-44E3-9099-C40C66FF867C}">
                    <a14:compatExt spid="_x0000_s8323"/>
                  </a:ext>
                </a:extLst>
              </xdr:cNvPr>
              <xdr:cNvSpPr/>
            </xdr:nvSpPr>
            <xdr:spPr bwMode="auto">
              <a:xfrm>
                <a:off x="4105276" y="1608677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24" name="Check Box 1156" hidden="1">
                <a:extLst>
                  <a:ext uri="{63B3BB69-23CF-44E3-9099-C40C66FF867C}">
                    <a14:compatExt spid="_x0000_s8324"/>
                  </a:ext>
                </a:extLst>
              </xdr:cNvPr>
              <xdr:cNvSpPr/>
            </xdr:nvSpPr>
            <xdr:spPr bwMode="auto">
              <a:xfrm>
                <a:off x="4371976" y="1608582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666</xdr:row>
          <xdr:rowOff>0</xdr:rowOff>
        </xdr:from>
        <xdr:to>
          <xdr:col>5</xdr:col>
          <xdr:colOff>133351</xdr:colOff>
          <xdr:row>666</xdr:row>
          <xdr:rowOff>123826</xdr:rowOff>
        </xdr:to>
        <xdr:grpSp>
          <xdr:nvGrpSpPr>
            <xdr:cNvPr id="2141" name="Group 2140"/>
            <xdr:cNvGrpSpPr/>
          </xdr:nvGrpSpPr>
          <xdr:grpSpPr>
            <a:xfrm>
              <a:off x="3876675" y="159934275"/>
              <a:ext cx="647701" cy="123826"/>
              <a:chOff x="3876675" y="161505900"/>
              <a:chExt cx="647701" cy="123826"/>
            </a:xfrm>
          </xdr:grpSpPr>
          <xdr:sp macro="" textlink="">
            <xdr:nvSpPr>
              <xdr:cNvPr id="8325" name="Check Box 1157" hidden="1">
                <a:extLst>
                  <a:ext uri="{63B3BB69-23CF-44E3-9099-C40C66FF867C}">
                    <a14:compatExt spid="_x0000_s8325"/>
                  </a:ext>
                </a:extLst>
              </xdr:cNvPr>
              <xdr:cNvSpPr/>
            </xdr:nvSpPr>
            <xdr:spPr bwMode="auto">
              <a:xfrm>
                <a:off x="3876675" y="1615249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26" name="Check Box 1158" hidden="1">
                <a:extLst>
                  <a:ext uri="{63B3BB69-23CF-44E3-9099-C40C66FF867C}">
                    <a14:compatExt spid="_x0000_s8326"/>
                  </a:ext>
                </a:extLst>
              </xdr:cNvPr>
              <xdr:cNvSpPr/>
            </xdr:nvSpPr>
            <xdr:spPr bwMode="auto">
              <a:xfrm>
                <a:off x="4105276" y="1615154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27" name="Check Box 1159" hidden="1">
                <a:extLst>
                  <a:ext uri="{63B3BB69-23CF-44E3-9099-C40C66FF867C}">
                    <a14:compatExt spid="_x0000_s8327"/>
                  </a:ext>
                </a:extLst>
              </xdr:cNvPr>
              <xdr:cNvSpPr/>
            </xdr:nvSpPr>
            <xdr:spPr bwMode="auto">
              <a:xfrm>
                <a:off x="4371976" y="1615059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674</xdr:row>
          <xdr:rowOff>0</xdr:rowOff>
        </xdr:from>
        <xdr:to>
          <xdr:col>5</xdr:col>
          <xdr:colOff>133351</xdr:colOff>
          <xdr:row>674</xdr:row>
          <xdr:rowOff>123826</xdr:rowOff>
        </xdr:to>
        <xdr:grpSp>
          <xdr:nvGrpSpPr>
            <xdr:cNvPr id="2142" name="Group 2141"/>
            <xdr:cNvGrpSpPr/>
          </xdr:nvGrpSpPr>
          <xdr:grpSpPr>
            <a:xfrm>
              <a:off x="3876675" y="161477325"/>
              <a:ext cx="647701" cy="123826"/>
              <a:chOff x="3876675" y="163048950"/>
              <a:chExt cx="647701" cy="123826"/>
            </a:xfrm>
          </xdr:grpSpPr>
          <xdr:sp macro="" textlink="">
            <xdr:nvSpPr>
              <xdr:cNvPr id="8328" name="Check Box 1160" hidden="1">
                <a:extLst>
                  <a:ext uri="{63B3BB69-23CF-44E3-9099-C40C66FF867C}">
                    <a14:compatExt spid="_x0000_s8328"/>
                  </a:ext>
                </a:extLst>
              </xdr:cNvPr>
              <xdr:cNvSpPr/>
            </xdr:nvSpPr>
            <xdr:spPr bwMode="auto">
              <a:xfrm>
                <a:off x="3876675" y="1630680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29" name="Check Box 1161" hidden="1">
                <a:extLst>
                  <a:ext uri="{63B3BB69-23CF-44E3-9099-C40C66FF867C}">
                    <a14:compatExt spid="_x0000_s8329"/>
                  </a:ext>
                </a:extLst>
              </xdr:cNvPr>
              <xdr:cNvSpPr/>
            </xdr:nvSpPr>
            <xdr:spPr bwMode="auto">
              <a:xfrm>
                <a:off x="4105276" y="1630584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30" name="Check Box 1162" hidden="1">
                <a:extLst>
                  <a:ext uri="{63B3BB69-23CF-44E3-9099-C40C66FF867C}">
                    <a14:compatExt spid="_x0000_s8330"/>
                  </a:ext>
                </a:extLst>
              </xdr:cNvPr>
              <xdr:cNvSpPr/>
            </xdr:nvSpPr>
            <xdr:spPr bwMode="auto">
              <a:xfrm>
                <a:off x="4371976" y="1630489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675</xdr:row>
          <xdr:rowOff>0</xdr:rowOff>
        </xdr:from>
        <xdr:to>
          <xdr:col>5</xdr:col>
          <xdr:colOff>133351</xdr:colOff>
          <xdr:row>675</xdr:row>
          <xdr:rowOff>123826</xdr:rowOff>
        </xdr:to>
        <xdr:grpSp>
          <xdr:nvGrpSpPr>
            <xdr:cNvPr id="2143" name="Group 2142"/>
            <xdr:cNvGrpSpPr/>
          </xdr:nvGrpSpPr>
          <xdr:grpSpPr>
            <a:xfrm>
              <a:off x="3876675" y="161639250"/>
              <a:ext cx="647701" cy="123826"/>
              <a:chOff x="3876675" y="163210875"/>
              <a:chExt cx="647701" cy="123826"/>
            </a:xfrm>
          </xdr:grpSpPr>
          <xdr:sp macro="" textlink="">
            <xdr:nvSpPr>
              <xdr:cNvPr id="8331" name="Check Box 1163" hidden="1">
                <a:extLst>
                  <a:ext uri="{63B3BB69-23CF-44E3-9099-C40C66FF867C}">
                    <a14:compatExt spid="_x0000_s8331"/>
                  </a:ext>
                </a:extLst>
              </xdr:cNvPr>
              <xdr:cNvSpPr/>
            </xdr:nvSpPr>
            <xdr:spPr bwMode="auto">
              <a:xfrm>
                <a:off x="3876675" y="1632299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32" name="Check Box 1164" hidden="1">
                <a:extLst>
                  <a:ext uri="{63B3BB69-23CF-44E3-9099-C40C66FF867C}">
                    <a14:compatExt spid="_x0000_s8332"/>
                  </a:ext>
                </a:extLst>
              </xdr:cNvPr>
              <xdr:cNvSpPr/>
            </xdr:nvSpPr>
            <xdr:spPr bwMode="auto">
              <a:xfrm>
                <a:off x="4105276" y="1632204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33" name="Check Box 1165" hidden="1">
                <a:extLst>
                  <a:ext uri="{63B3BB69-23CF-44E3-9099-C40C66FF867C}">
                    <a14:compatExt spid="_x0000_s8333"/>
                  </a:ext>
                </a:extLst>
              </xdr:cNvPr>
              <xdr:cNvSpPr/>
            </xdr:nvSpPr>
            <xdr:spPr bwMode="auto">
              <a:xfrm>
                <a:off x="4371976" y="1632108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684</xdr:row>
          <xdr:rowOff>0</xdr:rowOff>
        </xdr:from>
        <xdr:to>
          <xdr:col>5</xdr:col>
          <xdr:colOff>133351</xdr:colOff>
          <xdr:row>684</xdr:row>
          <xdr:rowOff>123826</xdr:rowOff>
        </xdr:to>
        <xdr:grpSp>
          <xdr:nvGrpSpPr>
            <xdr:cNvPr id="8341" name="Group 8340"/>
            <xdr:cNvGrpSpPr/>
          </xdr:nvGrpSpPr>
          <xdr:grpSpPr>
            <a:xfrm>
              <a:off x="3876675" y="163115625"/>
              <a:ext cx="647701" cy="123826"/>
              <a:chOff x="3876675" y="164687250"/>
              <a:chExt cx="647701" cy="123826"/>
            </a:xfrm>
          </xdr:grpSpPr>
          <xdr:sp macro="" textlink="">
            <xdr:nvSpPr>
              <xdr:cNvPr id="8334" name="Check Box 1166" hidden="1">
                <a:extLst>
                  <a:ext uri="{63B3BB69-23CF-44E3-9099-C40C66FF867C}">
                    <a14:compatExt spid="_x0000_s8334"/>
                  </a:ext>
                </a:extLst>
              </xdr:cNvPr>
              <xdr:cNvSpPr/>
            </xdr:nvSpPr>
            <xdr:spPr bwMode="auto">
              <a:xfrm>
                <a:off x="3876675" y="1647063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35" name="Check Box 1167" hidden="1">
                <a:extLst>
                  <a:ext uri="{63B3BB69-23CF-44E3-9099-C40C66FF867C}">
                    <a14:compatExt spid="_x0000_s8335"/>
                  </a:ext>
                </a:extLst>
              </xdr:cNvPr>
              <xdr:cNvSpPr/>
            </xdr:nvSpPr>
            <xdr:spPr bwMode="auto">
              <a:xfrm>
                <a:off x="4105276" y="1646967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36" name="Check Box 1168" hidden="1">
                <a:extLst>
                  <a:ext uri="{63B3BB69-23CF-44E3-9099-C40C66FF867C}">
                    <a14:compatExt spid="_x0000_s8336"/>
                  </a:ext>
                </a:extLst>
              </xdr:cNvPr>
              <xdr:cNvSpPr/>
            </xdr:nvSpPr>
            <xdr:spPr bwMode="auto">
              <a:xfrm>
                <a:off x="4371976" y="1646872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685</xdr:row>
          <xdr:rowOff>0</xdr:rowOff>
        </xdr:from>
        <xdr:to>
          <xdr:col>5</xdr:col>
          <xdr:colOff>133351</xdr:colOff>
          <xdr:row>685</xdr:row>
          <xdr:rowOff>123826</xdr:rowOff>
        </xdr:to>
        <xdr:grpSp>
          <xdr:nvGrpSpPr>
            <xdr:cNvPr id="8340" name="Group 8339"/>
            <xdr:cNvGrpSpPr/>
          </xdr:nvGrpSpPr>
          <xdr:grpSpPr>
            <a:xfrm>
              <a:off x="3876675" y="163277550"/>
              <a:ext cx="647701" cy="123826"/>
              <a:chOff x="3876675" y="164849175"/>
              <a:chExt cx="647701" cy="123826"/>
            </a:xfrm>
          </xdr:grpSpPr>
          <xdr:sp macro="" textlink="">
            <xdr:nvSpPr>
              <xdr:cNvPr id="8337" name="Check Box 1169" hidden="1">
                <a:extLst>
                  <a:ext uri="{63B3BB69-23CF-44E3-9099-C40C66FF867C}">
                    <a14:compatExt spid="_x0000_s8337"/>
                  </a:ext>
                </a:extLst>
              </xdr:cNvPr>
              <xdr:cNvSpPr/>
            </xdr:nvSpPr>
            <xdr:spPr bwMode="auto">
              <a:xfrm>
                <a:off x="3876675" y="1648682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38" name="Check Box 1170" hidden="1">
                <a:extLst>
                  <a:ext uri="{63B3BB69-23CF-44E3-9099-C40C66FF867C}">
                    <a14:compatExt spid="_x0000_s8338"/>
                  </a:ext>
                </a:extLst>
              </xdr:cNvPr>
              <xdr:cNvSpPr/>
            </xdr:nvSpPr>
            <xdr:spPr bwMode="auto">
              <a:xfrm>
                <a:off x="4105276" y="1648587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39" name="Check Box 1171" hidden="1">
                <a:extLst>
                  <a:ext uri="{63B3BB69-23CF-44E3-9099-C40C66FF867C}">
                    <a14:compatExt spid="_x0000_s8339"/>
                  </a:ext>
                </a:extLst>
              </xdr:cNvPr>
              <xdr:cNvSpPr/>
            </xdr:nvSpPr>
            <xdr:spPr bwMode="auto">
              <a:xfrm>
                <a:off x="4371976" y="1648491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622</xdr:row>
          <xdr:rowOff>0</xdr:rowOff>
        </xdr:from>
        <xdr:to>
          <xdr:col>5</xdr:col>
          <xdr:colOff>133351</xdr:colOff>
          <xdr:row>622</xdr:row>
          <xdr:rowOff>123826</xdr:rowOff>
        </xdr:to>
        <xdr:grpSp>
          <xdr:nvGrpSpPr>
            <xdr:cNvPr id="8351" name="Group 8350"/>
            <xdr:cNvGrpSpPr/>
          </xdr:nvGrpSpPr>
          <xdr:grpSpPr>
            <a:xfrm>
              <a:off x="3876675" y="148161375"/>
              <a:ext cx="647701" cy="123826"/>
              <a:chOff x="3876675" y="149609175"/>
              <a:chExt cx="647701" cy="123826"/>
            </a:xfrm>
          </xdr:grpSpPr>
          <xdr:sp macro="" textlink="">
            <xdr:nvSpPr>
              <xdr:cNvPr id="1049" name="Check Box 1172" hidden="1">
                <a:extLst>
                  <a:ext uri="{63B3BB69-23CF-44E3-9099-C40C66FF867C}">
                    <a14:compatExt spid="_x0000_s8340"/>
                  </a:ext>
                </a:extLst>
              </xdr:cNvPr>
              <xdr:cNvSpPr/>
            </xdr:nvSpPr>
            <xdr:spPr bwMode="auto">
              <a:xfrm>
                <a:off x="3876675" y="1496282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50" name="Check Box 1173" hidden="1">
                <a:extLst>
                  <a:ext uri="{63B3BB69-23CF-44E3-9099-C40C66FF867C}">
                    <a14:compatExt spid="_x0000_s8341"/>
                  </a:ext>
                </a:extLst>
              </xdr:cNvPr>
              <xdr:cNvSpPr/>
            </xdr:nvSpPr>
            <xdr:spPr bwMode="auto">
              <a:xfrm>
                <a:off x="4105276" y="1496187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42" name="Check Box 1174" hidden="1">
                <a:extLst>
                  <a:ext uri="{63B3BB69-23CF-44E3-9099-C40C66FF867C}">
                    <a14:compatExt spid="_x0000_s8342"/>
                  </a:ext>
                </a:extLst>
              </xdr:cNvPr>
              <xdr:cNvSpPr/>
            </xdr:nvSpPr>
            <xdr:spPr bwMode="auto">
              <a:xfrm>
                <a:off x="4371976" y="1496091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625</xdr:row>
          <xdr:rowOff>0</xdr:rowOff>
        </xdr:from>
        <xdr:to>
          <xdr:col>5</xdr:col>
          <xdr:colOff>133351</xdr:colOff>
          <xdr:row>625</xdr:row>
          <xdr:rowOff>123826</xdr:rowOff>
        </xdr:to>
        <xdr:grpSp>
          <xdr:nvGrpSpPr>
            <xdr:cNvPr id="2149" name="Group 2148"/>
            <xdr:cNvGrpSpPr/>
          </xdr:nvGrpSpPr>
          <xdr:grpSpPr>
            <a:xfrm>
              <a:off x="3876675" y="148647150"/>
              <a:ext cx="647701" cy="123826"/>
              <a:chOff x="3876675" y="150094950"/>
              <a:chExt cx="647701" cy="123826"/>
            </a:xfrm>
          </xdr:grpSpPr>
          <xdr:sp macro="" textlink="">
            <xdr:nvSpPr>
              <xdr:cNvPr id="8343" name="Check Box 1175" hidden="1">
                <a:extLst>
                  <a:ext uri="{63B3BB69-23CF-44E3-9099-C40C66FF867C}">
                    <a14:compatExt spid="_x0000_s8343"/>
                  </a:ext>
                </a:extLst>
              </xdr:cNvPr>
              <xdr:cNvSpPr/>
            </xdr:nvSpPr>
            <xdr:spPr bwMode="auto">
              <a:xfrm>
                <a:off x="3876675" y="1501140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44" name="Check Box 1176" hidden="1">
                <a:extLst>
                  <a:ext uri="{63B3BB69-23CF-44E3-9099-C40C66FF867C}">
                    <a14:compatExt spid="_x0000_s8344"/>
                  </a:ext>
                </a:extLst>
              </xdr:cNvPr>
              <xdr:cNvSpPr/>
            </xdr:nvSpPr>
            <xdr:spPr bwMode="auto">
              <a:xfrm>
                <a:off x="4105276" y="1501044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45" name="Check Box 1177" hidden="1">
                <a:extLst>
                  <a:ext uri="{63B3BB69-23CF-44E3-9099-C40C66FF867C}">
                    <a14:compatExt spid="_x0000_s8345"/>
                  </a:ext>
                </a:extLst>
              </xdr:cNvPr>
              <xdr:cNvSpPr/>
            </xdr:nvSpPr>
            <xdr:spPr bwMode="auto">
              <a:xfrm>
                <a:off x="4371976" y="1500949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626</xdr:row>
          <xdr:rowOff>0</xdr:rowOff>
        </xdr:from>
        <xdr:to>
          <xdr:col>5</xdr:col>
          <xdr:colOff>133351</xdr:colOff>
          <xdr:row>626</xdr:row>
          <xdr:rowOff>123826</xdr:rowOff>
        </xdr:to>
        <xdr:grpSp>
          <xdr:nvGrpSpPr>
            <xdr:cNvPr id="2150" name="Group 2149"/>
            <xdr:cNvGrpSpPr/>
          </xdr:nvGrpSpPr>
          <xdr:grpSpPr>
            <a:xfrm>
              <a:off x="3876675" y="148809075"/>
              <a:ext cx="647701" cy="123826"/>
              <a:chOff x="3876675" y="150256875"/>
              <a:chExt cx="647701" cy="123826"/>
            </a:xfrm>
          </xdr:grpSpPr>
          <xdr:sp macro="" textlink="">
            <xdr:nvSpPr>
              <xdr:cNvPr id="8346" name="Check Box 1178" hidden="1">
                <a:extLst>
                  <a:ext uri="{63B3BB69-23CF-44E3-9099-C40C66FF867C}">
                    <a14:compatExt spid="_x0000_s8346"/>
                  </a:ext>
                </a:extLst>
              </xdr:cNvPr>
              <xdr:cNvSpPr/>
            </xdr:nvSpPr>
            <xdr:spPr bwMode="auto">
              <a:xfrm>
                <a:off x="3876675" y="1502759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47" name="Check Box 1179" hidden="1">
                <a:extLst>
                  <a:ext uri="{63B3BB69-23CF-44E3-9099-C40C66FF867C}">
                    <a14:compatExt spid="_x0000_s8347"/>
                  </a:ext>
                </a:extLst>
              </xdr:cNvPr>
              <xdr:cNvSpPr/>
            </xdr:nvSpPr>
            <xdr:spPr bwMode="auto">
              <a:xfrm>
                <a:off x="4105276" y="1502664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48" name="Check Box 1180" hidden="1">
                <a:extLst>
                  <a:ext uri="{63B3BB69-23CF-44E3-9099-C40C66FF867C}">
                    <a14:compatExt spid="_x0000_s8348"/>
                  </a:ext>
                </a:extLst>
              </xdr:cNvPr>
              <xdr:cNvSpPr/>
            </xdr:nvSpPr>
            <xdr:spPr bwMode="auto">
              <a:xfrm>
                <a:off x="4371976" y="1502568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629</xdr:row>
          <xdr:rowOff>0</xdr:rowOff>
        </xdr:from>
        <xdr:to>
          <xdr:col>5</xdr:col>
          <xdr:colOff>133351</xdr:colOff>
          <xdr:row>629</xdr:row>
          <xdr:rowOff>123826</xdr:rowOff>
        </xdr:to>
        <xdr:grpSp>
          <xdr:nvGrpSpPr>
            <xdr:cNvPr id="2155" name="Group 2154"/>
            <xdr:cNvGrpSpPr/>
          </xdr:nvGrpSpPr>
          <xdr:grpSpPr>
            <a:xfrm>
              <a:off x="3876675" y="149456775"/>
              <a:ext cx="647701" cy="123826"/>
              <a:chOff x="3876675" y="150904575"/>
              <a:chExt cx="647701" cy="123826"/>
            </a:xfrm>
          </xdr:grpSpPr>
          <xdr:sp macro="" textlink="">
            <xdr:nvSpPr>
              <xdr:cNvPr id="8349" name="Check Box 1181" hidden="1">
                <a:extLst>
                  <a:ext uri="{63B3BB69-23CF-44E3-9099-C40C66FF867C}">
                    <a14:compatExt spid="_x0000_s8349"/>
                  </a:ext>
                </a:extLst>
              </xdr:cNvPr>
              <xdr:cNvSpPr/>
            </xdr:nvSpPr>
            <xdr:spPr bwMode="auto">
              <a:xfrm>
                <a:off x="3876675" y="1509236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50" name="Check Box 1182" hidden="1">
                <a:extLst>
                  <a:ext uri="{63B3BB69-23CF-44E3-9099-C40C66FF867C}">
                    <a14:compatExt spid="_x0000_s8350"/>
                  </a:ext>
                </a:extLst>
              </xdr:cNvPr>
              <xdr:cNvSpPr/>
            </xdr:nvSpPr>
            <xdr:spPr bwMode="auto">
              <a:xfrm>
                <a:off x="4105276" y="1509141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51" name="Check Box 1183" hidden="1">
                <a:extLst>
                  <a:ext uri="{63B3BB69-23CF-44E3-9099-C40C66FF867C}">
                    <a14:compatExt spid="_x0000_s8351"/>
                  </a:ext>
                </a:extLst>
              </xdr:cNvPr>
              <xdr:cNvSpPr/>
            </xdr:nvSpPr>
            <xdr:spPr bwMode="auto">
              <a:xfrm>
                <a:off x="4371976" y="1509045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630</xdr:row>
          <xdr:rowOff>0</xdr:rowOff>
        </xdr:from>
        <xdr:to>
          <xdr:col>5</xdr:col>
          <xdr:colOff>133351</xdr:colOff>
          <xdr:row>630</xdr:row>
          <xdr:rowOff>123826</xdr:rowOff>
        </xdr:to>
        <xdr:grpSp>
          <xdr:nvGrpSpPr>
            <xdr:cNvPr id="2159" name="Group 2158"/>
            <xdr:cNvGrpSpPr/>
          </xdr:nvGrpSpPr>
          <xdr:grpSpPr>
            <a:xfrm>
              <a:off x="3876675" y="151076025"/>
              <a:ext cx="647701" cy="123826"/>
              <a:chOff x="3876675" y="152485725"/>
              <a:chExt cx="647701" cy="123826"/>
            </a:xfrm>
          </xdr:grpSpPr>
          <xdr:sp macro="" textlink="">
            <xdr:nvSpPr>
              <xdr:cNvPr id="8352" name="Check Box 1184" hidden="1">
                <a:extLst>
                  <a:ext uri="{63B3BB69-23CF-44E3-9099-C40C66FF867C}">
                    <a14:compatExt spid="_x0000_s8352"/>
                  </a:ext>
                </a:extLst>
              </xdr:cNvPr>
              <xdr:cNvSpPr/>
            </xdr:nvSpPr>
            <xdr:spPr bwMode="auto">
              <a:xfrm>
                <a:off x="3876675" y="1525047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53" name="Check Box 1185" hidden="1">
                <a:extLst>
                  <a:ext uri="{63B3BB69-23CF-44E3-9099-C40C66FF867C}">
                    <a14:compatExt spid="_x0000_s8353"/>
                  </a:ext>
                </a:extLst>
              </xdr:cNvPr>
              <xdr:cNvSpPr/>
            </xdr:nvSpPr>
            <xdr:spPr bwMode="auto">
              <a:xfrm>
                <a:off x="4105276" y="1524952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54" name="Check Box 1186" hidden="1">
                <a:extLst>
                  <a:ext uri="{63B3BB69-23CF-44E3-9099-C40C66FF867C}">
                    <a14:compatExt spid="_x0000_s8354"/>
                  </a:ext>
                </a:extLst>
              </xdr:cNvPr>
              <xdr:cNvSpPr/>
            </xdr:nvSpPr>
            <xdr:spPr bwMode="auto">
              <a:xfrm>
                <a:off x="4371976" y="1524857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631</xdr:row>
          <xdr:rowOff>0</xdr:rowOff>
        </xdr:from>
        <xdr:to>
          <xdr:col>5</xdr:col>
          <xdr:colOff>133351</xdr:colOff>
          <xdr:row>631</xdr:row>
          <xdr:rowOff>123826</xdr:rowOff>
        </xdr:to>
        <xdr:grpSp>
          <xdr:nvGrpSpPr>
            <xdr:cNvPr id="2158" name="Group 2157"/>
            <xdr:cNvGrpSpPr/>
          </xdr:nvGrpSpPr>
          <xdr:grpSpPr>
            <a:xfrm>
              <a:off x="3876675" y="151399875"/>
              <a:ext cx="647701" cy="123826"/>
              <a:chOff x="3876675" y="152809575"/>
              <a:chExt cx="647701" cy="123826"/>
            </a:xfrm>
          </xdr:grpSpPr>
          <xdr:sp macro="" textlink="">
            <xdr:nvSpPr>
              <xdr:cNvPr id="8355" name="Check Box 1187" hidden="1">
                <a:extLst>
                  <a:ext uri="{63B3BB69-23CF-44E3-9099-C40C66FF867C}">
                    <a14:compatExt spid="_x0000_s8355"/>
                  </a:ext>
                </a:extLst>
              </xdr:cNvPr>
              <xdr:cNvSpPr/>
            </xdr:nvSpPr>
            <xdr:spPr bwMode="auto">
              <a:xfrm>
                <a:off x="3876675" y="1528286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56" name="Check Box 1188" hidden="1">
                <a:extLst>
                  <a:ext uri="{63B3BB69-23CF-44E3-9099-C40C66FF867C}">
                    <a14:compatExt spid="_x0000_s8356"/>
                  </a:ext>
                </a:extLst>
              </xdr:cNvPr>
              <xdr:cNvSpPr/>
            </xdr:nvSpPr>
            <xdr:spPr bwMode="auto">
              <a:xfrm>
                <a:off x="4105276" y="1528191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57" name="Check Box 1189" hidden="1">
                <a:extLst>
                  <a:ext uri="{63B3BB69-23CF-44E3-9099-C40C66FF867C}">
                    <a14:compatExt spid="_x0000_s8357"/>
                  </a:ext>
                </a:extLst>
              </xdr:cNvPr>
              <xdr:cNvSpPr/>
            </xdr:nvSpPr>
            <xdr:spPr bwMode="auto">
              <a:xfrm>
                <a:off x="4371976" y="1528095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634</xdr:row>
          <xdr:rowOff>0</xdr:rowOff>
        </xdr:from>
        <xdr:to>
          <xdr:col>5</xdr:col>
          <xdr:colOff>133351</xdr:colOff>
          <xdr:row>634</xdr:row>
          <xdr:rowOff>123826</xdr:rowOff>
        </xdr:to>
        <xdr:grpSp>
          <xdr:nvGrpSpPr>
            <xdr:cNvPr id="2164" name="Group 2163"/>
            <xdr:cNvGrpSpPr/>
          </xdr:nvGrpSpPr>
          <xdr:grpSpPr>
            <a:xfrm>
              <a:off x="3876675" y="152295225"/>
              <a:ext cx="647701" cy="123826"/>
              <a:chOff x="3876675" y="153704925"/>
              <a:chExt cx="647701" cy="123826"/>
            </a:xfrm>
          </xdr:grpSpPr>
          <xdr:sp macro="" textlink="">
            <xdr:nvSpPr>
              <xdr:cNvPr id="8358" name="Check Box 1190" hidden="1">
                <a:extLst>
                  <a:ext uri="{63B3BB69-23CF-44E3-9099-C40C66FF867C}">
                    <a14:compatExt spid="_x0000_s8358"/>
                  </a:ext>
                </a:extLst>
              </xdr:cNvPr>
              <xdr:cNvSpPr/>
            </xdr:nvSpPr>
            <xdr:spPr bwMode="auto">
              <a:xfrm>
                <a:off x="3876675" y="1537239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59" name="Check Box 1191" hidden="1">
                <a:extLst>
                  <a:ext uri="{63B3BB69-23CF-44E3-9099-C40C66FF867C}">
                    <a14:compatExt spid="_x0000_s8359"/>
                  </a:ext>
                </a:extLst>
              </xdr:cNvPr>
              <xdr:cNvSpPr/>
            </xdr:nvSpPr>
            <xdr:spPr bwMode="auto">
              <a:xfrm>
                <a:off x="4105276" y="1537144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60" name="Check Box 1192" hidden="1">
                <a:extLst>
                  <a:ext uri="{63B3BB69-23CF-44E3-9099-C40C66FF867C}">
                    <a14:compatExt spid="_x0000_s8360"/>
                  </a:ext>
                </a:extLst>
              </xdr:cNvPr>
              <xdr:cNvSpPr/>
            </xdr:nvSpPr>
            <xdr:spPr bwMode="auto">
              <a:xfrm>
                <a:off x="4371976" y="1537049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637</xdr:row>
          <xdr:rowOff>28575</xdr:rowOff>
        </xdr:from>
        <xdr:to>
          <xdr:col>5</xdr:col>
          <xdr:colOff>142876</xdr:colOff>
          <xdr:row>637</xdr:row>
          <xdr:rowOff>152401</xdr:rowOff>
        </xdr:to>
        <xdr:grpSp>
          <xdr:nvGrpSpPr>
            <xdr:cNvPr id="2165" name="Group 2164"/>
            <xdr:cNvGrpSpPr/>
          </xdr:nvGrpSpPr>
          <xdr:grpSpPr>
            <a:xfrm>
              <a:off x="3886200" y="152971500"/>
              <a:ext cx="647701" cy="123826"/>
              <a:chOff x="3886200" y="154381200"/>
              <a:chExt cx="647701" cy="123826"/>
            </a:xfrm>
          </xdr:grpSpPr>
          <xdr:sp macro="" textlink="">
            <xdr:nvSpPr>
              <xdr:cNvPr id="8364" name="Check Box 1196" hidden="1">
                <a:extLst>
                  <a:ext uri="{63B3BB69-23CF-44E3-9099-C40C66FF867C}">
                    <a14:compatExt spid="_x0000_s8364"/>
                  </a:ext>
                </a:extLst>
              </xdr:cNvPr>
              <xdr:cNvSpPr/>
            </xdr:nvSpPr>
            <xdr:spPr bwMode="auto">
              <a:xfrm>
                <a:off x="3886200" y="1544002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65" name="Check Box 1197" hidden="1">
                <a:extLst>
                  <a:ext uri="{63B3BB69-23CF-44E3-9099-C40C66FF867C}">
                    <a14:compatExt spid="_x0000_s8365"/>
                  </a:ext>
                </a:extLst>
              </xdr:cNvPr>
              <xdr:cNvSpPr/>
            </xdr:nvSpPr>
            <xdr:spPr bwMode="auto">
              <a:xfrm>
                <a:off x="4114801" y="1543907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66" name="Check Box 1198" hidden="1">
                <a:extLst>
                  <a:ext uri="{63B3BB69-23CF-44E3-9099-C40C66FF867C}">
                    <a14:compatExt spid="_x0000_s8366"/>
                  </a:ext>
                </a:extLst>
              </xdr:cNvPr>
              <xdr:cNvSpPr/>
            </xdr:nvSpPr>
            <xdr:spPr bwMode="auto">
              <a:xfrm>
                <a:off x="4381501" y="1543812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638</xdr:row>
          <xdr:rowOff>0</xdr:rowOff>
        </xdr:from>
        <xdr:to>
          <xdr:col>5</xdr:col>
          <xdr:colOff>133351</xdr:colOff>
          <xdr:row>638</xdr:row>
          <xdr:rowOff>123826</xdr:rowOff>
        </xdr:to>
        <xdr:grpSp>
          <xdr:nvGrpSpPr>
            <xdr:cNvPr id="2166" name="Group 2165"/>
            <xdr:cNvGrpSpPr/>
          </xdr:nvGrpSpPr>
          <xdr:grpSpPr>
            <a:xfrm>
              <a:off x="3876675" y="153266775"/>
              <a:ext cx="647701" cy="123826"/>
              <a:chOff x="3876675" y="154676475"/>
              <a:chExt cx="647701" cy="123826"/>
            </a:xfrm>
          </xdr:grpSpPr>
          <xdr:sp macro="" textlink="">
            <xdr:nvSpPr>
              <xdr:cNvPr id="8367" name="Check Box 1199" hidden="1">
                <a:extLst>
                  <a:ext uri="{63B3BB69-23CF-44E3-9099-C40C66FF867C}">
                    <a14:compatExt spid="_x0000_s8367"/>
                  </a:ext>
                </a:extLst>
              </xdr:cNvPr>
              <xdr:cNvSpPr/>
            </xdr:nvSpPr>
            <xdr:spPr bwMode="auto">
              <a:xfrm>
                <a:off x="3876675" y="1546955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68" name="Check Box 1200" hidden="1">
                <a:extLst>
                  <a:ext uri="{63B3BB69-23CF-44E3-9099-C40C66FF867C}">
                    <a14:compatExt spid="_x0000_s8368"/>
                  </a:ext>
                </a:extLst>
              </xdr:cNvPr>
              <xdr:cNvSpPr/>
            </xdr:nvSpPr>
            <xdr:spPr bwMode="auto">
              <a:xfrm>
                <a:off x="4105276" y="1546860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69" name="Check Box 1201" hidden="1">
                <a:extLst>
                  <a:ext uri="{63B3BB69-23CF-44E3-9099-C40C66FF867C}">
                    <a14:compatExt spid="_x0000_s8369"/>
                  </a:ext>
                </a:extLst>
              </xdr:cNvPr>
              <xdr:cNvSpPr/>
            </xdr:nvSpPr>
            <xdr:spPr bwMode="auto">
              <a:xfrm>
                <a:off x="4371976" y="1546764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639</xdr:row>
          <xdr:rowOff>0</xdr:rowOff>
        </xdr:from>
        <xdr:to>
          <xdr:col>5</xdr:col>
          <xdr:colOff>133351</xdr:colOff>
          <xdr:row>639</xdr:row>
          <xdr:rowOff>123826</xdr:rowOff>
        </xdr:to>
        <xdr:grpSp>
          <xdr:nvGrpSpPr>
            <xdr:cNvPr id="2174" name="Group 2173"/>
            <xdr:cNvGrpSpPr/>
          </xdr:nvGrpSpPr>
          <xdr:grpSpPr>
            <a:xfrm>
              <a:off x="3876675" y="153590625"/>
              <a:ext cx="647701" cy="123826"/>
              <a:chOff x="3876675" y="155000325"/>
              <a:chExt cx="647701" cy="123826"/>
            </a:xfrm>
          </xdr:grpSpPr>
          <xdr:sp macro="" textlink="">
            <xdr:nvSpPr>
              <xdr:cNvPr id="8370" name="Check Box 1202" hidden="1">
                <a:extLst>
                  <a:ext uri="{63B3BB69-23CF-44E3-9099-C40C66FF867C}">
                    <a14:compatExt spid="_x0000_s8370"/>
                  </a:ext>
                </a:extLst>
              </xdr:cNvPr>
              <xdr:cNvSpPr/>
            </xdr:nvSpPr>
            <xdr:spPr bwMode="auto">
              <a:xfrm>
                <a:off x="3876675" y="1550193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71" name="Check Box 1203" hidden="1">
                <a:extLst>
                  <a:ext uri="{63B3BB69-23CF-44E3-9099-C40C66FF867C}">
                    <a14:compatExt spid="_x0000_s8371"/>
                  </a:ext>
                </a:extLst>
              </xdr:cNvPr>
              <xdr:cNvSpPr/>
            </xdr:nvSpPr>
            <xdr:spPr bwMode="auto">
              <a:xfrm>
                <a:off x="4105276" y="1550098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72" name="Check Box 1204" hidden="1">
                <a:extLst>
                  <a:ext uri="{63B3BB69-23CF-44E3-9099-C40C66FF867C}">
                    <a14:compatExt spid="_x0000_s8372"/>
                  </a:ext>
                </a:extLst>
              </xdr:cNvPr>
              <xdr:cNvSpPr/>
            </xdr:nvSpPr>
            <xdr:spPr bwMode="auto">
              <a:xfrm>
                <a:off x="4371976" y="1550003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640</xdr:row>
          <xdr:rowOff>0</xdr:rowOff>
        </xdr:from>
        <xdr:to>
          <xdr:col>5</xdr:col>
          <xdr:colOff>133351</xdr:colOff>
          <xdr:row>640</xdr:row>
          <xdr:rowOff>123826</xdr:rowOff>
        </xdr:to>
        <xdr:grpSp>
          <xdr:nvGrpSpPr>
            <xdr:cNvPr id="2173" name="Group 2172"/>
            <xdr:cNvGrpSpPr/>
          </xdr:nvGrpSpPr>
          <xdr:grpSpPr>
            <a:xfrm>
              <a:off x="3876675" y="153914475"/>
              <a:ext cx="647701" cy="123826"/>
              <a:chOff x="3876675" y="155324175"/>
              <a:chExt cx="647701" cy="123826"/>
            </a:xfrm>
          </xdr:grpSpPr>
          <xdr:sp macro="" textlink="">
            <xdr:nvSpPr>
              <xdr:cNvPr id="8376" name="Check Box 1208" hidden="1">
                <a:extLst>
                  <a:ext uri="{63B3BB69-23CF-44E3-9099-C40C66FF867C}">
                    <a14:compatExt spid="_x0000_s8376"/>
                  </a:ext>
                </a:extLst>
              </xdr:cNvPr>
              <xdr:cNvSpPr/>
            </xdr:nvSpPr>
            <xdr:spPr bwMode="auto">
              <a:xfrm>
                <a:off x="3876675" y="1553432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77" name="Check Box 1209" hidden="1">
                <a:extLst>
                  <a:ext uri="{63B3BB69-23CF-44E3-9099-C40C66FF867C}">
                    <a14:compatExt spid="_x0000_s8377"/>
                  </a:ext>
                </a:extLst>
              </xdr:cNvPr>
              <xdr:cNvSpPr/>
            </xdr:nvSpPr>
            <xdr:spPr bwMode="auto">
              <a:xfrm>
                <a:off x="4105276" y="1553337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78" name="Check Box 1210" hidden="1">
                <a:extLst>
                  <a:ext uri="{63B3BB69-23CF-44E3-9099-C40C66FF867C}">
                    <a14:compatExt spid="_x0000_s8378"/>
                  </a:ext>
                </a:extLst>
              </xdr:cNvPr>
              <xdr:cNvSpPr/>
            </xdr:nvSpPr>
            <xdr:spPr bwMode="auto">
              <a:xfrm>
                <a:off x="4371976" y="1553241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641</xdr:row>
          <xdr:rowOff>0</xdr:rowOff>
        </xdr:from>
        <xdr:to>
          <xdr:col>5</xdr:col>
          <xdr:colOff>133351</xdr:colOff>
          <xdr:row>641</xdr:row>
          <xdr:rowOff>123826</xdr:rowOff>
        </xdr:to>
        <xdr:grpSp>
          <xdr:nvGrpSpPr>
            <xdr:cNvPr id="2172" name="Group 2171"/>
            <xdr:cNvGrpSpPr/>
          </xdr:nvGrpSpPr>
          <xdr:grpSpPr>
            <a:xfrm>
              <a:off x="3876675" y="154076400"/>
              <a:ext cx="647701" cy="123826"/>
              <a:chOff x="3876675" y="155486100"/>
              <a:chExt cx="647701" cy="123826"/>
            </a:xfrm>
          </xdr:grpSpPr>
          <xdr:sp macro="" textlink="">
            <xdr:nvSpPr>
              <xdr:cNvPr id="8382" name="Check Box 1214" hidden="1">
                <a:extLst>
                  <a:ext uri="{63B3BB69-23CF-44E3-9099-C40C66FF867C}">
                    <a14:compatExt spid="_x0000_s8382"/>
                  </a:ext>
                </a:extLst>
              </xdr:cNvPr>
              <xdr:cNvSpPr/>
            </xdr:nvSpPr>
            <xdr:spPr bwMode="auto">
              <a:xfrm>
                <a:off x="3876675" y="1555051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83" name="Check Box 1215" hidden="1">
                <a:extLst>
                  <a:ext uri="{63B3BB69-23CF-44E3-9099-C40C66FF867C}">
                    <a14:compatExt spid="_x0000_s8383"/>
                  </a:ext>
                </a:extLst>
              </xdr:cNvPr>
              <xdr:cNvSpPr/>
            </xdr:nvSpPr>
            <xdr:spPr bwMode="auto">
              <a:xfrm>
                <a:off x="4105276" y="1554956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84" name="Check Box 1216" hidden="1">
                <a:extLst>
                  <a:ext uri="{63B3BB69-23CF-44E3-9099-C40C66FF867C}">
                    <a14:compatExt spid="_x0000_s8384"/>
                  </a:ext>
                </a:extLst>
              </xdr:cNvPr>
              <xdr:cNvSpPr/>
            </xdr:nvSpPr>
            <xdr:spPr bwMode="auto">
              <a:xfrm>
                <a:off x="4371976" y="1554861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642</xdr:row>
          <xdr:rowOff>0</xdr:rowOff>
        </xdr:from>
        <xdr:to>
          <xdr:col>5</xdr:col>
          <xdr:colOff>133351</xdr:colOff>
          <xdr:row>642</xdr:row>
          <xdr:rowOff>123826</xdr:rowOff>
        </xdr:to>
        <xdr:grpSp>
          <xdr:nvGrpSpPr>
            <xdr:cNvPr id="1063" name="Group 1062"/>
            <xdr:cNvGrpSpPr/>
          </xdr:nvGrpSpPr>
          <xdr:grpSpPr>
            <a:xfrm>
              <a:off x="3876675" y="154400250"/>
              <a:ext cx="647701" cy="123826"/>
              <a:chOff x="3876675" y="155809950"/>
              <a:chExt cx="647701" cy="123826"/>
            </a:xfrm>
          </xdr:grpSpPr>
          <xdr:sp macro="" textlink="">
            <xdr:nvSpPr>
              <xdr:cNvPr id="8385" name="Check Box 1217" hidden="1">
                <a:extLst>
                  <a:ext uri="{63B3BB69-23CF-44E3-9099-C40C66FF867C}">
                    <a14:compatExt spid="_x0000_s8385"/>
                  </a:ext>
                </a:extLst>
              </xdr:cNvPr>
              <xdr:cNvSpPr/>
            </xdr:nvSpPr>
            <xdr:spPr bwMode="auto">
              <a:xfrm>
                <a:off x="3876675" y="1558290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86" name="Check Box 1218" hidden="1">
                <a:extLst>
                  <a:ext uri="{63B3BB69-23CF-44E3-9099-C40C66FF867C}">
                    <a14:compatExt spid="_x0000_s8386"/>
                  </a:ext>
                </a:extLst>
              </xdr:cNvPr>
              <xdr:cNvSpPr/>
            </xdr:nvSpPr>
            <xdr:spPr bwMode="auto">
              <a:xfrm>
                <a:off x="4105276" y="1558194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87" name="Check Box 1219" hidden="1">
                <a:extLst>
                  <a:ext uri="{63B3BB69-23CF-44E3-9099-C40C66FF867C}">
                    <a14:compatExt spid="_x0000_s8387"/>
                  </a:ext>
                </a:extLst>
              </xdr:cNvPr>
              <xdr:cNvSpPr/>
            </xdr:nvSpPr>
            <xdr:spPr bwMode="auto">
              <a:xfrm>
                <a:off x="4371976" y="1558099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644</xdr:row>
          <xdr:rowOff>0</xdr:rowOff>
        </xdr:from>
        <xdr:to>
          <xdr:col>5</xdr:col>
          <xdr:colOff>133351</xdr:colOff>
          <xdr:row>644</xdr:row>
          <xdr:rowOff>123826</xdr:rowOff>
        </xdr:to>
        <xdr:grpSp>
          <xdr:nvGrpSpPr>
            <xdr:cNvPr id="1056" name="Group 1055"/>
            <xdr:cNvGrpSpPr/>
          </xdr:nvGrpSpPr>
          <xdr:grpSpPr>
            <a:xfrm>
              <a:off x="3876675" y="155047950"/>
              <a:ext cx="647701" cy="123826"/>
              <a:chOff x="3876675" y="156457650"/>
              <a:chExt cx="647701" cy="123826"/>
            </a:xfrm>
          </xdr:grpSpPr>
          <xdr:sp macro="" textlink="">
            <xdr:nvSpPr>
              <xdr:cNvPr id="8388" name="Check Box 1220" hidden="1">
                <a:extLst>
                  <a:ext uri="{63B3BB69-23CF-44E3-9099-C40C66FF867C}">
                    <a14:compatExt spid="_x0000_s8388"/>
                  </a:ext>
                </a:extLst>
              </xdr:cNvPr>
              <xdr:cNvSpPr/>
            </xdr:nvSpPr>
            <xdr:spPr bwMode="auto">
              <a:xfrm>
                <a:off x="3876675" y="1564767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89" name="Check Box 1221" hidden="1">
                <a:extLst>
                  <a:ext uri="{63B3BB69-23CF-44E3-9099-C40C66FF867C}">
                    <a14:compatExt spid="_x0000_s8389"/>
                  </a:ext>
                </a:extLst>
              </xdr:cNvPr>
              <xdr:cNvSpPr/>
            </xdr:nvSpPr>
            <xdr:spPr bwMode="auto">
              <a:xfrm>
                <a:off x="4105276" y="1564671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90" name="Check Box 1222" hidden="1">
                <a:extLst>
                  <a:ext uri="{63B3BB69-23CF-44E3-9099-C40C66FF867C}">
                    <a14:compatExt spid="_x0000_s8390"/>
                  </a:ext>
                </a:extLst>
              </xdr:cNvPr>
              <xdr:cNvSpPr/>
            </xdr:nvSpPr>
            <xdr:spPr bwMode="auto">
              <a:xfrm>
                <a:off x="4371976" y="1564576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645</xdr:row>
          <xdr:rowOff>0</xdr:rowOff>
        </xdr:from>
        <xdr:to>
          <xdr:col>5</xdr:col>
          <xdr:colOff>133351</xdr:colOff>
          <xdr:row>645</xdr:row>
          <xdr:rowOff>123826</xdr:rowOff>
        </xdr:to>
        <xdr:grpSp>
          <xdr:nvGrpSpPr>
            <xdr:cNvPr id="1054" name="Group 1053"/>
            <xdr:cNvGrpSpPr/>
          </xdr:nvGrpSpPr>
          <xdr:grpSpPr>
            <a:xfrm>
              <a:off x="3876675" y="155209875"/>
              <a:ext cx="647701" cy="123826"/>
              <a:chOff x="3876675" y="156619575"/>
              <a:chExt cx="647701" cy="123826"/>
            </a:xfrm>
          </xdr:grpSpPr>
          <xdr:sp macro="" textlink="">
            <xdr:nvSpPr>
              <xdr:cNvPr id="8391" name="Check Box 1223" hidden="1">
                <a:extLst>
                  <a:ext uri="{63B3BB69-23CF-44E3-9099-C40C66FF867C}">
                    <a14:compatExt spid="_x0000_s8391"/>
                  </a:ext>
                </a:extLst>
              </xdr:cNvPr>
              <xdr:cNvSpPr/>
            </xdr:nvSpPr>
            <xdr:spPr bwMode="auto">
              <a:xfrm>
                <a:off x="3876675" y="1566386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92" name="Check Box 1224" hidden="1">
                <a:extLst>
                  <a:ext uri="{63B3BB69-23CF-44E3-9099-C40C66FF867C}">
                    <a14:compatExt spid="_x0000_s8392"/>
                  </a:ext>
                </a:extLst>
              </xdr:cNvPr>
              <xdr:cNvSpPr/>
            </xdr:nvSpPr>
            <xdr:spPr bwMode="auto">
              <a:xfrm>
                <a:off x="4105276" y="1566291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93" name="Check Box 1225" hidden="1">
                <a:extLst>
                  <a:ext uri="{63B3BB69-23CF-44E3-9099-C40C66FF867C}">
                    <a14:compatExt spid="_x0000_s8393"/>
                  </a:ext>
                </a:extLst>
              </xdr:cNvPr>
              <xdr:cNvSpPr/>
            </xdr:nvSpPr>
            <xdr:spPr bwMode="auto">
              <a:xfrm>
                <a:off x="4371976" y="1566195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598</xdr:row>
          <xdr:rowOff>0</xdr:rowOff>
        </xdr:from>
        <xdr:to>
          <xdr:col>5</xdr:col>
          <xdr:colOff>133351</xdr:colOff>
          <xdr:row>598</xdr:row>
          <xdr:rowOff>123826</xdr:rowOff>
        </xdr:to>
        <xdr:grpSp>
          <xdr:nvGrpSpPr>
            <xdr:cNvPr id="1064" name="Group 1063"/>
            <xdr:cNvGrpSpPr/>
          </xdr:nvGrpSpPr>
          <xdr:grpSpPr>
            <a:xfrm>
              <a:off x="3876675" y="143751300"/>
              <a:ext cx="647701" cy="123826"/>
              <a:chOff x="3876675" y="144551400"/>
              <a:chExt cx="647701" cy="123826"/>
            </a:xfrm>
          </xdr:grpSpPr>
          <xdr:sp macro="" textlink="">
            <xdr:nvSpPr>
              <xdr:cNvPr id="8394" name="Check Box 1226" hidden="1">
                <a:extLst>
                  <a:ext uri="{63B3BB69-23CF-44E3-9099-C40C66FF867C}">
                    <a14:compatExt spid="_x0000_s8394"/>
                  </a:ext>
                </a:extLst>
              </xdr:cNvPr>
              <xdr:cNvSpPr/>
            </xdr:nvSpPr>
            <xdr:spPr bwMode="auto">
              <a:xfrm>
                <a:off x="3876675" y="1445704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95" name="Check Box 1227" hidden="1">
                <a:extLst>
                  <a:ext uri="{63B3BB69-23CF-44E3-9099-C40C66FF867C}">
                    <a14:compatExt spid="_x0000_s8395"/>
                  </a:ext>
                </a:extLst>
              </xdr:cNvPr>
              <xdr:cNvSpPr/>
            </xdr:nvSpPr>
            <xdr:spPr bwMode="auto">
              <a:xfrm>
                <a:off x="4105276" y="1445609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96" name="Check Box 1228" hidden="1">
                <a:extLst>
                  <a:ext uri="{63B3BB69-23CF-44E3-9099-C40C66FF867C}">
                    <a14:compatExt spid="_x0000_s8396"/>
                  </a:ext>
                </a:extLst>
              </xdr:cNvPr>
              <xdr:cNvSpPr/>
            </xdr:nvSpPr>
            <xdr:spPr bwMode="auto">
              <a:xfrm>
                <a:off x="4371976" y="1445514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595</xdr:row>
          <xdr:rowOff>0</xdr:rowOff>
        </xdr:from>
        <xdr:to>
          <xdr:col>5</xdr:col>
          <xdr:colOff>133351</xdr:colOff>
          <xdr:row>595</xdr:row>
          <xdr:rowOff>123826</xdr:rowOff>
        </xdr:to>
        <xdr:grpSp>
          <xdr:nvGrpSpPr>
            <xdr:cNvPr id="1066" name="Group 1065"/>
            <xdr:cNvGrpSpPr/>
          </xdr:nvGrpSpPr>
          <xdr:grpSpPr>
            <a:xfrm>
              <a:off x="3876675" y="143103600"/>
              <a:ext cx="647701" cy="123826"/>
              <a:chOff x="3876675" y="143903700"/>
              <a:chExt cx="647701" cy="123826"/>
            </a:xfrm>
          </xdr:grpSpPr>
          <xdr:sp macro="" textlink="">
            <xdr:nvSpPr>
              <xdr:cNvPr id="8397" name="Check Box 1229" hidden="1">
                <a:extLst>
                  <a:ext uri="{63B3BB69-23CF-44E3-9099-C40C66FF867C}">
                    <a14:compatExt spid="_x0000_s8397"/>
                  </a:ext>
                </a:extLst>
              </xdr:cNvPr>
              <xdr:cNvSpPr/>
            </xdr:nvSpPr>
            <xdr:spPr bwMode="auto">
              <a:xfrm>
                <a:off x="3876675" y="1439227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98" name="Check Box 1230" hidden="1">
                <a:extLst>
                  <a:ext uri="{63B3BB69-23CF-44E3-9099-C40C66FF867C}">
                    <a14:compatExt spid="_x0000_s8398"/>
                  </a:ext>
                </a:extLst>
              </xdr:cNvPr>
              <xdr:cNvSpPr/>
            </xdr:nvSpPr>
            <xdr:spPr bwMode="auto">
              <a:xfrm>
                <a:off x="4105276" y="1439132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399" name="Check Box 1231" hidden="1">
                <a:extLst>
                  <a:ext uri="{63B3BB69-23CF-44E3-9099-C40C66FF867C}">
                    <a14:compatExt spid="_x0000_s8399"/>
                  </a:ext>
                </a:extLst>
              </xdr:cNvPr>
              <xdr:cNvSpPr/>
            </xdr:nvSpPr>
            <xdr:spPr bwMode="auto">
              <a:xfrm>
                <a:off x="4371976" y="1439037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593</xdr:row>
          <xdr:rowOff>57150</xdr:rowOff>
        </xdr:from>
        <xdr:to>
          <xdr:col>5</xdr:col>
          <xdr:colOff>133351</xdr:colOff>
          <xdr:row>594</xdr:row>
          <xdr:rowOff>19051</xdr:rowOff>
        </xdr:to>
        <xdr:grpSp>
          <xdr:nvGrpSpPr>
            <xdr:cNvPr id="1065" name="Group 1064"/>
            <xdr:cNvGrpSpPr/>
          </xdr:nvGrpSpPr>
          <xdr:grpSpPr>
            <a:xfrm>
              <a:off x="3876675" y="142836900"/>
              <a:ext cx="647701" cy="123826"/>
              <a:chOff x="3876675" y="143637000"/>
              <a:chExt cx="647701" cy="123826"/>
            </a:xfrm>
          </xdr:grpSpPr>
          <xdr:sp macro="" textlink="">
            <xdr:nvSpPr>
              <xdr:cNvPr id="8400" name="Check Box 1232" hidden="1">
                <a:extLst>
                  <a:ext uri="{63B3BB69-23CF-44E3-9099-C40C66FF867C}">
                    <a14:compatExt spid="_x0000_s8400"/>
                  </a:ext>
                </a:extLst>
              </xdr:cNvPr>
              <xdr:cNvSpPr/>
            </xdr:nvSpPr>
            <xdr:spPr bwMode="auto">
              <a:xfrm>
                <a:off x="3876675" y="1436560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01" name="Check Box 1233" hidden="1">
                <a:extLst>
                  <a:ext uri="{63B3BB69-23CF-44E3-9099-C40C66FF867C}">
                    <a14:compatExt spid="_x0000_s8401"/>
                  </a:ext>
                </a:extLst>
              </xdr:cNvPr>
              <xdr:cNvSpPr/>
            </xdr:nvSpPr>
            <xdr:spPr bwMode="auto">
              <a:xfrm>
                <a:off x="4105276" y="1436465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02" name="Check Box 1234" hidden="1">
                <a:extLst>
                  <a:ext uri="{63B3BB69-23CF-44E3-9099-C40C66FF867C}">
                    <a14:compatExt spid="_x0000_s8402"/>
                  </a:ext>
                </a:extLst>
              </xdr:cNvPr>
              <xdr:cNvSpPr/>
            </xdr:nvSpPr>
            <xdr:spPr bwMode="auto">
              <a:xfrm>
                <a:off x="4371976" y="1436370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591</xdr:row>
          <xdr:rowOff>0</xdr:rowOff>
        </xdr:from>
        <xdr:to>
          <xdr:col>5</xdr:col>
          <xdr:colOff>133351</xdr:colOff>
          <xdr:row>591</xdr:row>
          <xdr:rowOff>123826</xdr:rowOff>
        </xdr:to>
        <xdr:grpSp>
          <xdr:nvGrpSpPr>
            <xdr:cNvPr id="1069" name="Group 1068"/>
            <xdr:cNvGrpSpPr/>
          </xdr:nvGrpSpPr>
          <xdr:grpSpPr>
            <a:xfrm>
              <a:off x="3876675" y="141970125"/>
              <a:ext cx="647701" cy="123826"/>
              <a:chOff x="3876675" y="142770225"/>
              <a:chExt cx="647701" cy="123826"/>
            </a:xfrm>
          </xdr:grpSpPr>
          <xdr:sp macro="" textlink="">
            <xdr:nvSpPr>
              <xdr:cNvPr id="8403" name="Check Box 1235" hidden="1">
                <a:extLst>
                  <a:ext uri="{63B3BB69-23CF-44E3-9099-C40C66FF867C}">
                    <a14:compatExt spid="_x0000_s8403"/>
                  </a:ext>
                </a:extLst>
              </xdr:cNvPr>
              <xdr:cNvSpPr/>
            </xdr:nvSpPr>
            <xdr:spPr bwMode="auto">
              <a:xfrm>
                <a:off x="3876675" y="1427892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04" name="Check Box 1236" hidden="1">
                <a:extLst>
                  <a:ext uri="{63B3BB69-23CF-44E3-9099-C40C66FF867C}">
                    <a14:compatExt spid="_x0000_s8404"/>
                  </a:ext>
                </a:extLst>
              </xdr:cNvPr>
              <xdr:cNvSpPr/>
            </xdr:nvSpPr>
            <xdr:spPr bwMode="auto">
              <a:xfrm>
                <a:off x="4105276" y="1427797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05" name="Check Box 1237" hidden="1">
                <a:extLst>
                  <a:ext uri="{63B3BB69-23CF-44E3-9099-C40C66FF867C}">
                    <a14:compatExt spid="_x0000_s8405"/>
                  </a:ext>
                </a:extLst>
              </xdr:cNvPr>
              <xdr:cNvSpPr/>
            </xdr:nvSpPr>
            <xdr:spPr bwMode="auto">
              <a:xfrm>
                <a:off x="4371976" y="1427702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592</xdr:row>
          <xdr:rowOff>0</xdr:rowOff>
        </xdr:from>
        <xdr:to>
          <xdr:col>5</xdr:col>
          <xdr:colOff>133351</xdr:colOff>
          <xdr:row>592</xdr:row>
          <xdr:rowOff>123826</xdr:rowOff>
        </xdr:to>
        <xdr:grpSp>
          <xdr:nvGrpSpPr>
            <xdr:cNvPr id="1068" name="Group 1067"/>
            <xdr:cNvGrpSpPr/>
          </xdr:nvGrpSpPr>
          <xdr:grpSpPr>
            <a:xfrm>
              <a:off x="3876675" y="142455900"/>
              <a:ext cx="647701" cy="123826"/>
              <a:chOff x="3876675" y="143256000"/>
              <a:chExt cx="647701" cy="123826"/>
            </a:xfrm>
          </xdr:grpSpPr>
          <xdr:sp macro="" textlink="">
            <xdr:nvSpPr>
              <xdr:cNvPr id="8406" name="Check Box 1238" hidden="1">
                <a:extLst>
                  <a:ext uri="{63B3BB69-23CF-44E3-9099-C40C66FF867C}">
                    <a14:compatExt spid="_x0000_s8406"/>
                  </a:ext>
                </a:extLst>
              </xdr:cNvPr>
              <xdr:cNvSpPr/>
            </xdr:nvSpPr>
            <xdr:spPr bwMode="auto">
              <a:xfrm>
                <a:off x="3876675" y="1432750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07" name="Check Box 1239" hidden="1">
                <a:extLst>
                  <a:ext uri="{63B3BB69-23CF-44E3-9099-C40C66FF867C}">
                    <a14:compatExt spid="_x0000_s8407"/>
                  </a:ext>
                </a:extLst>
              </xdr:cNvPr>
              <xdr:cNvSpPr/>
            </xdr:nvSpPr>
            <xdr:spPr bwMode="auto">
              <a:xfrm>
                <a:off x="4105276" y="1432655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08" name="Check Box 1240" hidden="1">
                <a:extLst>
                  <a:ext uri="{63B3BB69-23CF-44E3-9099-C40C66FF867C}">
                    <a14:compatExt spid="_x0000_s8408"/>
                  </a:ext>
                </a:extLst>
              </xdr:cNvPr>
              <xdr:cNvSpPr/>
            </xdr:nvSpPr>
            <xdr:spPr bwMode="auto">
              <a:xfrm>
                <a:off x="4371976" y="1432560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581</xdr:row>
          <xdr:rowOff>0</xdr:rowOff>
        </xdr:from>
        <xdr:to>
          <xdr:col>5</xdr:col>
          <xdr:colOff>133351</xdr:colOff>
          <xdr:row>581</xdr:row>
          <xdr:rowOff>123826</xdr:rowOff>
        </xdr:to>
        <xdr:grpSp>
          <xdr:nvGrpSpPr>
            <xdr:cNvPr id="1071" name="Group 1070"/>
            <xdr:cNvGrpSpPr/>
          </xdr:nvGrpSpPr>
          <xdr:grpSpPr>
            <a:xfrm>
              <a:off x="3876675" y="138083925"/>
              <a:ext cx="647701" cy="123826"/>
              <a:chOff x="3876675" y="138884025"/>
              <a:chExt cx="647701" cy="123826"/>
            </a:xfrm>
          </xdr:grpSpPr>
          <xdr:sp macro="" textlink="">
            <xdr:nvSpPr>
              <xdr:cNvPr id="8409" name="Check Box 1241" hidden="1">
                <a:extLst>
                  <a:ext uri="{63B3BB69-23CF-44E3-9099-C40C66FF867C}">
                    <a14:compatExt spid="_x0000_s8409"/>
                  </a:ext>
                </a:extLst>
              </xdr:cNvPr>
              <xdr:cNvSpPr/>
            </xdr:nvSpPr>
            <xdr:spPr bwMode="auto">
              <a:xfrm>
                <a:off x="3876675" y="1389030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10" name="Check Box 1242" hidden="1">
                <a:extLst>
                  <a:ext uri="{63B3BB69-23CF-44E3-9099-C40C66FF867C}">
                    <a14:compatExt spid="_x0000_s8410"/>
                  </a:ext>
                </a:extLst>
              </xdr:cNvPr>
              <xdr:cNvSpPr/>
            </xdr:nvSpPr>
            <xdr:spPr bwMode="auto">
              <a:xfrm>
                <a:off x="4105276" y="1388935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11" name="Check Box 1243" hidden="1">
                <a:extLst>
                  <a:ext uri="{63B3BB69-23CF-44E3-9099-C40C66FF867C}">
                    <a14:compatExt spid="_x0000_s8411"/>
                  </a:ext>
                </a:extLst>
              </xdr:cNvPr>
              <xdr:cNvSpPr/>
            </xdr:nvSpPr>
            <xdr:spPr bwMode="auto">
              <a:xfrm>
                <a:off x="4371976" y="1388840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582</xdr:row>
          <xdr:rowOff>0</xdr:rowOff>
        </xdr:from>
        <xdr:to>
          <xdr:col>5</xdr:col>
          <xdr:colOff>133351</xdr:colOff>
          <xdr:row>582</xdr:row>
          <xdr:rowOff>123826</xdr:rowOff>
        </xdr:to>
        <xdr:grpSp>
          <xdr:nvGrpSpPr>
            <xdr:cNvPr id="1070" name="Group 1069"/>
            <xdr:cNvGrpSpPr/>
          </xdr:nvGrpSpPr>
          <xdr:grpSpPr>
            <a:xfrm>
              <a:off x="3876675" y="138245850"/>
              <a:ext cx="647701" cy="123826"/>
              <a:chOff x="3876675" y="139045950"/>
              <a:chExt cx="647701" cy="123826"/>
            </a:xfrm>
          </xdr:grpSpPr>
          <xdr:sp macro="" textlink="">
            <xdr:nvSpPr>
              <xdr:cNvPr id="8412" name="Check Box 1244" hidden="1">
                <a:extLst>
                  <a:ext uri="{63B3BB69-23CF-44E3-9099-C40C66FF867C}">
                    <a14:compatExt spid="_x0000_s8412"/>
                  </a:ext>
                </a:extLst>
              </xdr:cNvPr>
              <xdr:cNvSpPr/>
            </xdr:nvSpPr>
            <xdr:spPr bwMode="auto">
              <a:xfrm>
                <a:off x="3876675" y="1390650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13" name="Check Box 1245" hidden="1">
                <a:extLst>
                  <a:ext uri="{63B3BB69-23CF-44E3-9099-C40C66FF867C}">
                    <a14:compatExt spid="_x0000_s8413"/>
                  </a:ext>
                </a:extLst>
              </xdr:cNvPr>
              <xdr:cNvSpPr/>
            </xdr:nvSpPr>
            <xdr:spPr bwMode="auto">
              <a:xfrm>
                <a:off x="4105276" y="1390554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14" name="Check Box 1246" hidden="1">
                <a:extLst>
                  <a:ext uri="{63B3BB69-23CF-44E3-9099-C40C66FF867C}">
                    <a14:compatExt spid="_x0000_s8414"/>
                  </a:ext>
                </a:extLst>
              </xdr:cNvPr>
              <xdr:cNvSpPr/>
            </xdr:nvSpPr>
            <xdr:spPr bwMode="auto">
              <a:xfrm>
                <a:off x="4371976" y="1390459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583</xdr:row>
          <xdr:rowOff>0</xdr:rowOff>
        </xdr:from>
        <xdr:to>
          <xdr:col>5</xdr:col>
          <xdr:colOff>133351</xdr:colOff>
          <xdr:row>583</xdr:row>
          <xdr:rowOff>123826</xdr:rowOff>
        </xdr:to>
        <xdr:grpSp>
          <xdr:nvGrpSpPr>
            <xdr:cNvPr id="1073" name="Group 1072"/>
            <xdr:cNvGrpSpPr/>
          </xdr:nvGrpSpPr>
          <xdr:grpSpPr>
            <a:xfrm>
              <a:off x="3876675" y="138569700"/>
              <a:ext cx="647701" cy="123826"/>
              <a:chOff x="3876675" y="139369800"/>
              <a:chExt cx="647701" cy="123826"/>
            </a:xfrm>
          </xdr:grpSpPr>
          <xdr:sp macro="" textlink="">
            <xdr:nvSpPr>
              <xdr:cNvPr id="8415" name="Check Box 1247" hidden="1">
                <a:extLst>
                  <a:ext uri="{63B3BB69-23CF-44E3-9099-C40C66FF867C}">
                    <a14:compatExt spid="_x0000_s8415"/>
                  </a:ext>
                </a:extLst>
              </xdr:cNvPr>
              <xdr:cNvSpPr/>
            </xdr:nvSpPr>
            <xdr:spPr bwMode="auto">
              <a:xfrm>
                <a:off x="3876675" y="1393888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16" name="Check Box 1248" hidden="1">
                <a:extLst>
                  <a:ext uri="{63B3BB69-23CF-44E3-9099-C40C66FF867C}">
                    <a14:compatExt spid="_x0000_s8416"/>
                  </a:ext>
                </a:extLst>
              </xdr:cNvPr>
              <xdr:cNvSpPr/>
            </xdr:nvSpPr>
            <xdr:spPr bwMode="auto">
              <a:xfrm>
                <a:off x="4105276" y="1393793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17" name="Check Box 1249" hidden="1">
                <a:extLst>
                  <a:ext uri="{63B3BB69-23CF-44E3-9099-C40C66FF867C}">
                    <a14:compatExt spid="_x0000_s8417"/>
                  </a:ext>
                </a:extLst>
              </xdr:cNvPr>
              <xdr:cNvSpPr/>
            </xdr:nvSpPr>
            <xdr:spPr bwMode="auto">
              <a:xfrm>
                <a:off x="4371976" y="1393698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584</xdr:row>
          <xdr:rowOff>0</xdr:rowOff>
        </xdr:from>
        <xdr:to>
          <xdr:col>5</xdr:col>
          <xdr:colOff>133351</xdr:colOff>
          <xdr:row>584</xdr:row>
          <xdr:rowOff>123826</xdr:rowOff>
        </xdr:to>
        <xdr:grpSp>
          <xdr:nvGrpSpPr>
            <xdr:cNvPr id="1074" name="Group 1073"/>
            <xdr:cNvGrpSpPr/>
          </xdr:nvGrpSpPr>
          <xdr:grpSpPr>
            <a:xfrm>
              <a:off x="3876675" y="138893550"/>
              <a:ext cx="647701" cy="123826"/>
              <a:chOff x="3876675" y="139693650"/>
              <a:chExt cx="647701" cy="123826"/>
            </a:xfrm>
          </xdr:grpSpPr>
          <xdr:sp macro="" textlink="">
            <xdr:nvSpPr>
              <xdr:cNvPr id="8418" name="Check Box 1250" hidden="1">
                <a:extLst>
                  <a:ext uri="{63B3BB69-23CF-44E3-9099-C40C66FF867C}">
                    <a14:compatExt spid="_x0000_s8418"/>
                  </a:ext>
                </a:extLst>
              </xdr:cNvPr>
              <xdr:cNvSpPr/>
            </xdr:nvSpPr>
            <xdr:spPr bwMode="auto">
              <a:xfrm>
                <a:off x="3876675" y="1397127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19" name="Check Box 1251" hidden="1">
                <a:extLst>
                  <a:ext uri="{63B3BB69-23CF-44E3-9099-C40C66FF867C}">
                    <a14:compatExt spid="_x0000_s8419"/>
                  </a:ext>
                </a:extLst>
              </xdr:cNvPr>
              <xdr:cNvSpPr/>
            </xdr:nvSpPr>
            <xdr:spPr bwMode="auto">
              <a:xfrm>
                <a:off x="4105276" y="1397031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20" name="Check Box 1252" hidden="1">
                <a:extLst>
                  <a:ext uri="{63B3BB69-23CF-44E3-9099-C40C66FF867C}">
                    <a14:compatExt spid="_x0000_s8420"/>
                  </a:ext>
                </a:extLst>
              </xdr:cNvPr>
              <xdr:cNvSpPr/>
            </xdr:nvSpPr>
            <xdr:spPr bwMode="auto">
              <a:xfrm>
                <a:off x="4371976" y="1396936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585</xdr:row>
          <xdr:rowOff>0</xdr:rowOff>
        </xdr:from>
        <xdr:to>
          <xdr:col>5</xdr:col>
          <xdr:colOff>133351</xdr:colOff>
          <xdr:row>585</xdr:row>
          <xdr:rowOff>123826</xdr:rowOff>
        </xdr:to>
        <xdr:grpSp>
          <xdr:nvGrpSpPr>
            <xdr:cNvPr id="1076" name="Group 1075"/>
            <xdr:cNvGrpSpPr/>
          </xdr:nvGrpSpPr>
          <xdr:grpSpPr>
            <a:xfrm>
              <a:off x="3876675" y="139217400"/>
              <a:ext cx="647701" cy="123826"/>
              <a:chOff x="3876675" y="140017500"/>
              <a:chExt cx="647701" cy="123826"/>
            </a:xfrm>
          </xdr:grpSpPr>
          <xdr:sp macro="" textlink="">
            <xdr:nvSpPr>
              <xdr:cNvPr id="8421" name="Check Box 1253" hidden="1">
                <a:extLst>
                  <a:ext uri="{63B3BB69-23CF-44E3-9099-C40C66FF867C}">
                    <a14:compatExt spid="_x0000_s8421"/>
                  </a:ext>
                </a:extLst>
              </xdr:cNvPr>
              <xdr:cNvSpPr/>
            </xdr:nvSpPr>
            <xdr:spPr bwMode="auto">
              <a:xfrm>
                <a:off x="3876675" y="1400365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22" name="Check Box 1254" hidden="1">
                <a:extLst>
                  <a:ext uri="{63B3BB69-23CF-44E3-9099-C40C66FF867C}">
                    <a14:compatExt spid="_x0000_s8422"/>
                  </a:ext>
                </a:extLst>
              </xdr:cNvPr>
              <xdr:cNvSpPr/>
            </xdr:nvSpPr>
            <xdr:spPr bwMode="auto">
              <a:xfrm>
                <a:off x="4105276" y="1400270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23" name="Check Box 1255" hidden="1">
                <a:extLst>
                  <a:ext uri="{63B3BB69-23CF-44E3-9099-C40C66FF867C}">
                    <a14:compatExt spid="_x0000_s8423"/>
                  </a:ext>
                </a:extLst>
              </xdr:cNvPr>
              <xdr:cNvSpPr/>
            </xdr:nvSpPr>
            <xdr:spPr bwMode="auto">
              <a:xfrm>
                <a:off x="4371976" y="1400175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586</xdr:row>
          <xdr:rowOff>0</xdr:rowOff>
        </xdr:from>
        <xdr:to>
          <xdr:col>5</xdr:col>
          <xdr:colOff>133351</xdr:colOff>
          <xdr:row>586</xdr:row>
          <xdr:rowOff>123826</xdr:rowOff>
        </xdr:to>
        <xdr:grpSp>
          <xdr:nvGrpSpPr>
            <xdr:cNvPr id="1075" name="Group 1074"/>
            <xdr:cNvGrpSpPr/>
          </xdr:nvGrpSpPr>
          <xdr:grpSpPr>
            <a:xfrm>
              <a:off x="3876675" y="139703175"/>
              <a:ext cx="647701" cy="123826"/>
              <a:chOff x="3876675" y="140503275"/>
              <a:chExt cx="647701" cy="123826"/>
            </a:xfrm>
          </xdr:grpSpPr>
          <xdr:sp macro="" textlink="">
            <xdr:nvSpPr>
              <xdr:cNvPr id="8424" name="Check Box 1256" hidden="1">
                <a:extLst>
                  <a:ext uri="{63B3BB69-23CF-44E3-9099-C40C66FF867C}">
                    <a14:compatExt spid="_x0000_s8424"/>
                  </a:ext>
                </a:extLst>
              </xdr:cNvPr>
              <xdr:cNvSpPr/>
            </xdr:nvSpPr>
            <xdr:spPr bwMode="auto">
              <a:xfrm>
                <a:off x="3876675" y="1405223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25" name="Check Box 1257" hidden="1">
                <a:extLst>
                  <a:ext uri="{63B3BB69-23CF-44E3-9099-C40C66FF867C}">
                    <a14:compatExt spid="_x0000_s8425"/>
                  </a:ext>
                </a:extLst>
              </xdr:cNvPr>
              <xdr:cNvSpPr/>
            </xdr:nvSpPr>
            <xdr:spPr bwMode="auto">
              <a:xfrm>
                <a:off x="4105276" y="1405128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26" name="Check Box 1258" hidden="1">
                <a:extLst>
                  <a:ext uri="{63B3BB69-23CF-44E3-9099-C40C66FF867C}">
                    <a14:compatExt spid="_x0000_s8426"/>
                  </a:ext>
                </a:extLst>
              </xdr:cNvPr>
              <xdr:cNvSpPr/>
            </xdr:nvSpPr>
            <xdr:spPr bwMode="auto">
              <a:xfrm>
                <a:off x="4371976" y="1405032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588</xdr:row>
          <xdr:rowOff>0</xdr:rowOff>
        </xdr:from>
        <xdr:to>
          <xdr:col>5</xdr:col>
          <xdr:colOff>133351</xdr:colOff>
          <xdr:row>588</xdr:row>
          <xdr:rowOff>123826</xdr:rowOff>
        </xdr:to>
        <xdr:grpSp>
          <xdr:nvGrpSpPr>
            <xdr:cNvPr id="1079" name="Group 1078"/>
            <xdr:cNvGrpSpPr/>
          </xdr:nvGrpSpPr>
          <xdr:grpSpPr>
            <a:xfrm>
              <a:off x="3876675" y="140512800"/>
              <a:ext cx="647701" cy="123826"/>
              <a:chOff x="3876675" y="141312900"/>
              <a:chExt cx="647701" cy="123826"/>
            </a:xfrm>
          </xdr:grpSpPr>
          <xdr:sp macro="" textlink="">
            <xdr:nvSpPr>
              <xdr:cNvPr id="8427" name="Check Box 1259" hidden="1">
                <a:extLst>
                  <a:ext uri="{63B3BB69-23CF-44E3-9099-C40C66FF867C}">
                    <a14:compatExt spid="_x0000_s8427"/>
                  </a:ext>
                </a:extLst>
              </xdr:cNvPr>
              <xdr:cNvSpPr/>
            </xdr:nvSpPr>
            <xdr:spPr bwMode="auto">
              <a:xfrm>
                <a:off x="3876675" y="1413319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28" name="Check Box 1260" hidden="1">
                <a:extLst>
                  <a:ext uri="{63B3BB69-23CF-44E3-9099-C40C66FF867C}">
                    <a14:compatExt spid="_x0000_s8428"/>
                  </a:ext>
                </a:extLst>
              </xdr:cNvPr>
              <xdr:cNvSpPr/>
            </xdr:nvSpPr>
            <xdr:spPr bwMode="auto">
              <a:xfrm>
                <a:off x="4105276" y="1413224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29" name="Check Box 1261" hidden="1">
                <a:extLst>
                  <a:ext uri="{63B3BB69-23CF-44E3-9099-C40C66FF867C}">
                    <a14:compatExt spid="_x0000_s8429"/>
                  </a:ext>
                </a:extLst>
              </xdr:cNvPr>
              <xdr:cNvSpPr/>
            </xdr:nvSpPr>
            <xdr:spPr bwMode="auto">
              <a:xfrm>
                <a:off x="4371976" y="1413129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589</xdr:row>
          <xdr:rowOff>0</xdr:rowOff>
        </xdr:from>
        <xdr:to>
          <xdr:col>5</xdr:col>
          <xdr:colOff>133351</xdr:colOff>
          <xdr:row>589</xdr:row>
          <xdr:rowOff>123826</xdr:rowOff>
        </xdr:to>
        <xdr:grpSp>
          <xdr:nvGrpSpPr>
            <xdr:cNvPr id="1078" name="Group 1077"/>
            <xdr:cNvGrpSpPr/>
          </xdr:nvGrpSpPr>
          <xdr:grpSpPr>
            <a:xfrm>
              <a:off x="3876675" y="140998575"/>
              <a:ext cx="647701" cy="123826"/>
              <a:chOff x="3876675" y="141798675"/>
              <a:chExt cx="647701" cy="123826"/>
            </a:xfrm>
          </xdr:grpSpPr>
          <xdr:sp macro="" textlink="">
            <xdr:nvSpPr>
              <xdr:cNvPr id="8430" name="Check Box 1262" hidden="1">
                <a:extLst>
                  <a:ext uri="{63B3BB69-23CF-44E3-9099-C40C66FF867C}">
                    <a14:compatExt spid="_x0000_s8430"/>
                  </a:ext>
                </a:extLst>
              </xdr:cNvPr>
              <xdr:cNvSpPr/>
            </xdr:nvSpPr>
            <xdr:spPr bwMode="auto">
              <a:xfrm>
                <a:off x="3876675" y="1418177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31" name="Check Box 1263" hidden="1">
                <a:extLst>
                  <a:ext uri="{63B3BB69-23CF-44E3-9099-C40C66FF867C}">
                    <a14:compatExt spid="_x0000_s8431"/>
                  </a:ext>
                </a:extLst>
              </xdr:cNvPr>
              <xdr:cNvSpPr/>
            </xdr:nvSpPr>
            <xdr:spPr bwMode="auto">
              <a:xfrm>
                <a:off x="4105276" y="1418082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32" name="Check Box 1264" hidden="1">
                <a:extLst>
                  <a:ext uri="{63B3BB69-23CF-44E3-9099-C40C66FF867C}">
                    <a14:compatExt spid="_x0000_s8432"/>
                  </a:ext>
                </a:extLst>
              </xdr:cNvPr>
              <xdr:cNvSpPr/>
            </xdr:nvSpPr>
            <xdr:spPr bwMode="auto">
              <a:xfrm>
                <a:off x="4371976" y="1417986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590</xdr:row>
          <xdr:rowOff>0</xdr:rowOff>
        </xdr:from>
        <xdr:to>
          <xdr:col>5</xdr:col>
          <xdr:colOff>133351</xdr:colOff>
          <xdr:row>590</xdr:row>
          <xdr:rowOff>123826</xdr:rowOff>
        </xdr:to>
        <xdr:grpSp>
          <xdr:nvGrpSpPr>
            <xdr:cNvPr id="1080" name="Group 1079"/>
            <xdr:cNvGrpSpPr/>
          </xdr:nvGrpSpPr>
          <xdr:grpSpPr>
            <a:xfrm>
              <a:off x="3876675" y="141484350"/>
              <a:ext cx="647701" cy="123826"/>
              <a:chOff x="3876675" y="142284450"/>
              <a:chExt cx="647701" cy="123826"/>
            </a:xfrm>
          </xdr:grpSpPr>
          <xdr:sp macro="" textlink="">
            <xdr:nvSpPr>
              <xdr:cNvPr id="8433" name="Check Box 1265" hidden="1">
                <a:extLst>
                  <a:ext uri="{63B3BB69-23CF-44E3-9099-C40C66FF867C}">
                    <a14:compatExt spid="_x0000_s8433"/>
                  </a:ext>
                </a:extLst>
              </xdr:cNvPr>
              <xdr:cNvSpPr/>
            </xdr:nvSpPr>
            <xdr:spPr bwMode="auto">
              <a:xfrm>
                <a:off x="3876675" y="1423035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34" name="Check Box 1266" hidden="1">
                <a:extLst>
                  <a:ext uri="{63B3BB69-23CF-44E3-9099-C40C66FF867C}">
                    <a14:compatExt spid="_x0000_s8434"/>
                  </a:ext>
                </a:extLst>
              </xdr:cNvPr>
              <xdr:cNvSpPr/>
            </xdr:nvSpPr>
            <xdr:spPr bwMode="auto">
              <a:xfrm>
                <a:off x="4105276" y="1422939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35" name="Check Box 1267" hidden="1">
                <a:extLst>
                  <a:ext uri="{63B3BB69-23CF-44E3-9099-C40C66FF867C}">
                    <a14:compatExt spid="_x0000_s8435"/>
                  </a:ext>
                </a:extLst>
              </xdr:cNvPr>
              <xdr:cNvSpPr/>
            </xdr:nvSpPr>
            <xdr:spPr bwMode="auto">
              <a:xfrm>
                <a:off x="4371976" y="1422844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415</xdr:row>
          <xdr:rowOff>0</xdr:rowOff>
        </xdr:from>
        <xdr:to>
          <xdr:col>5</xdr:col>
          <xdr:colOff>133351</xdr:colOff>
          <xdr:row>415</xdr:row>
          <xdr:rowOff>123826</xdr:rowOff>
        </xdr:to>
        <xdr:grpSp>
          <xdr:nvGrpSpPr>
            <xdr:cNvPr id="1082" name="Group 1081"/>
            <xdr:cNvGrpSpPr/>
          </xdr:nvGrpSpPr>
          <xdr:grpSpPr>
            <a:xfrm>
              <a:off x="3876675" y="98964750"/>
              <a:ext cx="647701" cy="123826"/>
              <a:chOff x="3876675" y="101507925"/>
              <a:chExt cx="647701" cy="123826"/>
            </a:xfrm>
          </xdr:grpSpPr>
          <xdr:sp macro="" textlink="">
            <xdr:nvSpPr>
              <xdr:cNvPr id="8436" name="Check Box 1268" hidden="1">
                <a:extLst>
                  <a:ext uri="{63B3BB69-23CF-44E3-9099-C40C66FF867C}">
                    <a14:compatExt spid="_x0000_s8436"/>
                  </a:ext>
                </a:extLst>
              </xdr:cNvPr>
              <xdr:cNvSpPr/>
            </xdr:nvSpPr>
            <xdr:spPr bwMode="auto">
              <a:xfrm>
                <a:off x="3876675" y="1015269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37" name="Check Box 1269" hidden="1">
                <a:extLst>
                  <a:ext uri="{63B3BB69-23CF-44E3-9099-C40C66FF867C}">
                    <a14:compatExt spid="_x0000_s8437"/>
                  </a:ext>
                </a:extLst>
              </xdr:cNvPr>
              <xdr:cNvSpPr/>
            </xdr:nvSpPr>
            <xdr:spPr bwMode="auto">
              <a:xfrm>
                <a:off x="4105276" y="1015174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38" name="Check Box 1270" hidden="1">
                <a:extLst>
                  <a:ext uri="{63B3BB69-23CF-44E3-9099-C40C66FF867C}">
                    <a14:compatExt spid="_x0000_s8438"/>
                  </a:ext>
                </a:extLst>
              </xdr:cNvPr>
              <xdr:cNvSpPr/>
            </xdr:nvSpPr>
            <xdr:spPr bwMode="auto">
              <a:xfrm>
                <a:off x="4371976" y="1015079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416</xdr:row>
          <xdr:rowOff>0</xdr:rowOff>
        </xdr:from>
        <xdr:to>
          <xdr:col>5</xdr:col>
          <xdr:colOff>133351</xdr:colOff>
          <xdr:row>416</xdr:row>
          <xdr:rowOff>123826</xdr:rowOff>
        </xdr:to>
        <xdr:grpSp>
          <xdr:nvGrpSpPr>
            <xdr:cNvPr id="1083" name="Group 1082"/>
            <xdr:cNvGrpSpPr/>
          </xdr:nvGrpSpPr>
          <xdr:grpSpPr>
            <a:xfrm>
              <a:off x="3876675" y="99288600"/>
              <a:ext cx="647701" cy="123826"/>
              <a:chOff x="3876675" y="101831775"/>
              <a:chExt cx="647701" cy="123826"/>
            </a:xfrm>
          </xdr:grpSpPr>
          <xdr:sp macro="" textlink="">
            <xdr:nvSpPr>
              <xdr:cNvPr id="8439" name="Check Box 1271" hidden="1">
                <a:extLst>
                  <a:ext uri="{63B3BB69-23CF-44E3-9099-C40C66FF867C}">
                    <a14:compatExt spid="_x0000_s8439"/>
                  </a:ext>
                </a:extLst>
              </xdr:cNvPr>
              <xdr:cNvSpPr/>
            </xdr:nvSpPr>
            <xdr:spPr bwMode="auto">
              <a:xfrm>
                <a:off x="3876675" y="1018508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40" name="Check Box 1272" hidden="1">
                <a:extLst>
                  <a:ext uri="{63B3BB69-23CF-44E3-9099-C40C66FF867C}">
                    <a14:compatExt spid="_x0000_s8440"/>
                  </a:ext>
                </a:extLst>
              </xdr:cNvPr>
              <xdr:cNvSpPr/>
            </xdr:nvSpPr>
            <xdr:spPr bwMode="auto">
              <a:xfrm>
                <a:off x="4105276" y="1018413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41" name="Check Box 1273" hidden="1">
                <a:extLst>
                  <a:ext uri="{63B3BB69-23CF-44E3-9099-C40C66FF867C}">
                    <a14:compatExt spid="_x0000_s8441"/>
                  </a:ext>
                </a:extLst>
              </xdr:cNvPr>
              <xdr:cNvSpPr/>
            </xdr:nvSpPr>
            <xdr:spPr bwMode="auto">
              <a:xfrm>
                <a:off x="4371976" y="1018317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418</xdr:row>
          <xdr:rowOff>0</xdr:rowOff>
        </xdr:from>
        <xdr:to>
          <xdr:col>5</xdr:col>
          <xdr:colOff>133351</xdr:colOff>
          <xdr:row>418</xdr:row>
          <xdr:rowOff>123826</xdr:rowOff>
        </xdr:to>
        <xdr:grpSp>
          <xdr:nvGrpSpPr>
            <xdr:cNvPr id="1084" name="Group 1083"/>
            <xdr:cNvGrpSpPr/>
          </xdr:nvGrpSpPr>
          <xdr:grpSpPr>
            <a:xfrm>
              <a:off x="3876675" y="100107750"/>
              <a:ext cx="647701" cy="123826"/>
              <a:chOff x="3876675" y="102650925"/>
              <a:chExt cx="647701" cy="123826"/>
            </a:xfrm>
          </xdr:grpSpPr>
          <xdr:sp macro="" textlink="">
            <xdr:nvSpPr>
              <xdr:cNvPr id="8442" name="Check Box 1274" hidden="1">
                <a:extLst>
                  <a:ext uri="{63B3BB69-23CF-44E3-9099-C40C66FF867C}">
                    <a14:compatExt spid="_x0000_s8442"/>
                  </a:ext>
                </a:extLst>
              </xdr:cNvPr>
              <xdr:cNvSpPr/>
            </xdr:nvSpPr>
            <xdr:spPr bwMode="auto">
              <a:xfrm>
                <a:off x="3876675" y="1026699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43" name="Check Box 1275" hidden="1">
                <a:extLst>
                  <a:ext uri="{63B3BB69-23CF-44E3-9099-C40C66FF867C}">
                    <a14:compatExt spid="_x0000_s8443"/>
                  </a:ext>
                </a:extLst>
              </xdr:cNvPr>
              <xdr:cNvSpPr/>
            </xdr:nvSpPr>
            <xdr:spPr bwMode="auto">
              <a:xfrm>
                <a:off x="4105276" y="1026604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44" name="Check Box 1276" hidden="1">
                <a:extLst>
                  <a:ext uri="{63B3BB69-23CF-44E3-9099-C40C66FF867C}">
                    <a14:compatExt spid="_x0000_s8444"/>
                  </a:ext>
                </a:extLst>
              </xdr:cNvPr>
              <xdr:cNvSpPr/>
            </xdr:nvSpPr>
            <xdr:spPr bwMode="auto">
              <a:xfrm>
                <a:off x="4371976" y="1026509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419</xdr:row>
          <xdr:rowOff>0</xdr:rowOff>
        </xdr:from>
        <xdr:to>
          <xdr:col>5</xdr:col>
          <xdr:colOff>133351</xdr:colOff>
          <xdr:row>419</xdr:row>
          <xdr:rowOff>123826</xdr:rowOff>
        </xdr:to>
        <xdr:grpSp>
          <xdr:nvGrpSpPr>
            <xdr:cNvPr id="1085" name="Group 1084"/>
            <xdr:cNvGrpSpPr/>
          </xdr:nvGrpSpPr>
          <xdr:grpSpPr>
            <a:xfrm>
              <a:off x="3876675" y="100279200"/>
              <a:ext cx="647701" cy="123826"/>
              <a:chOff x="3876675" y="102822375"/>
              <a:chExt cx="647701" cy="123826"/>
            </a:xfrm>
          </xdr:grpSpPr>
          <xdr:sp macro="" textlink="">
            <xdr:nvSpPr>
              <xdr:cNvPr id="8445" name="Check Box 1277" hidden="1">
                <a:extLst>
                  <a:ext uri="{63B3BB69-23CF-44E3-9099-C40C66FF867C}">
                    <a14:compatExt spid="_x0000_s8445"/>
                  </a:ext>
                </a:extLst>
              </xdr:cNvPr>
              <xdr:cNvSpPr/>
            </xdr:nvSpPr>
            <xdr:spPr bwMode="auto">
              <a:xfrm>
                <a:off x="3876675" y="1028414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46" name="Check Box 1278" hidden="1">
                <a:extLst>
                  <a:ext uri="{63B3BB69-23CF-44E3-9099-C40C66FF867C}">
                    <a14:compatExt spid="_x0000_s8446"/>
                  </a:ext>
                </a:extLst>
              </xdr:cNvPr>
              <xdr:cNvSpPr/>
            </xdr:nvSpPr>
            <xdr:spPr bwMode="auto">
              <a:xfrm>
                <a:off x="4105276" y="1028319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47" name="Check Box 1279" hidden="1">
                <a:extLst>
                  <a:ext uri="{63B3BB69-23CF-44E3-9099-C40C66FF867C}">
                    <a14:compatExt spid="_x0000_s8447"/>
                  </a:ext>
                </a:extLst>
              </xdr:cNvPr>
              <xdr:cNvSpPr/>
            </xdr:nvSpPr>
            <xdr:spPr bwMode="auto">
              <a:xfrm>
                <a:off x="4371976" y="1028223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420</xdr:row>
          <xdr:rowOff>0</xdr:rowOff>
        </xdr:from>
        <xdr:to>
          <xdr:col>5</xdr:col>
          <xdr:colOff>133351</xdr:colOff>
          <xdr:row>420</xdr:row>
          <xdr:rowOff>123826</xdr:rowOff>
        </xdr:to>
        <xdr:grpSp>
          <xdr:nvGrpSpPr>
            <xdr:cNvPr id="1087" name="Group 1086"/>
            <xdr:cNvGrpSpPr/>
          </xdr:nvGrpSpPr>
          <xdr:grpSpPr>
            <a:xfrm>
              <a:off x="3876675" y="100450650"/>
              <a:ext cx="647701" cy="123826"/>
              <a:chOff x="3876675" y="102993825"/>
              <a:chExt cx="647701" cy="123826"/>
            </a:xfrm>
          </xdr:grpSpPr>
          <xdr:sp macro="" textlink="">
            <xdr:nvSpPr>
              <xdr:cNvPr id="8451" name="Check Box 1283" hidden="1">
                <a:extLst>
                  <a:ext uri="{63B3BB69-23CF-44E3-9099-C40C66FF867C}">
                    <a14:compatExt spid="_x0000_s8451"/>
                  </a:ext>
                </a:extLst>
              </xdr:cNvPr>
              <xdr:cNvSpPr/>
            </xdr:nvSpPr>
            <xdr:spPr bwMode="auto">
              <a:xfrm>
                <a:off x="3876675" y="1030128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52" name="Check Box 1284" hidden="1">
                <a:extLst>
                  <a:ext uri="{63B3BB69-23CF-44E3-9099-C40C66FF867C}">
                    <a14:compatExt spid="_x0000_s8452"/>
                  </a:ext>
                </a:extLst>
              </xdr:cNvPr>
              <xdr:cNvSpPr/>
            </xdr:nvSpPr>
            <xdr:spPr bwMode="auto">
              <a:xfrm>
                <a:off x="4105276" y="1030033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53" name="Check Box 1285" hidden="1">
                <a:extLst>
                  <a:ext uri="{63B3BB69-23CF-44E3-9099-C40C66FF867C}">
                    <a14:compatExt spid="_x0000_s8453"/>
                  </a:ext>
                </a:extLst>
              </xdr:cNvPr>
              <xdr:cNvSpPr/>
            </xdr:nvSpPr>
            <xdr:spPr bwMode="auto">
              <a:xfrm>
                <a:off x="4371976" y="1029938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421</xdr:row>
          <xdr:rowOff>0</xdr:rowOff>
        </xdr:from>
        <xdr:to>
          <xdr:col>5</xdr:col>
          <xdr:colOff>133351</xdr:colOff>
          <xdr:row>421</xdr:row>
          <xdr:rowOff>123826</xdr:rowOff>
        </xdr:to>
        <xdr:grpSp>
          <xdr:nvGrpSpPr>
            <xdr:cNvPr id="1088" name="Group 1087"/>
            <xdr:cNvGrpSpPr/>
          </xdr:nvGrpSpPr>
          <xdr:grpSpPr>
            <a:xfrm>
              <a:off x="3876675" y="100622100"/>
              <a:ext cx="647701" cy="123826"/>
              <a:chOff x="3876675" y="103165275"/>
              <a:chExt cx="647701" cy="123826"/>
            </a:xfrm>
          </xdr:grpSpPr>
          <xdr:sp macro="" textlink="">
            <xdr:nvSpPr>
              <xdr:cNvPr id="8454" name="Check Box 1286" hidden="1">
                <a:extLst>
                  <a:ext uri="{63B3BB69-23CF-44E3-9099-C40C66FF867C}">
                    <a14:compatExt spid="_x0000_s8454"/>
                  </a:ext>
                </a:extLst>
              </xdr:cNvPr>
              <xdr:cNvSpPr/>
            </xdr:nvSpPr>
            <xdr:spPr bwMode="auto">
              <a:xfrm>
                <a:off x="3876675" y="1031843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55" name="Check Box 1287" hidden="1">
                <a:extLst>
                  <a:ext uri="{63B3BB69-23CF-44E3-9099-C40C66FF867C}">
                    <a14:compatExt spid="_x0000_s8455"/>
                  </a:ext>
                </a:extLst>
              </xdr:cNvPr>
              <xdr:cNvSpPr/>
            </xdr:nvSpPr>
            <xdr:spPr bwMode="auto">
              <a:xfrm>
                <a:off x="4105276" y="1031748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56" name="Check Box 1288" hidden="1">
                <a:extLst>
                  <a:ext uri="{63B3BB69-23CF-44E3-9099-C40C66FF867C}">
                    <a14:compatExt spid="_x0000_s8456"/>
                  </a:ext>
                </a:extLst>
              </xdr:cNvPr>
              <xdr:cNvSpPr/>
            </xdr:nvSpPr>
            <xdr:spPr bwMode="auto">
              <a:xfrm>
                <a:off x="4371976" y="1031652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422</xdr:row>
          <xdr:rowOff>0</xdr:rowOff>
        </xdr:from>
        <xdr:to>
          <xdr:col>5</xdr:col>
          <xdr:colOff>133351</xdr:colOff>
          <xdr:row>422</xdr:row>
          <xdr:rowOff>123826</xdr:rowOff>
        </xdr:to>
        <xdr:grpSp>
          <xdr:nvGrpSpPr>
            <xdr:cNvPr id="1089" name="Group 1088"/>
            <xdr:cNvGrpSpPr/>
          </xdr:nvGrpSpPr>
          <xdr:grpSpPr>
            <a:xfrm>
              <a:off x="3876675" y="100793550"/>
              <a:ext cx="647701" cy="123826"/>
              <a:chOff x="3876675" y="103336725"/>
              <a:chExt cx="647701" cy="123826"/>
            </a:xfrm>
          </xdr:grpSpPr>
          <xdr:sp macro="" textlink="">
            <xdr:nvSpPr>
              <xdr:cNvPr id="8457" name="Check Box 1289" hidden="1">
                <a:extLst>
                  <a:ext uri="{63B3BB69-23CF-44E3-9099-C40C66FF867C}">
                    <a14:compatExt spid="_x0000_s8457"/>
                  </a:ext>
                </a:extLst>
              </xdr:cNvPr>
              <xdr:cNvSpPr/>
            </xdr:nvSpPr>
            <xdr:spPr bwMode="auto">
              <a:xfrm>
                <a:off x="3876675" y="1033557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58" name="Check Box 1290" hidden="1">
                <a:extLst>
                  <a:ext uri="{63B3BB69-23CF-44E3-9099-C40C66FF867C}">
                    <a14:compatExt spid="_x0000_s8458"/>
                  </a:ext>
                </a:extLst>
              </xdr:cNvPr>
              <xdr:cNvSpPr/>
            </xdr:nvSpPr>
            <xdr:spPr bwMode="auto">
              <a:xfrm>
                <a:off x="4105276" y="1033462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59" name="Check Box 1291" hidden="1">
                <a:extLst>
                  <a:ext uri="{63B3BB69-23CF-44E3-9099-C40C66FF867C}">
                    <a14:compatExt spid="_x0000_s8459"/>
                  </a:ext>
                </a:extLst>
              </xdr:cNvPr>
              <xdr:cNvSpPr/>
            </xdr:nvSpPr>
            <xdr:spPr bwMode="auto">
              <a:xfrm>
                <a:off x="4371976" y="1033367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423</xdr:row>
          <xdr:rowOff>0</xdr:rowOff>
        </xdr:from>
        <xdr:to>
          <xdr:col>5</xdr:col>
          <xdr:colOff>133351</xdr:colOff>
          <xdr:row>423</xdr:row>
          <xdr:rowOff>123826</xdr:rowOff>
        </xdr:to>
        <xdr:grpSp>
          <xdr:nvGrpSpPr>
            <xdr:cNvPr id="1090" name="Group 1089"/>
            <xdr:cNvGrpSpPr/>
          </xdr:nvGrpSpPr>
          <xdr:grpSpPr>
            <a:xfrm>
              <a:off x="3876675" y="100965000"/>
              <a:ext cx="647701" cy="123826"/>
              <a:chOff x="3876675" y="103508175"/>
              <a:chExt cx="647701" cy="123826"/>
            </a:xfrm>
          </xdr:grpSpPr>
          <xdr:sp macro="" textlink="">
            <xdr:nvSpPr>
              <xdr:cNvPr id="8460" name="Check Box 1292" hidden="1">
                <a:extLst>
                  <a:ext uri="{63B3BB69-23CF-44E3-9099-C40C66FF867C}">
                    <a14:compatExt spid="_x0000_s8460"/>
                  </a:ext>
                </a:extLst>
              </xdr:cNvPr>
              <xdr:cNvSpPr/>
            </xdr:nvSpPr>
            <xdr:spPr bwMode="auto">
              <a:xfrm>
                <a:off x="3876675" y="1035272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61" name="Check Box 1293" hidden="1">
                <a:extLst>
                  <a:ext uri="{63B3BB69-23CF-44E3-9099-C40C66FF867C}">
                    <a14:compatExt spid="_x0000_s8461"/>
                  </a:ext>
                </a:extLst>
              </xdr:cNvPr>
              <xdr:cNvSpPr/>
            </xdr:nvSpPr>
            <xdr:spPr bwMode="auto">
              <a:xfrm>
                <a:off x="4105276" y="1035177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62" name="Check Box 1294" hidden="1">
                <a:extLst>
                  <a:ext uri="{63B3BB69-23CF-44E3-9099-C40C66FF867C}">
                    <a14:compatExt spid="_x0000_s8462"/>
                  </a:ext>
                </a:extLst>
              </xdr:cNvPr>
              <xdr:cNvSpPr/>
            </xdr:nvSpPr>
            <xdr:spPr bwMode="auto">
              <a:xfrm>
                <a:off x="4371976" y="1035081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424</xdr:row>
          <xdr:rowOff>0</xdr:rowOff>
        </xdr:from>
        <xdr:to>
          <xdr:col>5</xdr:col>
          <xdr:colOff>133351</xdr:colOff>
          <xdr:row>424</xdr:row>
          <xdr:rowOff>123826</xdr:rowOff>
        </xdr:to>
        <xdr:grpSp>
          <xdr:nvGrpSpPr>
            <xdr:cNvPr id="1094" name="Group 1093"/>
            <xdr:cNvGrpSpPr/>
          </xdr:nvGrpSpPr>
          <xdr:grpSpPr>
            <a:xfrm>
              <a:off x="3876675" y="101136450"/>
              <a:ext cx="647701" cy="123826"/>
              <a:chOff x="3876675" y="103679625"/>
              <a:chExt cx="647701" cy="123826"/>
            </a:xfrm>
          </xdr:grpSpPr>
          <xdr:sp macro="" textlink="">
            <xdr:nvSpPr>
              <xdr:cNvPr id="8463" name="Check Box 1295" hidden="1">
                <a:extLst>
                  <a:ext uri="{63B3BB69-23CF-44E3-9099-C40C66FF867C}">
                    <a14:compatExt spid="_x0000_s8463"/>
                  </a:ext>
                </a:extLst>
              </xdr:cNvPr>
              <xdr:cNvSpPr/>
            </xdr:nvSpPr>
            <xdr:spPr bwMode="auto">
              <a:xfrm>
                <a:off x="3876675" y="1036986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64" name="Check Box 1296" hidden="1">
                <a:extLst>
                  <a:ext uri="{63B3BB69-23CF-44E3-9099-C40C66FF867C}">
                    <a14:compatExt spid="_x0000_s8464"/>
                  </a:ext>
                </a:extLst>
              </xdr:cNvPr>
              <xdr:cNvSpPr/>
            </xdr:nvSpPr>
            <xdr:spPr bwMode="auto">
              <a:xfrm>
                <a:off x="4105276" y="1036891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65" name="Check Box 1297" hidden="1">
                <a:extLst>
                  <a:ext uri="{63B3BB69-23CF-44E3-9099-C40C66FF867C}">
                    <a14:compatExt spid="_x0000_s8465"/>
                  </a:ext>
                </a:extLst>
              </xdr:cNvPr>
              <xdr:cNvSpPr/>
            </xdr:nvSpPr>
            <xdr:spPr bwMode="auto">
              <a:xfrm>
                <a:off x="4371976" y="1036796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425</xdr:row>
          <xdr:rowOff>0</xdr:rowOff>
        </xdr:from>
        <xdr:to>
          <xdr:col>5</xdr:col>
          <xdr:colOff>133351</xdr:colOff>
          <xdr:row>425</xdr:row>
          <xdr:rowOff>123826</xdr:rowOff>
        </xdr:to>
        <xdr:grpSp>
          <xdr:nvGrpSpPr>
            <xdr:cNvPr id="1093" name="Group 1092"/>
            <xdr:cNvGrpSpPr/>
          </xdr:nvGrpSpPr>
          <xdr:grpSpPr>
            <a:xfrm>
              <a:off x="3876675" y="101307900"/>
              <a:ext cx="647701" cy="123826"/>
              <a:chOff x="3876675" y="103851075"/>
              <a:chExt cx="647701" cy="123826"/>
            </a:xfrm>
          </xdr:grpSpPr>
          <xdr:sp macro="" textlink="">
            <xdr:nvSpPr>
              <xdr:cNvPr id="8466" name="Check Box 1298" hidden="1">
                <a:extLst>
                  <a:ext uri="{63B3BB69-23CF-44E3-9099-C40C66FF867C}">
                    <a14:compatExt spid="_x0000_s8466"/>
                  </a:ext>
                </a:extLst>
              </xdr:cNvPr>
              <xdr:cNvSpPr/>
            </xdr:nvSpPr>
            <xdr:spPr bwMode="auto">
              <a:xfrm>
                <a:off x="3876675" y="1038701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67" name="Check Box 1299" hidden="1">
                <a:extLst>
                  <a:ext uri="{63B3BB69-23CF-44E3-9099-C40C66FF867C}">
                    <a14:compatExt spid="_x0000_s8467"/>
                  </a:ext>
                </a:extLst>
              </xdr:cNvPr>
              <xdr:cNvSpPr/>
            </xdr:nvSpPr>
            <xdr:spPr bwMode="auto">
              <a:xfrm>
                <a:off x="4105276" y="1038606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68" name="Check Box 1300" hidden="1">
                <a:extLst>
                  <a:ext uri="{63B3BB69-23CF-44E3-9099-C40C66FF867C}">
                    <a14:compatExt spid="_x0000_s8468"/>
                  </a:ext>
                </a:extLst>
              </xdr:cNvPr>
              <xdr:cNvSpPr/>
            </xdr:nvSpPr>
            <xdr:spPr bwMode="auto">
              <a:xfrm>
                <a:off x="4371976" y="1038510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426</xdr:row>
          <xdr:rowOff>0</xdr:rowOff>
        </xdr:from>
        <xdr:to>
          <xdr:col>5</xdr:col>
          <xdr:colOff>133351</xdr:colOff>
          <xdr:row>426</xdr:row>
          <xdr:rowOff>123826</xdr:rowOff>
        </xdr:to>
        <xdr:grpSp>
          <xdr:nvGrpSpPr>
            <xdr:cNvPr id="1092" name="Group 1091"/>
            <xdr:cNvGrpSpPr/>
          </xdr:nvGrpSpPr>
          <xdr:grpSpPr>
            <a:xfrm>
              <a:off x="3876675" y="101479350"/>
              <a:ext cx="647701" cy="123826"/>
              <a:chOff x="3876675" y="104022525"/>
              <a:chExt cx="647701" cy="123826"/>
            </a:xfrm>
          </xdr:grpSpPr>
          <xdr:sp macro="" textlink="">
            <xdr:nvSpPr>
              <xdr:cNvPr id="8469" name="Check Box 1301" hidden="1">
                <a:extLst>
                  <a:ext uri="{63B3BB69-23CF-44E3-9099-C40C66FF867C}">
                    <a14:compatExt spid="_x0000_s8469"/>
                  </a:ext>
                </a:extLst>
              </xdr:cNvPr>
              <xdr:cNvSpPr/>
            </xdr:nvSpPr>
            <xdr:spPr bwMode="auto">
              <a:xfrm>
                <a:off x="3876675" y="1040415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70" name="Check Box 1302" hidden="1">
                <a:extLst>
                  <a:ext uri="{63B3BB69-23CF-44E3-9099-C40C66FF867C}">
                    <a14:compatExt spid="_x0000_s8470"/>
                  </a:ext>
                </a:extLst>
              </xdr:cNvPr>
              <xdr:cNvSpPr/>
            </xdr:nvSpPr>
            <xdr:spPr bwMode="auto">
              <a:xfrm>
                <a:off x="4105276" y="1040320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71" name="Check Box 1303" hidden="1">
                <a:extLst>
                  <a:ext uri="{63B3BB69-23CF-44E3-9099-C40C66FF867C}">
                    <a14:compatExt spid="_x0000_s8471"/>
                  </a:ext>
                </a:extLst>
              </xdr:cNvPr>
              <xdr:cNvSpPr/>
            </xdr:nvSpPr>
            <xdr:spPr bwMode="auto">
              <a:xfrm>
                <a:off x="4371976" y="1040225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429</xdr:row>
          <xdr:rowOff>0</xdr:rowOff>
        </xdr:from>
        <xdr:to>
          <xdr:col>5</xdr:col>
          <xdr:colOff>133351</xdr:colOff>
          <xdr:row>429</xdr:row>
          <xdr:rowOff>123826</xdr:rowOff>
        </xdr:to>
        <xdr:grpSp>
          <xdr:nvGrpSpPr>
            <xdr:cNvPr id="1096" name="Group 1095"/>
            <xdr:cNvGrpSpPr/>
          </xdr:nvGrpSpPr>
          <xdr:grpSpPr>
            <a:xfrm>
              <a:off x="3876675" y="101974650"/>
              <a:ext cx="647701" cy="123826"/>
              <a:chOff x="3876675" y="104517825"/>
              <a:chExt cx="647701" cy="123826"/>
            </a:xfrm>
          </xdr:grpSpPr>
          <xdr:sp macro="" textlink="">
            <xdr:nvSpPr>
              <xdr:cNvPr id="8472" name="Check Box 1304" hidden="1">
                <a:extLst>
                  <a:ext uri="{63B3BB69-23CF-44E3-9099-C40C66FF867C}">
                    <a14:compatExt spid="_x0000_s8472"/>
                  </a:ext>
                </a:extLst>
              </xdr:cNvPr>
              <xdr:cNvSpPr/>
            </xdr:nvSpPr>
            <xdr:spPr bwMode="auto">
              <a:xfrm>
                <a:off x="3876675" y="1045368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73" name="Check Box 1305" hidden="1">
                <a:extLst>
                  <a:ext uri="{63B3BB69-23CF-44E3-9099-C40C66FF867C}">
                    <a14:compatExt spid="_x0000_s8473"/>
                  </a:ext>
                </a:extLst>
              </xdr:cNvPr>
              <xdr:cNvSpPr/>
            </xdr:nvSpPr>
            <xdr:spPr bwMode="auto">
              <a:xfrm>
                <a:off x="4105276" y="1045273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74" name="Check Box 1306" hidden="1">
                <a:extLst>
                  <a:ext uri="{63B3BB69-23CF-44E3-9099-C40C66FF867C}">
                    <a14:compatExt spid="_x0000_s8474"/>
                  </a:ext>
                </a:extLst>
              </xdr:cNvPr>
              <xdr:cNvSpPr/>
            </xdr:nvSpPr>
            <xdr:spPr bwMode="auto">
              <a:xfrm>
                <a:off x="4371976" y="1045178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431</xdr:row>
          <xdr:rowOff>0</xdr:rowOff>
        </xdr:from>
        <xdr:to>
          <xdr:col>5</xdr:col>
          <xdr:colOff>133351</xdr:colOff>
          <xdr:row>431</xdr:row>
          <xdr:rowOff>123826</xdr:rowOff>
        </xdr:to>
        <xdr:grpSp>
          <xdr:nvGrpSpPr>
            <xdr:cNvPr id="1097" name="Group 1096"/>
            <xdr:cNvGrpSpPr/>
          </xdr:nvGrpSpPr>
          <xdr:grpSpPr>
            <a:xfrm>
              <a:off x="3876675" y="102546150"/>
              <a:ext cx="647701" cy="123826"/>
              <a:chOff x="3876675" y="105089325"/>
              <a:chExt cx="647701" cy="123826"/>
            </a:xfrm>
          </xdr:grpSpPr>
          <xdr:sp macro="" textlink="">
            <xdr:nvSpPr>
              <xdr:cNvPr id="8475" name="Check Box 1307" hidden="1">
                <a:extLst>
                  <a:ext uri="{63B3BB69-23CF-44E3-9099-C40C66FF867C}">
                    <a14:compatExt spid="_x0000_s8475"/>
                  </a:ext>
                </a:extLst>
              </xdr:cNvPr>
              <xdr:cNvSpPr/>
            </xdr:nvSpPr>
            <xdr:spPr bwMode="auto">
              <a:xfrm>
                <a:off x="3876675" y="1051083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76" name="Check Box 1308" hidden="1">
                <a:extLst>
                  <a:ext uri="{63B3BB69-23CF-44E3-9099-C40C66FF867C}">
                    <a14:compatExt spid="_x0000_s8476"/>
                  </a:ext>
                </a:extLst>
              </xdr:cNvPr>
              <xdr:cNvSpPr/>
            </xdr:nvSpPr>
            <xdr:spPr bwMode="auto">
              <a:xfrm>
                <a:off x="4105276" y="1050988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77" name="Check Box 1309" hidden="1">
                <a:extLst>
                  <a:ext uri="{63B3BB69-23CF-44E3-9099-C40C66FF867C}">
                    <a14:compatExt spid="_x0000_s8477"/>
                  </a:ext>
                </a:extLst>
              </xdr:cNvPr>
              <xdr:cNvSpPr/>
            </xdr:nvSpPr>
            <xdr:spPr bwMode="auto">
              <a:xfrm>
                <a:off x="4371976" y="1050893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433</xdr:row>
          <xdr:rowOff>0</xdr:rowOff>
        </xdr:from>
        <xdr:to>
          <xdr:col>5</xdr:col>
          <xdr:colOff>133351</xdr:colOff>
          <xdr:row>433</xdr:row>
          <xdr:rowOff>123826</xdr:rowOff>
        </xdr:to>
        <xdr:grpSp>
          <xdr:nvGrpSpPr>
            <xdr:cNvPr id="1098" name="Group 1097"/>
            <xdr:cNvGrpSpPr/>
          </xdr:nvGrpSpPr>
          <xdr:grpSpPr>
            <a:xfrm>
              <a:off x="3876675" y="103031925"/>
              <a:ext cx="647701" cy="123826"/>
              <a:chOff x="3876675" y="105575100"/>
              <a:chExt cx="647701" cy="123826"/>
            </a:xfrm>
          </xdr:grpSpPr>
          <xdr:sp macro="" textlink="">
            <xdr:nvSpPr>
              <xdr:cNvPr id="8481" name="Check Box 1313" hidden="1">
                <a:extLst>
                  <a:ext uri="{63B3BB69-23CF-44E3-9099-C40C66FF867C}">
                    <a14:compatExt spid="_x0000_s8481"/>
                  </a:ext>
                </a:extLst>
              </xdr:cNvPr>
              <xdr:cNvSpPr/>
            </xdr:nvSpPr>
            <xdr:spPr bwMode="auto">
              <a:xfrm>
                <a:off x="3876675" y="1055941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82" name="Check Box 1314" hidden="1">
                <a:extLst>
                  <a:ext uri="{63B3BB69-23CF-44E3-9099-C40C66FF867C}">
                    <a14:compatExt spid="_x0000_s8482"/>
                  </a:ext>
                </a:extLst>
              </xdr:cNvPr>
              <xdr:cNvSpPr/>
            </xdr:nvSpPr>
            <xdr:spPr bwMode="auto">
              <a:xfrm>
                <a:off x="4105276" y="1055846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83" name="Check Box 1315" hidden="1">
                <a:extLst>
                  <a:ext uri="{63B3BB69-23CF-44E3-9099-C40C66FF867C}">
                    <a14:compatExt spid="_x0000_s8483"/>
                  </a:ext>
                </a:extLst>
              </xdr:cNvPr>
              <xdr:cNvSpPr/>
            </xdr:nvSpPr>
            <xdr:spPr bwMode="auto">
              <a:xfrm>
                <a:off x="4371976" y="1055751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434</xdr:row>
          <xdr:rowOff>0</xdr:rowOff>
        </xdr:from>
        <xdr:to>
          <xdr:col>5</xdr:col>
          <xdr:colOff>133351</xdr:colOff>
          <xdr:row>434</xdr:row>
          <xdr:rowOff>123826</xdr:rowOff>
        </xdr:to>
        <xdr:grpSp>
          <xdr:nvGrpSpPr>
            <xdr:cNvPr id="1099" name="Group 1098"/>
            <xdr:cNvGrpSpPr/>
          </xdr:nvGrpSpPr>
          <xdr:grpSpPr>
            <a:xfrm>
              <a:off x="3876675" y="103327200"/>
              <a:ext cx="647701" cy="123826"/>
              <a:chOff x="3876675" y="105870375"/>
              <a:chExt cx="647701" cy="123826"/>
            </a:xfrm>
          </xdr:grpSpPr>
          <xdr:sp macro="" textlink="">
            <xdr:nvSpPr>
              <xdr:cNvPr id="8484" name="Check Box 1316" hidden="1">
                <a:extLst>
                  <a:ext uri="{63B3BB69-23CF-44E3-9099-C40C66FF867C}">
                    <a14:compatExt spid="_x0000_s8484"/>
                  </a:ext>
                </a:extLst>
              </xdr:cNvPr>
              <xdr:cNvSpPr/>
            </xdr:nvSpPr>
            <xdr:spPr bwMode="auto">
              <a:xfrm>
                <a:off x="3876675" y="1058894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85" name="Check Box 1317" hidden="1">
                <a:extLst>
                  <a:ext uri="{63B3BB69-23CF-44E3-9099-C40C66FF867C}">
                    <a14:compatExt spid="_x0000_s8485"/>
                  </a:ext>
                </a:extLst>
              </xdr:cNvPr>
              <xdr:cNvSpPr/>
            </xdr:nvSpPr>
            <xdr:spPr bwMode="auto">
              <a:xfrm>
                <a:off x="4105276" y="1058799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86" name="Check Box 1318" hidden="1">
                <a:extLst>
                  <a:ext uri="{63B3BB69-23CF-44E3-9099-C40C66FF867C}">
                    <a14:compatExt spid="_x0000_s8486"/>
                  </a:ext>
                </a:extLst>
              </xdr:cNvPr>
              <xdr:cNvSpPr/>
            </xdr:nvSpPr>
            <xdr:spPr bwMode="auto">
              <a:xfrm>
                <a:off x="4371976" y="1058703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438</xdr:row>
          <xdr:rowOff>0</xdr:rowOff>
        </xdr:from>
        <xdr:to>
          <xdr:col>5</xdr:col>
          <xdr:colOff>133351</xdr:colOff>
          <xdr:row>438</xdr:row>
          <xdr:rowOff>123826</xdr:rowOff>
        </xdr:to>
        <xdr:grpSp>
          <xdr:nvGrpSpPr>
            <xdr:cNvPr id="1101" name="Group 1100"/>
            <xdr:cNvGrpSpPr/>
          </xdr:nvGrpSpPr>
          <xdr:grpSpPr>
            <a:xfrm>
              <a:off x="3876675" y="104298750"/>
              <a:ext cx="647701" cy="123826"/>
              <a:chOff x="3876675" y="106680000"/>
              <a:chExt cx="647701" cy="123826"/>
            </a:xfrm>
          </xdr:grpSpPr>
          <xdr:sp macro="" textlink="">
            <xdr:nvSpPr>
              <xdr:cNvPr id="8490" name="Check Box 1322" hidden="1">
                <a:extLst>
                  <a:ext uri="{63B3BB69-23CF-44E3-9099-C40C66FF867C}">
                    <a14:compatExt spid="_x0000_s8490"/>
                  </a:ext>
                </a:extLst>
              </xdr:cNvPr>
              <xdr:cNvSpPr/>
            </xdr:nvSpPr>
            <xdr:spPr bwMode="auto">
              <a:xfrm>
                <a:off x="3876675" y="1066990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91" name="Check Box 1323" hidden="1">
                <a:extLst>
                  <a:ext uri="{63B3BB69-23CF-44E3-9099-C40C66FF867C}">
                    <a14:compatExt spid="_x0000_s8491"/>
                  </a:ext>
                </a:extLst>
              </xdr:cNvPr>
              <xdr:cNvSpPr/>
            </xdr:nvSpPr>
            <xdr:spPr bwMode="auto">
              <a:xfrm>
                <a:off x="4105276" y="1066895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92" name="Check Box 1324" hidden="1">
                <a:extLst>
                  <a:ext uri="{63B3BB69-23CF-44E3-9099-C40C66FF867C}">
                    <a14:compatExt spid="_x0000_s8492"/>
                  </a:ext>
                </a:extLst>
              </xdr:cNvPr>
              <xdr:cNvSpPr/>
            </xdr:nvSpPr>
            <xdr:spPr bwMode="auto">
              <a:xfrm>
                <a:off x="4371976" y="1066800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440</xdr:row>
          <xdr:rowOff>0</xdr:rowOff>
        </xdr:from>
        <xdr:to>
          <xdr:col>5</xdr:col>
          <xdr:colOff>133351</xdr:colOff>
          <xdr:row>440</xdr:row>
          <xdr:rowOff>123826</xdr:rowOff>
        </xdr:to>
        <xdr:grpSp>
          <xdr:nvGrpSpPr>
            <xdr:cNvPr id="1102" name="Group 1101"/>
            <xdr:cNvGrpSpPr/>
          </xdr:nvGrpSpPr>
          <xdr:grpSpPr>
            <a:xfrm>
              <a:off x="3876675" y="104784525"/>
              <a:ext cx="647701" cy="123826"/>
              <a:chOff x="3876675" y="107165775"/>
              <a:chExt cx="647701" cy="123826"/>
            </a:xfrm>
          </xdr:grpSpPr>
          <xdr:sp macro="" textlink="">
            <xdr:nvSpPr>
              <xdr:cNvPr id="8493" name="Check Box 1325" hidden="1">
                <a:extLst>
                  <a:ext uri="{63B3BB69-23CF-44E3-9099-C40C66FF867C}">
                    <a14:compatExt spid="_x0000_s8493"/>
                  </a:ext>
                </a:extLst>
              </xdr:cNvPr>
              <xdr:cNvSpPr/>
            </xdr:nvSpPr>
            <xdr:spPr bwMode="auto">
              <a:xfrm>
                <a:off x="3876675" y="1071848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94" name="Check Box 1326" hidden="1">
                <a:extLst>
                  <a:ext uri="{63B3BB69-23CF-44E3-9099-C40C66FF867C}">
                    <a14:compatExt spid="_x0000_s8494"/>
                  </a:ext>
                </a:extLst>
              </xdr:cNvPr>
              <xdr:cNvSpPr/>
            </xdr:nvSpPr>
            <xdr:spPr bwMode="auto">
              <a:xfrm>
                <a:off x="4105276" y="1071753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95" name="Check Box 1327" hidden="1">
                <a:extLst>
                  <a:ext uri="{63B3BB69-23CF-44E3-9099-C40C66FF867C}">
                    <a14:compatExt spid="_x0000_s8495"/>
                  </a:ext>
                </a:extLst>
              </xdr:cNvPr>
              <xdr:cNvSpPr/>
            </xdr:nvSpPr>
            <xdr:spPr bwMode="auto">
              <a:xfrm>
                <a:off x="4371976" y="1071657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442</xdr:row>
          <xdr:rowOff>0</xdr:rowOff>
        </xdr:from>
        <xdr:to>
          <xdr:col>5</xdr:col>
          <xdr:colOff>133351</xdr:colOff>
          <xdr:row>442</xdr:row>
          <xdr:rowOff>123826</xdr:rowOff>
        </xdr:to>
        <xdr:grpSp>
          <xdr:nvGrpSpPr>
            <xdr:cNvPr id="1106" name="Group 1105"/>
            <xdr:cNvGrpSpPr/>
          </xdr:nvGrpSpPr>
          <xdr:grpSpPr>
            <a:xfrm>
              <a:off x="3876675" y="105241725"/>
              <a:ext cx="647701" cy="123826"/>
              <a:chOff x="3876675" y="107622975"/>
              <a:chExt cx="647701" cy="123826"/>
            </a:xfrm>
          </xdr:grpSpPr>
          <xdr:sp macro="" textlink="">
            <xdr:nvSpPr>
              <xdr:cNvPr id="8496" name="Check Box 1328" hidden="1">
                <a:extLst>
                  <a:ext uri="{63B3BB69-23CF-44E3-9099-C40C66FF867C}">
                    <a14:compatExt spid="_x0000_s8496"/>
                  </a:ext>
                </a:extLst>
              </xdr:cNvPr>
              <xdr:cNvSpPr/>
            </xdr:nvSpPr>
            <xdr:spPr bwMode="auto">
              <a:xfrm>
                <a:off x="3876675" y="1076420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97" name="Check Box 1329" hidden="1">
                <a:extLst>
                  <a:ext uri="{63B3BB69-23CF-44E3-9099-C40C66FF867C}">
                    <a14:compatExt spid="_x0000_s8497"/>
                  </a:ext>
                </a:extLst>
              </xdr:cNvPr>
              <xdr:cNvSpPr/>
            </xdr:nvSpPr>
            <xdr:spPr bwMode="auto">
              <a:xfrm>
                <a:off x="4105276" y="1076325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498" name="Check Box 1330" hidden="1">
                <a:extLst>
                  <a:ext uri="{63B3BB69-23CF-44E3-9099-C40C66FF867C}">
                    <a14:compatExt spid="_x0000_s8498"/>
                  </a:ext>
                </a:extLst>
              </xdr:cNvPr>
              <xdr:cNvSpPr/>
            </xdr:nvSpPr>
            <xdr:spPr bwMode="auto">
              <a:xfrm>
                <a:off x="4371976" y="1076229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443</xdr:row>
          <xdr:rowOff>0</xdr:rowOff>
        </xdr:from>
        <xdr:to>
          <xdr:col>5</xdr:col>
          <xdr:colOff>133351</xdr:colOff>
          <xdr:row>443</xdr:row>
          <xdr:rowOff>123826</xdr:rowOff>
        </xdr:to>
        <xdr:grpSp>
          <xdr:nvGrpSpPr>
            <xdr:cNvPr id="1105" name="Group 1104"/>
            <xdr:cNvGrpSpPr/>
          </xdr:nvGrpSpPr>
          <xdr:grpSpPr>
            <a:xfrm>
              <a:off x="3876675" y="105489375"/>
              <a:ext cx="647701" cy="123826"/>
              <a:chOff x="3876675" y="107870625"/>
              <a:chExt cx="647701" cy="123826"/>
            </a:xfrm>
          </xdr:grpSpPr>
          <xdr:sp macro="" textlink="">
            <xdr:nvSpPr>
              <xdr:cNvPr id="8499" name="Check Box 1331" hidden="1">
                <a:extLst>
                  <a:ext uri="{63B3BB69-23CF-44E3-9099-C40C66FF867C}">
                    <a14:compatExt spid="_x0000_s8499"/>
                  </a:ext>
                </a:extLst>
              </xdr:cNvPr>
              <xdr:cNvSpPr/>
            </xdr:nvSpPr>
            <xdr:spPr bwMode="auto">
              <a:xfrm>
                <a:off x="3876675" y="1078896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00" name="Check Box 1332" hidden="1">
                <a:extLst>
                  <a:ext uri="{63B3BB69-23CF-44E3-9099-C40C66FF867C}">
                    <a14:compatExt spid="_x0000_s8500"/>
                  </a:ext>
                </a:extLst>
              </xdr:cNvPr>
              <xdr:cNvSpPr/>
            </xdr:nvSpPr>
            <xdr:spPr bwMode="auto">
              <a:xfrm>
                <a:off x="4105276" y="1078801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01" name="Check Box 1333" hidden="1">
                <a:extLst>
                  <a:ext uri="{63B3BB69-23CF-44E3-9099-C40C66FF867C}">
                    <a14:compatExt spid="_x0000_s8501"/>
                  </a:ext>
                </a:extLst>
              </xdr:cNvPr>
              <xdr:cNvSpPr/>
            </xdr:nvSpPr>
            <xdr:spPr bwMode="auto">
              <a:xfrm>
                <a:off x="4371976" y="1078706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444</xdr:row>
          <xdr:rowOff>0</xdr:rowOff>
        </xdr:from>
        <xdr:to>
          <xdr:col>5</xdr:col>
          <xdr:colOff>133351</xdr:colOff>
          <xdr:row>444</xdr:row>
          <xdr:rowOff>123826</xdr:rowOff>
        </xdr:to>
        <xdr:grpSp>
          <xdr:nvGrpSpPr>
            <xdr:cNvPr id="1103" name="Group 1102"/>
            <xdr:cNvGrpSpPr/>
          </xdr:nvGrpSpPr>
          <xdr:grpSpPr>
            <a:xfrm>
              <a:off x="3876675" y="105660825"/>
              <a:ext cx="647701" cy="123826"/>
              <a:chOff x="3876675" y="108042075"/>
              <a:chExt cx="647701" cy="123826"/>
            </a:xfrm>
          </xdr:grpSpPr>
          <xdr:sp macro="" textlink="">
            <xdr:nvSpPr>
              <xdr:cNvPr id="8502" name="Check Box 1334" hidden="1">
                <a:extLst>
                  <a:ext uri="{63B3BB69-23CF-44E3-9099-C40C66FF867C}">
                    <a14:compatExt spid="_x0000_s8502"/>
                  </a:ext>
                </a:extLst>
              </xdr:cNvPr>
              <xdr:cNvSpPr/>
            </xdr:nvSpPr>
            <xdr:spPr bwMode="auto">
              <a:xfrm>
                <a:off x="3876675" y="1080611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03" name="Check Box 1335" hidden="1">
                <a:extLst>
                  <a:ext uri="{63B3BB69-23CF-44E3-9099-C40C66FF867C}">
                    <a14:compatExt spid="_x0000_s8503"/>
                  </a:ext>
                </a:extLst>
              </xdr:cNvPr>
              <xdr:cNvSpPr/>
            </xdr:nvSpPr>
            <xdr:spPr bwMode="auto">
              <a:xfrm>
                <a:off x="4105276" y="1080516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04" name="Check Box 1336" hidden="1">
                <a:extLst>
                  <a:ext uri="{63B3BB69-23CF-44E3-9099-C40C66FF867C}">
                    <a14:compatExt spid="_x0000_s8504"/>
                  </a:ext>
                </a:extLst>
              </xdr:cNvPr>
              <xdr:cNvSpPr/>
            </xdr:nvSpPr>
            <xdr:spPr bwMode="auto">
              <a:xfrm>
                <a:off x="4371976" y="1080420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447</xdr:row>
          <xdr:rowOff>0</xdr:rowOff>
        </xdr:from>
        <xdr:to>
          <xdr:col>5</xdr:col>
          <xdr:colOff>133351</xdr:colOff>
          <xdr:row>447</xdr:row>
          <xdr:rowOff>123826</xdr:rowOff>
        </xdr:to>
        <xdr:grpSp>
          <xdr:nvGrpSpPr>
            <xdr:cNvPr id="1107" name="Group 1106"/>
            <xdr:cNvGrpSpPr/>
          </xdr:nvGrpSpPr>
          <xdr:grpSpPr>
            <a:xfrm>
              <a:off x="3876675" y="106308525"/>
              <a:ext cx="647701" cy="123826"/>
              <a:chOff x="3876675" y="108689775"/>
              <a:chExt cx="647701" cy="123826"/>
            </a:xfrm>
          </xdr:grpSpPr>
          <xdr:sp macro="" textlink="">
            <xdr:nvSpPr>
              <xdr:cNvPr id="8511" name="Check Box 1343" hidden="1">
                <a:extLst>
                  <a:ext uri="{63B3BB69-23CF-44E3-9099-C40C66FF867C}">
                    <a14:compatExt spid="_x0000_s8511"/>
                  </a:ext>
                </a:extLst>
              </xdr:cNvPr>
              <xdr:cNvSpPr/>
            </xdr:nvSpPr>
            <xdr:spPr bwMode="auto">
              <a:xfrm>
                <a:off x="3876675" y="1087088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12" name="Check Box 1344" hidden="1">
                <a:extLst>
                  <a:ext uri="{63B3BB69-23CF-44E3-9099-C40C66FF867C}">
                    <a14:compatExt spid="_x0000_s8512"/>
                  </a:ext>
                </a:extLst>
              </xdr:cNvPr>
              <xdr:cNvSpPr/>
            </xdr:nvSpPr>
            <xdr:spPr bwMode="auto">
              <a:xfrm>
                <a:off x="4105276" y="1086993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13" name="Check Box 1345" hidden="1">
                <a:extLst>
                  <a:ext uri="{63B3BB69-23CF-44E3-9099-C40C66FF867C}">
                    <a14:compatExt spid="_x0000_s8513"/>
                  </a:ext>
                </a:extLst>
              </xdr:cNvPr>
              <xdr:cNvSpPr/>
            </xdr:nvSpPr>
            <xdr:spPr bwMode="auto">
              <a:xfrm>
                <a:off x="4371976" y="1086897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540</xdr:row>
          <xdr:rowOff>0</xdr:rowOff>
        </xdr:from>
        <xdr:to>
          <xdr:col>5</xdr:col>
          <xdr:colOff>133351</xdr:colOff>
          <xdr:row>540</xdr:row>
          <xdr:rowOff>123826</xdr:rowOff>
        </xdr:to>
        <xdr:grpSp>
          <xdr:nvGrpSpPr>
            <xdr:cNvPr id="1112" name="Group 1111"/>
            <xdr:cNvGrpSpPr/>
          </xdr:nvGrpSpPr>
          <xdr:grpSpPr>
            <a:xfrm>
              <a:off x="3876675" y="128177925"/>
              <a:ext cx="647701" cy="123826"/>
              <a:chOff x="3876675" y="131044950"/>
              <a:chExt cx="647701" cy="123826"/>
            </a:xfrm>
          </xdr:grpSpPr>
          <xdr:sp macro="" textlink="">
            <xdr:nvSpPr>
              <xdr:cNvPr id="8517" name="Check Box 1349" hidden="1">
                <a:extLst>
                  <a:ext uri="{63B3BB69-23CF-44E3-9099-C40C66FF867C}">
                    <a14:compatExt spid="_x0000_s8517"/>
                  </a:ext>
                </a:extLst>
              </xdr:cNvPr>
              <xdr:cNvSpPr/>
            </xdr:nvSpPr>
            <xdr:spPr bwMode="auto">
              <a:xfrm>
                <a:off x="3876675" y="1310640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18" name="Check Box 1350" hidden="1">
                <a:extLst>
                  <a:ext uri="{63B3BB69-23CF-44E3-9099-C40C66FF867C}">
                    <a14:compatExt spid="_x0000_s8518"/>
                  </a:ext>
                </a:extLst>
              </xdr:cNvPr>
              <xdr:cNvSpPr/>
            </xdr:nvSpPr>
            <xdr:spPr bwMode="auto">
              <a:xfrm>
                <a:off x="4105276" y="1310544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19" name="Check Box 1351" hidden="1">
                <a:extLst>
                  <a:ext uri="{63B3BB69-23CF-44E3-9099-C40C66FF867C}">
                    <a14:compatExt spid="_x0000_s8519"/>
                  </a:ext>
                </a:extLst>
              </xdr:cNvPr>
              <xdr:cNvSpPr/>
            </xdr:nvSpPr>
            <xdr:spPr bwMode="auto">
              <a:xfrm>
                <a:off x="4371976" y="1310449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541</xdr:row>
          <xdr:rowOff>0</xdr:rowOff>
        </xdr:from>
        <xdr:to>
          <xdr:col>5</xdr:col>
          <xdr:colOff>133351</xdr:colOff>
          <xdr:row>541</xdr:row>
          <xdr:rowOff>123826</xdr:rowOff>
        </xdr:to>
        <xdr:grpSp>
          <xdr:nvGrpSpPr>
            <xdr:cNvPr id="1111" name="Group 1110"/>
            <xdr:cNvGrpSpPr/>
          </xdr:nvGrpSpPr>
          <xdr:grpSpPr>
            <a:xfrm>
              <a:off x="3876675" y="128968500"/>
              <a:ext cx="647701" cy="123826"/>
              <a:chOff x="3876675" y="131835525"/>
              <a:chExt cx="647701" cy="123826"/>
            </a:xfrm>
          </xdr:grpSpPr>
          <xdr:sp macro="" textlink="">
            <xdr:nvSpPr>
              <xdr:cNvPr id="8520" name="Check Box 1352" hidden="1">
                <a:extLst>
                  <a:ext uri="{63B3BB69-23CF-44E3-9099-C40C66FF867C}">
                    <a14:compatExt spid="_x0000_s8520"/>
                  </a:ext>
                </a:extLst>
              </xdr:cNvPr>
              <xdr:cNvSpPr/>
            </xdr:nvSpPr>
            <xdr:spPr bwMode="auto">
              <a:xfrm>
                <a:off x="3876675" y="1318545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21" name="Check Box 1353" hidden="1">
                <a:extLst>
                  <a:ext uri="{63B3BB69-23CF-44E3-9099-C40C66FF867C}">
                    <a14:compatExt spid="_x0000_s8521"/>
                  </a:ext>
                </a:extLst>
              </xdr:cNvPr>
              <xdr:cNvSpPr/>
            </xdr:nvSpPr>
            <xdr:spPr bwMode="auto">
              <a:xfrm>
                <a:off x="4105276" y="1318450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22" name="Check Box 1354" hidden="1">
                <a:extLst>
                  <a:ext uri="{63B3BB69-23CF-44E3-9099-C40C66FF867C}">
                    <a14:compatExt spid="_x0000_s8522"/>
                  </a:ext>
                </a:extLst>
              </xdr:cNvPr>
              <xdr:cNvSpPr/>
            </xdr:nvSpPr>
            <xdr:spPr bwMode="auto">
              <a:xfrm>
                <a:off x="4371976" y="1318355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542</xdr:row>
          <xdr:rowOff>0</xdr:rowOff>
        </xdr:from>
        <xdr:to>
          <xdr:col>5</xdr:col>
          <xdr:colOff>133351</xdr:colOff>
          <xdr:row>542</xdr:row>
          <xdr:rowOff>123826</xdr:rowOff>
        </xdr:to>
        <xdr:grpSp>
          <xdr:nvGrpSpPr>
            <xdr:cNvPr id="1110" name="Group 1109"/>
            <xdr:cNvGrpSpPr/>
          </xdr:nvGrpSpPr>
          <xdr:grpSpPr>
            <a:xfrm>
              <a:off x="3876675" y="129616200"/>
              <a:ext cx="647701" cy="123826"/>
              <a:chOff x="3876675" y="132807075"/>
              <a:chExt cx="647701" cy="123826"/>
            </a:xfrm>
          </xdr:grpSpPr>
          <xdr:sp macro="" textlink="">
            <xdr:nvSpPr>
              <xdr:cNvPr id="8523" name="Check Box 1355" hidden="1">
                <a:extLst>
                  <a:ext uri="{63B3BB69-23CF-44E3-9099-C40C66FF867C}">
                    <a14:compatExt spid="_x0000_s8523"/>
                  </a:ext>
                </a:extLst>
              </xdr:cNvPr>
              <xdr:cNvSpPr/>
            </xdr:nvSpPr>
            <xdr:spPr bwMode="auto">
              <a:xfrm>
                <a:off x="3876675" y="1328261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24" name="Check Box 1356" hidden="1">
                <a:extLst>
                  <a:ext uri="{63B3BB69-23CF-44E3-9099-C40C66FF867C}">
                    <a14:compatExt spid="_x0000_s8524"/>
                  </a:ext>
                </a:extLst>
              </xdr:cNvPr>
              <xdr:cNvSpPr/>
            </xdr:nvSpPr>
            <xdr:spPr bwMode="auto">
              <a:xfrm>
                <a:off x="4105276" y="1328166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25" name="Check Box 1357" hidden="1">
                <a:extLst>
                  <a:ext uri="{63B3BB69-23CF-44E3-9099-C40C66FF867C}">
                    <a14:compatExt spid="_x0000_s8525"/>
                  </a:ext>
                </a:extLst>
              </xdr:cNvPr>
              <xdr:cNvSpPr/>
            </xdr:nvSpPr>
            <xdr:spPr bwMode="auto">
              <a:xfrm>
                <a:off x="4371976" y="1328070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543</xdr:row>
          <xdr:rowOff>0</xdr:rowOff>
        </xdr:from>
        <xdr:to>
          <xdr:col>5</xdr:col>
          <xdr:colOff>133351</xdr:colOff>
          <xdr:row>543</xdr:row>
          <xdr:rowOff>123826</xdr:rowOff>
        </xdr:to>
        <xdr:grpSp>
          <xdr:nvGrpSpPr>
            <xdr:cNvPr id="1108" name="Group 1107"/>
            <xdr:cNvGrpSpPr/>
          </xdr:nvGrpSpPr>
          <xdr:grpSpPr>
            <a:xfrm>
              <a:off x="3876675" y="130101975"/>
              <a:ext cx="647701" cy="123826"/>
              <a:chOff x="3876675" y="133292850"/>
              <a:chExt cx="647701" cy="123826"/>
            </a:xfrm>
          </xdr:grpSpPr>
          <xdr:sp macro="" textlink="">
            <xdr:nvSpPr>
              <xdr:cNvPr id="8526" name="Check Box 1358" hidden="1">
                <a:extLst>
                  <a:ext uri="{63B3BB69-23CF-44E3-9099-C40C66FF867C}">
                    <a14:compatExt spid="_x0000_s8526"/>
                  </a:ext>
                </a:extLst>
              </xdr:cNvPr>
              <xdr:cNvSpPr/>
            </xdr:nvSpPr>
            <xdr:spPr bwMode="auto">
              <a:xfrm>
                <a:off x="3876675" y="1333119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27" name="Check Box 1359" hidden="1">
                <a:extLst>
                  <a:ext uri="{63B3BB69-23CF-44E3-9099-C40C66FF867C}">
                    <a14:compatExt spid="_x0000_s8527"/>
                  </a:ext>
                </a:extLst>
              </xdr:cNvPr>
              <xdr:cNvSpPr/>
            </xdr:nvSpPr>
            <xdr:spPr bwMode="auto">
              <a:xfrm>
                <a:off x="4105276" y="1333023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28" name="Check Box 1360" hidden="1">
                <a:extLst>
                  <a:ext uri="{63B3BB69-23CF-44E3-9099-C40C66FF867C}">
                    <a14:compatExt spid="_x0000_s8528"/>
                  </a:ext>
                </a:extLst>
              </xdr:cNvPr>
              <xdr:cNvSpPr/>
            </xdr:nvSpPr>
            <xdr:spPr bwMode="auto">
              <a:xfrm>
                <a:off x="4371976" y="1332928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551</xdr:row>
          <xdr:rowOff>0</xdr:rowOff>
        </xdr:from>
        <xdr:to>
          <xdr:col>5</xdr:col>
          <xdr:colOff>133351</xdr:colOff>
          <xdr:row>551</xdr:row>
          <xdr:rowOff>123826</xdr:rowOff>
        </xdr:to>
        <xdr:grpSp>
          <xdr:nvGrpSpPr>
            <xdr:cNvPr id="1119" name="Group 1118"/>
            <xdr:cNvGrpSpPr/>
          </xdr:nvGrpSpPr>
          <xdr:grpSpPr>
            <a:xfrm>
              <a:off x="3876675" y="131645025"/>
              <a:ext cx="647701" cy="123826"/>
              <a:chOff x="3876675" y="134835900"/>
              <a:chExt cx="647701" cy="123826"/>
            </a:xfrm>
          </xdr:grpSpPr>
          <xdr:sp macro="" textlink="">
            <xdr:nvSpPr>
              <xdr:cNvPr id="8529" name="Check Box 1361" hidden="1">
                <a:extLst>
                  <a:ext uri="{63B3BB69-23CF-44E3-9099-C40C66FF867C}">
                    <a14:compatExt spid="_x0000_s8529"/>
                  </a:ext>
                </a:extLst>
              </xdr:cNvPr>
              <xdr:cNvSpPr/>
            </xdr:nvSpPr>
            <xdr:spPr bwMode="auto">
              <a:xfrm>
                <a:off x="3876675" y="1348549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30" name="Check Box 1362" hidden="1">
                <a:extLst>
                  <a:ext uri="{63B3BB69-23CF-44E3-9099-C40C66FF867C}">
                    <a14:compatExt spid="_x0000_s8530"/>
                  </a:ext>
                </a:extLst>
              </xdr:cNvPr>
              <xdr:cNvSpPr/>
            </xdr:nvSpPr>
            <xdr:spPr bwMode="auto">
              <a:xfrm>
                <a:off x="4105276" y="1348454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31" name="Check Box 1363" hidden="1">
                <a:extLst>
                  <a:ext uri="{63B3BB69-23CF-44E3-9099-C40C66FF867C}">
                    <a14:compatExt spid="_x0000_s8531"/>
                  </a:ext>
                </a:extLst>
              </xdr:cNvPr>
              <xdr:cNvSpPr/>
            </xdr:nvSpPr>
            <xdr:spPr bwMode="auto">
              <a:xfrm>
                <a:off x="4371976" y="1348359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2876550</xdr:colOff>
          <xdr:row>553</xdr:row>
          <xdr:rowOff>66675</xdr:rowOff>
        </xdr:from>
        <xdr:to>
          <xdr:col>5</xdr:col>
          <xdr:colOff>123826</xdr:colOff>
          <xdr:row>554</xdr:row>
          <xdr:rowOff>28576</xdr:rowOff>
        </xdr:to>
        <xdr:grpSp>
          <xdr:nvGrpSpPr>
            <xdr:cNvPr id="1118" name="Group 1117"/>
            <xdr:cNvGrpSpPr/>
          </xdr:nvGrpSpPr>
          <xdr:grpSpPr>
            <a:xfrm>
              <a:off x="3867150" y="132035550"/>
              <a:ext cx="647701" cy="123826"/>
              <a:chOff x="3867150" y="135388350"/>
              <a:chExt cx="647701" cy="123826"/>
            </a:xfrm>
          </xdr:grpSpPr>
          <xdr:sp macro="" textlink="">
            <xdr:nvSpPr>
              <xdr:cNvPr id="8532" name="Check Box 1364" hidden="1">
                <a:extLst>
                  <a:ext uri="{63B3BB69-23CF-44E3-9099-C40C66FF867C}">
                    <a14:compatExt spid="_x0000_s8532"/>
                  </a:ext>
                </a:extLst>
              </xdr:cNvPr>
              <xdr:cNvSpPr/>
            </xdr:nvSpPr>
            <xdr:spPr bwMode="auto">
              <a:xfrm>
                <a:off x="3867150" y="1354074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33" name="Check Box 1365" hidden="1">
                <a:extLst>
                  <a:ext uri="{63B3BB69-23CF-44E3-9099-C40C66FF867C}">
                    <a14:compatExt spid="_x0000_s8533"/>
                  </a:ext>
                </a:extLst>
              </xdr:cNvPr>
              <xdr:cNvSpPr/>
            </xdr:nvSpPr>
            <xdr:spPr bwMode="auto">
              <a:xfrm>
                <a:off x="4095751" y="1353978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34" name="Check Box 1366" hidden="1">
                <a:extLst>
                  <a:ext uri="{63B3BB69-23CF-44E3-9099-C40C66FF867C}">
                    <a14:compatExt spid="_x0000_s8534"/>
                  </a:ext>
                </a:extLst>
              </xdr:cNvPr>
              <xdr:cNvSpPr/>
            </xdr:nvSpPr>
            <xdr:spPr bwMode="auto">
              <a:xfrm>
                <a:off x="4362451" y="1353883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556</xdr:row>
          <xdr:rowOff>0</xdr:rowOff>
        </xdr:from>
        <xdr:to>
          <xdr:col>5</xdr:col>
          <xdr:colOff>133351</xdr:colOff>
          <xdr:row>556</xdr:row>
          <xdr:rowOff>123826</xdr:rowOff>
        </xdr:to>
        <xdr:grpSp>
          <xdr:nvGrpSpPr>
            <xdr:cNvPr id="1116" name="Group 1115"/>
            <xdr:cNvGrpSpPr/>
          </xdr:nvGrpSpPr>
          <xdr:grpSpPr>
            <a:xfrm>
              <a:off x="3876675" y="132454650"/>
              <a:ext cx="647701" cy="123826"/>
              <a:chOff x="3876675" y="135807450"/>
              <a:chExt cx="647701" cy="123826"/>
            </a:xfrm>
          </xdr:grpSpPr>
          <xdr:sp macro="" textlink="">
            <xdr:nvSpPr>
              <xdr:cNvPr id="8538" name="Check Box 1370" hidden="1">
                <a:extLst>
                  <a:ext uri="{63B3BB69-23CF-44E3-9099-C40C66FF867C}">
                    <a14:compatExt spid="_x0000_s8538"/>
                  </a:ext>
                </a:extLst>
              </xdr:cNvPr>
              <xdr:cNvSpPr/>
            </xdr:nvSpPr>
            <xdr:spPr bwMode="auto">
              <a:xfrm>
                <a:off x="3876675" y="1358265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39" name="Check Box 1371" hidden="1">
                <a:extLst>
                  <a:ext uri="{63B3BB69-23CF-44E3-9099-C40C66FF867C}">
                    <a14:compatExt spid="_x0000_s8539"/>
                  </a:ext>
                </a:extLst>
              </xdr:cNvPr>
              <xdr:cNvSpPr/>
            </xdr:nvSpPr>
            <xdr:spPr bwMode="auto">
              <a:xfrm>
                <a:off x="4105276" y="1358169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40" name="Check Box 1372" hidden="1">
                <a:extLst>
                  <a:ext uri="{63B3BB69-23CF-44E3-9099-C40C66FF867C}">
                    <a14:compatExt spid="_x0000_s8540"/>
                  </a:ext>
                </a:extLst>
              </xdr:cNvPr>
              <xdr:cNvSpPr/>
            </xdr:nvSpPr>
            <xdr:spPr bwMode="auto">
              <a:xfrm>
                <a:off x="4371976" y="1358074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558</xdr:row>
          <xdr:rowOff>0</xdr:rowOff>
        </xdr:from>
        <xdr:to>
          <xdr:col>5</xdr:col>
          <xdr:colOff>133351</xdr:colOff>
          <xdr:row>558</xdr:row>
          <xdr:rowOff>123826</xdr:rowOff>
        </xdr:to>
        <xdr:grpSp>
          <xdr:nvGrpSpPr>
            <xdr:cNvPr id="1115" name="Group 1114"/>
            <xdr:cNvGrpSpPr/>
          </xdr:nvGrpSpPr>
          <xdr:grpSpPr>
            <a:xfrm>
              <a:off x="3876675" y="132864225"/>
              <a:ext cx="647701" cy="123826"/>
              <a:chOff x="3876675" y="136217025"/>
              <a:chExt cx="647701" cy="123826"/>
            </a:xfrm>
          </xdr:grpSpPr>
          <xdr:sp macro="" textlink="">
            <xdr:nvSpPr>
              <xdr:cNvPr id="8541" name="Check Box 1373" hidden="1">
                <a:extLst>
                  <a:ext uri="{63B3BB69-23CF-44E3-9099-C40C66FF867C}">
                    <a14:compatExt spid="_x0000_s8541"/>
                  </a:ext>
                </a:extLst>
              </xdr:cNvPr>
              <xdr:cNvSpPr/>
            </xdr:nvSpPr>
            <xdr:spPr bwMode="auto">
              <a:xfrm>
                <a:off x="3876675" y="1362360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42" name="Check Box 1374" hidden="1">
                <a:extLst>
                  <a:ext uri="{63B3BB69-23CF-44E3-9099-C40C66FF867C}">
                    <a14:compatExt spid="_x0000_s8542"/>
                  </a:ext>
                </a:extLst>
              </xdr:cNvPr>
              <xdr:cNvSpPr/>
            </xdr:nvSpPr>
            <xdr:spPr bwMode="auto">
              <a:xfrm>
                <a:off x="4105276" y="1362265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43" name="Check Box 1375" hidden="1">
                <a:extLst>
                  <a:ext uri="{63B3BB69-23CF-44E3-9099-C40C66FF867C}">
                    <a14:compatExt spid="_x0000_s8543"/>
                  </a:ext>
                </a:extLst>
              </xdr:cNvPr>
              <xdr:cNvSpPr/>
            </xdr:nvSpPr>
            <xdr:spPr bwMode="auto">
              <a:xfrm>
                <a:off x="4371976" y="1362170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560</xdr:row>
          <xdr:rowOff>0</xdr:rowOff>
        </xdr:from>
        <xdr:to>
          <xdr:col>5</xdr:col>
          <xdr:colOff>133351</xdr:colOff>
          <xdr:row>560</xdr:row>
          <xdr:rowOff>123826</xdr:rowOff>
        </xdr:to>
        <xdr:grpSp>
          <xdr:nvGrpSpPr>
            <xdr:cNvPr id="1114" name="Group 1113"/>
            <xdr:cNvGrpSpPr/>
          </xdr:nvGrpSpPr>
          <xdr:grpSpPr>
            <a:xfrm>
              <a:off x="3876675" y="133350000"/>
              <a:ext cx="647701" cy="123826"/>
              <a:chOff x="3876675" y="136540875"/>
              <a:chExt cx="647701" cy="123826"/>
            </a:xfrm>
          </xdr:grpSpPr>
          <xdr:sp macro="" textlink="">
            <xdr:nvSpPr>
              <xdr:cNvPr id="8544" name="Check Box 1376" hidden="1">
                <a:extLst>
                  <a:ext uri="{63B3BB69-23CF-44E3-9099-C40C66FF867C}">
                    <a14:compatExt spid="_x0000_s8544"/>
                  </a:ext>
                </a:extLst>
              </xdr:cNvPr>
              <xdr:cNvSpPr/>
            </xdr:nvSpPr>
            <xdr:spPr bwMode="auto">
              <a:xfrm>
                <a:off x="3876675" y="1365599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45" name="Check Box 1377" hidden="1">
                <a:extLst>
                  <a:ext uri="{63B3BB69-23CF-44E3-9099-C40C66FF867C}">
                    <a14:compatExt spid="_x0000_s8545"/>
                  </a:ext>
                </a:extLst>
              </xdr:cNvPr>
              <xdr:cNvSpPr/>
            </xdr:nvSpPr>
            <xdr:spPr bwMode="auto">
              <a:xfrm>
                <a:off x="4105276" y="1365504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46" name="Check Box 1378" hidden="1">
                <a:extLst>
                  <a:ext uri="{63B3BB69-23CF-44E3-9099-C40C66FF867C}">
                    <a14:compatExt spid="_x0000_s8546"/>
                  </a:ext>
                </a:extLst>
              </xdr:cNvPr>
              <xdr:cNvSpPr/>
            </xdr:nvSpPr>
            <xdr:spPr bwMode="auto">
              <a:xfrm>
                <a:off x="4371976" y="1365408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563</xdr:row>
          <xdr:rowOff>0</xdr:rowOff>
        </xdr:from>
        <xdr:to>
          <xdr:col>5</xdr:col>
          <xdr:colOff>133351</xdr:colOff>
          <xdr:row>563</xdr:row>
          <xdr:rowOff>123826</xdr:rowOff>
        </xdr:to>
        <xdr:grpSp>
          <xdr:nvGrpSpPr>
            <xdr:cNvPr id="1125" name="Group 1124"/>
            <xdr:cNvGrpSpPr/>
          </xdr:nvGrpSpPr>
          <xdr:grpSpPr>
            <a:xfrm>
              <a:off x="3876675" y="133997700"/>
              <a:ext cx="647701" cy="123826"/>
              <a:chOff x="3876675" y="137188575"/>
              <a:chExt cx="647701" cy="123826"/>
            </a:xfrm>
          </xdr:grpSpPr>
          <xdr:sp macro="" textlink="">
            <xdr:nvSpPr>
              <xdr:cNvPr id="8547" name="Check Box 1379" hidden="1">
                <a:extLst>
                  <a:ext uri="{63B3BB69-23CF-44E3-9099-C40C66FF867C}">
                    <a14:compatExt spid="_x0000_s8547"/>
                  </a:ext>
                </a:extLst>
              </xdr:cNvPr>
              <xdr:cNvSpPr/>
            </xdr:nvSpPr>
            <xdr:spPr bwMode="auto">
              <a:xfrm>
                <a:off x="3876675" y="1372076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48" name="Check Box 1380" hidden="1">
                <a:extLst>
                  <a:ext uri="{63B3BB69-23CF-44E3-9099-C40C66FF867C}">
                    <a14:compatExt spid="_x0000_s8548"/>
                  </a:ext>
                </a:extLst>
              </xdr:cNvPr>
              <xdr:cNvSpPr/>
            </xdr:nvSpPr>
            <xdr:spPr bwMode="auto">
              <a:xfrm>
                <a:off x="4105276" y="1371981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49" name="Check Box 1381" hidden="1">
                <a:extLst>
                  <a:ext uri="{63B3BB69-23CF-44E3-9099-C40C66FF867C}">
                    <a14:compatExt spid="_x0000_s8549"/>
                  </a:ext>
                </a:extLst>
              </xdr:cNvPr>
              <xdr:cNvSpPr/>
            </xdr:nvSpPr>
            <xdr:spPr bwMode="auto">
              <a:xfrm>
                <a:off x="4371976" y="1371885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564</xdr:row>
          <xdr:rowOff>0</xdr:rowOff>
        </xdr:from>
        <xdr:to>
          <xdr:col>5</xdr:col>
          <xdr:colOff>133351</xdr:colOff>
          <xdr:row>564</xdr:row>
          <xdr:rowOff>123826</xdr:rowOff>
        </xdr:to>
        <xdr:grpSp>
          <xdr:nvGrpSpPr>
            <xdr:cNvPr id="1123" name="Group 1122"/>
            <xdr:cNvGrpSpPr/>
          </xdr:nvGrpSpPr>
          <xdr:grpSpPr>
            <a:xfrm>
              <a:off x="3876675" y="134321550"/>
              <a:ext cx="647701" cy="123826"/>
              <a:chOff x="3876675" y="137512425"/>
              <a:chExt cx="647701" cy="123826"/>
            </a:xfrm>
          </xdr:grpSpPr>
          <xdr:sp macro="" textlink="">
            <xdr:nvSpPr>
              <xdr:cNvPr id="8550" name="Check Box 1382" hidden="1">
                <a:extLst>
                  <a:ext uri="{63B3BB69-23CF-44E3-9099-C40C66FF867C}">
                    <a14:compatExt spid="_x0000_s8550"/>
                  </a:ext>
                </a:extLst>
              </xdr:cNvPr>
              <xdr:cNvSpPr/>
            </xdr:nvSpPr>
            <xdr:spPr bwMode="auto">
              <a:xfrm>
                <a:off x="3876675" y="1375314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51" name="Check Box 1383" hidden="1">
                <a:extLst>
                  <a:ext uri="{63B3BB69-23CF-44E3-9099-C40C66FF867C}">
                    <a14:compatExt spid="_x0000_s8551"/>
                  </a:ext>
                </a:extLst>
              </xdr:cNvPr>
              <xdr:cNvSpPr/>
            </xdr:nvSpPr>
            <xdr:spPr bwMode="auto">
              <a:xfrm>
                <a:off x="4105276" y="1375219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52" name="Check Box 1384" hidden="1">
                <a:extLst>
                  <a:ext uri="{63B3BB69-23CF-44E3-9099-C40C66FF867C}">
                    <a14:compatExt spid="_x0000_s8552"/>
                  </a:ext>
                </a:extLst>
              </xdr:cNvPr>
              <xdr:cNvSpPr/>
            </xdr:nvSpPr>
            <xdr:spPr bwMode="auto">
              <a:xfrm>
                <a:off x="4371976" y="1375124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565</xdr:row>
          <xdr:rowOff>0</xdr:rowOff>
        </xdr:from>
        <xdr:to>
          <xdr:col>5</xdr:col>
          <xdr:colOff>133351</xdr:colOff>
          <xdr:row>565</xdr:row>
          <xdr:rowOff>123826</xdr:rowOff>
        </xdr:to>
        <xdr:grpSp>
          <xdr:nvGrpSpPr>
            <xdr:cNvPr id="1122" name="Group 1121"/>
            <xdr:cNvGrpSpPr/>
          </xdr:nvGrpSpPr>
          <xdr:grpSpPr>
            <a:xfrm>
              <a:off x="3876675" y="134645400"/>
              <a:ext cx="647701" cy="123826"/>
              <a:chOff x="3876675" y="137836275"/>
              <a:chExt cx="647701" cy="123826"/>
            </a:xfrm>
          </xdr:grpSpPr>
          <xdr:sp macro="" textlink="">
            <xdr:nvSpPr>
              <xdr:cNvPr id="8553" name="Check Box 1385" hidden="1">
                <a:extLst>
                  <a:ext uri="{63B3BB69-23CF-44E3-9099-C40C66FF867C}">
                    <a14:compatExt spid="_x0000_s8553"/>
                  </a:ext>
                </a:extLst>
              </xdr:cNvPr>
              <xdr:cNvSpPr/>
            </xdr:nvSpPr>
            <xdr:spPr bwMode="auto">
              <a:xfrm>
                <a:off x="3876675" y="1378553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54" name="Check Box 1386" hidden="1">
                <a:extLst>
                  <a:ext uri="{63B3BB69-23CF-44E3-9099-C40C66FF867C}">
                    <a14:compatExt spid="_x0000_s8554"/>
                  </a:ext>
                </a:extLst>
              </xdr:cNvPr>
              <xdr:cNvSpPr/>
            </xdr:nvSpPr>
            <xdr:spPr bwMode="auto">
              <a:xfrm>
                <a:off x="4105276" y="1378458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55" name="Check Box 1387" hidden="1">
                <a:extLst>
                  <a:ext uri="{63B3BB69-23CF-44E3-9099-C40C66FF867C}">
                    <a14:compatExt spid="_x0000_s8555"/>
                  </a:ext>
                </a:extLst>
              </xdr:cNvPr>
              <xdr:cNvSpPr/>
            </xdr:nvSpPr>
            <xdr:spPr bwMode="auto">
              <a:xfrm>
                <a:off x="4371976" y="1378362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566</xdr:row>
          <xdr:rowOff>0</xdr:rowOff>
        </xdr:from>
        <xdr:to>
          <xdr:col>5</xdr:col>
          <xdr:colOff>133351</xdr:colOff>
          <xdr:row>566</xdr:row>
          <xdr:rowOff>123826</xdr:rowOff>
        </xdr:to>
        <xdr:grpSp>
          <xdr:nvGrpSpPr>
            <xdr:cNvPr id="1120" name="Group 1119"/>
            <xdr:cNvGrpSpPr/>
          </xdr:nvGrpSpPr>
          <xdr:grpSpPr>
            <a:xfrm>
              <a:off x="3876675" y="134969250"/>
              <a:ext cx="647701" cy="123826"/>
              <a:chOff x="3876675" y="138160125"/>
              <a:chExt cx="647701" cy="123826"/>
            </a:xfrm>
          </xdr:grpSpPr>
          <xdr:sp macro="" textlink="">
            <xdr:nvSpPr>
              <xdr:cNvPr id="8559" name="Check Box 1391" hidden="1">
                <a:extLst>
                  <a:ext uri="{63B3BB69-23CF-44E3-9099-C40C66FF867C}">
                    <a14:compatExt spid="_x0000_s8559"/>
                  </a:ext>
                </a:extLst>
              </xdr:cNvPr>
              <xdr:cNvSpPr/>
            </xdr:nvSpPr>
            <xdr:spPr bwMode="auto">
              <a:xfrm>
                <a:off x="3876675" y="1381791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60" name="Check Box 1392" hidden="1">
                <a:extLst>
                  <a:ext uri="{63B3BB69-23CF-44E3-9099-C40C66FF867C}">
                    <a14:compatExt spid="_x0000_s8560"/>
                  </a:ext>
                </a:extLst>
              </xdr:cNvPr>
              <xdr:cNvSpPr/>
            </xdr:nvSpPr>
            <xdr:spPr bwMode="auto">
              <a:xfrm>
                <a:off x="4105276" y="1381696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61" name="Check Box 1393" hidden="1">
                <a:extLst>
                  <a:ext uri="{63B3BB69-23CF-44E3-9099-C40C66FF867C}">
                    <a14:compatExt spid="_x0000_s8561"/>
                  </a:ext>
                </a:extLst>
              </xdr:cNvPr>
              <xdr:cNvSpPr/>
            </xdr:nvSpPr>
            <xdr:spPr bwMode="auto">
              <a:xfrm>
                <a:off x="4371976" y="1381601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568</xdr:row>
          <xdr:rowOff>0</xdr:rowOff>
        </xdr:from>
        <xdr:to>
          <xdr:col>5</xdr:col>
          <xdr:colOff>133351</xdr:colOff>
          <xdr:row>568</xdr:row>
          <xdr:rowOff>123826</xdr:rowOff>
        </xdr:to>
        <xdr:grpSp>
          <xdr:nvGrpSpPr>
            <xdr:cNvPr id="1129" name="Group 1128"/>
            <xdr:cNvGrpSpPr/>
          </xdr:nvGrpSpPr>
          <xdr:grpSpPr>
            <a:xfrm>
              <a:off x="3876675" y="135455025"/>
              <a:ext cx="647701" cy="123826"/>
              <a:chOff x="3876675" y="138645900"/>
              <a:chExt cx="647701" cy="123826"/>
            </a:xfrm>
          </xdr:grpSpPr>
          <xdr:sp macro="" textlink="">
            <xdr:nvSpPr>
              <xdr:cNvPr id="8562" name="Check Box 1394" hidden="1">
                <a:extLst>
                  <a:ext uri="{63B3BB69-23CF-44E3-9099-C40C66FF867C}">
                    <a14:compatExt spid="_x0000_s8562"/>
                  </a:ext>
                </a:extLst>
              </xdr:cNvPr>
              <xdr:cNvSpPr/>
            </xdr:nvSpPr>
            <xdr:spPr bwMode="auto">
              <a:xfrm>
                <a:off x="3876675" y="1386649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63" name="Check Box 1395" hidden="1">
                <a:extLst>
                  <a:ext uri="{63B3BB69-23CF-44E3-9099-C40C66FF867C}">
                    <a14:compatExt spid="_x0000_s8563"/>
                  </a:ext>
                </a:extLst>
              </xdr:cNvPr>
              <xdr:cNvSpPr/>
            </xdr:nvSpPr>
            <xdr:spPr bwMode="auto">
              <a:xfrm>
                <a:off x="4105276" y="1386554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64" name="Check Box 1396" hidden="1">
                <a:extLst>
                  <a:ext uri="{63B3BB69-23CF-44E3-9099-C40C66FF867C}">
                    <a14:compatExt spid="_x0000_s8564"/>
                  </a:ext>
                </a:extLst>
              </xdr:cNvPr>
              <xdr:cNvSpPr/>
            </xdr:nvSpPr>
            <xdr:spPr bwMode="auto">
              <a:xfrm>
                <a:off x="4371976" y="1386459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569</xdr:row>
          <xdr:rowOff>0</xdr:rowOff>
        </xdr:from>
        <xdr:to>
          <xdr:col>5</xdr:col>
          <xdr:colOff>133351</xdr:colOff>
          <xdr:row>569</xdr:row>
          <xdr:rowOff>123826</xdr:rowOff>
        </xdr:to>
        <xdr:grpSp>
          <xdr:nvGrpSpPr>
            <xdr:cNvPr id="1127" name="Group 1126"/>
            <xdr:cNvGrpSpPr/>
          </xdr:nvGrpSpPr>
          <xdr:grpSpPr>
            <a:xfrm>
              <a:off x="3876675" y="135778875"/>
              <a:ext cx="647701" cy="123826"/>
              <a:chOff x="3876675" y="138969750"/>
              <a:chExt cx="647701" cy="123826"/>
            </a:xfrm>
          </xdr:grpSpPr>
          <xdr:sp macro="" textlink="">
            <xdr:nvSpPr>
              <xdr:cNvPr id="8565" name="Check Box 1397" hidden="1">
                <a:extLst>
                  <a:ext uri="{63B3BB69-23CF-44E3-9099-C40C66FF867C}">
                    <a14:compatExt spid="_x0000_s8565"/>
                  </a:ext>
                </a:extLst>
              </xdr:cNvPr>
              <xdr:cNvSpPr/>
            </xdr:nvSpPr>
            <xdr:spPr bwMode="auto">
              <a:xfrm>
                <a:off x="3876675" y="1389888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66" name="Check Box 1398" hidden="1">
                <a:extLst>
                  <a:ext uri="{63B3BB69-23CF-44E3-9099-C40C66FF867C}">
                    <a14:compatExt spid="_x0000_s8566"/>
                  </a:ext>
                </a:extLst>
              </xdr:cNvPr>
              <xdr:cNvSpPr/>
            </xdr:nvSpPr>
            <xdr:spPr bwMode="auto">
              <a:xfrm>
                <a:off x="4105276" y="1389792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67" name="Check Box 1399" hidden="1">
                <a:extLst>
                  <a:ext uri="{63B3BB69-23CF-44E3-9099-C40C66FF867C}">
                    <a14:compatExt spid="_x0000_s8567"/>
                  </a:ext>
                </a:extLst>
              </xdr:cNvPr>
              <xdr:cNvSpPr/>
            </xdr:nvSpPr>
            <xdr:spPr bwMode="auto">
              <a:xfrm>
                <a:off x="4371976" y="1389697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570</xdr:row>
          <xdr:rowOff>0</xdr:rowOff>
        </xdr:from>
        <xdr:to>
          <xdr:col>5</xdr:col>
          <xdr:colOff>133351</xdr:colOff>
          <xdr:row>570</xdr:row>
          <xdr:rowOff>123826</xdr:rowOff>
        </xdr:to>
        <xdr:grpSp>
          <xdr:nvGrpSpPr>
            <xdr:cNvPr id="1126" name="Group 1125"/>
            <xdr:cNvGrpSpPr/>
          </xdr:nvGrpSpPr>
          <xdr:grpSpPr>
            <a:xfrm>
              <a:off x="3876675" y="136121775"/>
              <a:ext cx="647701" cy="123826"/>
              <a:chOff x="3876675" y="139312650"/>
              <a:chExt cx="647701" cy="123826"/>
            </a:xfrm>
          </xdr:grpSpPr>
          <xdr:sp macro="" textlink="">
            <xdr:nvSpPr>
              <xdr:cNvPr id="8568" name="Check Box 1400" hidden="1">
                <a:extLst>
                  <a:ext uri="{63B3BB69-23CF-44E3-9099-C40C66FF867C}">
                    <a14:compatExt spid="_x0000_s8568"/>
                  </a:ext>
                </a:extLst>
              </xdr:cNvPr>
              <xdr:cNvSpPr/>
            </xdr:nvSpPr>
            <xdr:spPr bwMode="auto">
              <a:xfrm>
                <a:off x="3876675" y="1393317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69" name="Check Box 1401" hidden="1">
                <a:extLst>
                  <a:ext uri="{63B3BB69-23CF-44E3-9099-C40C66FF867C}">
                    <a14:compatExt spid="_x0000_s8569"/>
                  </a:ext>
                </a:extLst>
              </xdr:cNvPr>
              <xdr:cNvSpPr/>
            </xdr:nvSpPr>
            <xdr:spPr bwMode="auto">
              <a:xfrm>
                <a:off x="4105276" y="1393221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70" name="Check Box 1402" hidden="1">
                <a:extLst>
                  <a:ext uri="{63B3BB69-23CF-44E3-9099-C40C66FF867C}">
                    <a14:compatExt spid="_x0000_s8570"/>
                  </a:ext>
                </a:extLst>
              </xdr:cNvPr>
              <xdr:cNvSpPr/>
            </xdr:nvSpPr>
            <xdr:spPr bwMode="auto">
              <a:xfrm>
                <a:off x="4371976" y="1393126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459</xdr:row>
          <xdr:rowOff>0</xdr:rowOff>
        </xdr:from>
        <xdr:to>
          <xdr:col>5</xdr:col>
          <xdr:colOff>133351</xdr:colOff>
          <xdr:row>459</xdr:row>
          <xdr:rowOff>123826</xdr:rowOff>
        </xdr:to>
        <xdr:grpSp>
          <xdr:nvGrpSpPr>
            <xdr:cNvPr id="1137" name="Group 1136"/>
            <xdr:cNvGrpSpPr/>
          </xdr:nvGrpSpPr>
          <xdr:grpSpPr>
            <a:xfrm>
              <a:off x="3876675" y="108765975"/>
              <a:ext cx="647701" cy="123826"/>
              <a:chOff x="3876675" y="111309150"/>
              <a:chExt cx="647701" cy="123826"/>
            </a:xfrm>
          </xdr:grpSpPr>
          <xdr:sp macro="" textlink="">
            <xdr:nvSpPr>
              <xdr:cNvPr id="8571" name="Check Box 1403" hidden="1">
                <a:extLst>
                  <a:ext uri="{63B3BB69-23CF-44E3-9099-C40C66FF867C}">
                    <a14:compatExt spid="_x0000_s8571"/>
                  </a:ext>
                </a:extLst>
              </xdr:cNvPr>
              <xdr:cNvSpPr/>
            </xdr:nvSpPr>
            <xdr:spPr bwMode="auto">
              <a:xfrm>
                <a:off x="3876675" y="1113282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72" name="Check Box 1404" hidden="1">
                <a:extLst>
                  <a:ext uri="{63B3BB69-23CF-44E3-9099-C40C66FF867C}">
                    <a14:compatExt spid="_x0000_s8572"/>
                  </a:ext>
                </a:extLst>
              </xdr:cNvPr>
              <xdr:cNvSpPr/>
            </xdr:nvSpPr>
            <xdr:spPr bwMode="auto">
              <a:xfrm>
                <a:off x="4105276" y="1113186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73" name="Check Box 1405" hidden="1">
                <a:extLst>
                  <a:ext uri="{63B3BB69-23CF-44E3-9099-C40C66FF867C}">
                    <a14:compatExt spid="_x0000_s8573"/>
                  </a:ext>
                </a:extLst>
              </xdr:cNvPr>
              <xdr:cNvSpPr/>
            </xdr:nvSpPr>
            <xdr:spPr bwMode="auto">
              <a:xfrm>
                <a:off x="4371976" y="1113091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462</xdr:row>
          <xdr:rowOff>0</xdr:rowOff>
        </xdr:from>
        <xdr:to>
          <xdr:col>5</xdr:col>
          <xdr:colOff>133351</xdr:colOff>
          <xdr:row>462</xdr:row>
          <xdr:rowOff>123826</xdr:rowOff>
        </xdr:to>
        <xdr:grpSp>
          <xdr:nvGrpSpPr>
            <xdr:cNvPr id="1135" name="Group 1134"/>
            <xdr:cNvGrpSpPr/>
          </xdr:nvGrpSpPr>
          <xdr:grpSpPr>
            <a:xfrm>
              <a:off x="3876675" y="109575600"/>
              <a:ext cx="647701" cy="123826"/>
              <a:chOff x="3876675" y="112118775"/>
              <a:chExt cx="647701" cy="123826"/>
            </a:xfrm>
          </xdr:grpSpPr>
          <xdr:sp macro="" textlink="">
            <xdr:nvSpPr>
              <xdr:cNvPr id="8574" name="Check Box 1406" hidden="1">
                <a:extLst>
                  <a:ext uri="{63B3BB69-23CF-44E3-9099-C40C66FF867C}">
                    <a14:compatExt spid="_x0000_s8574"/>
                  </a:ext>
                </a:extLst>
              </xdr:cNvPr>
              <xdr:cNvSpPr/>
            </xdr:nvSpPr>
            <xdr:spPr bwMode="auto">
              <a:xfrm>
                <a:off x="3876675" y="1121378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75" name="Check Box 1407" hidden="1">
                <a:extLst>
                  <a:ext uri="{63B3BB69-23CF-44E3-9099-C40C66FF867C}">
                    <a14:compatExt spid="_x0000_s8575"/>
                  </a:ext>
                </a:extLst>
              </xdr:cNvPr>
              <xdr:cNvSpPr/>
            </xdr:nvSpPr>
            <xdr:spPr bwMode="auto">
              <a:xfrm>
                <a:off x="4105276" y="1121283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76" name="Check Box 1408" hidden="1">
                <a:extLst>
                  <a:ext uri="{63B3BB69-23CF-44E3-9099-C40C66FF867C}">
                    <a14:compatExt spid="_x0000_s8576"/>
                  </a:ext>
                </a:extLst>
              </xdr:cNvPr>
              <xdr:cNvSpPr/>
            </xdr:nvSpPr>
            <xdr:spPr bwMode="auto">
              <a:xfrm>
                <a:off x="4371976" y="1121187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463</xdr:row>
          <xdr:rowOff>0</xdr:rowOff>
        </xdr:from>
        <xdr:to>
          <xdr:col>5</xdr:col>
          <xdr:colOff>133351</xdr:colOff>
          <xdr:row>463</xdr:row>
          <xdr:rowOff>123826</xdr:rowOff>
        </xdr:to>
        <xdr:grpSp>
          <xdr:nvGrpSpPr>
            <xdr:cNvPr id="1134" name="Group 1133"/>
            <xdr:cNvGrpSpPr/>
          </xdr:nvGrpSpPr>
          <xdr:grpSpPr>
            <a:xfrm>
              <a:off x="3876675" y="109737525"/>
              <a:ext cx="647701" cy="123826"/>
              <a:chOff x="3876675" y="112280700"/>
              <a:chExt cx="647701" cy="123826"/>
            </a:xfrm>
          </xdr:grpSpPr>
          <xdr:sp macro="" textlink="">
            <xdr:nvSpPr>
              <xdr:cNvPr id="8577" name="Check Box 1409" hidden="1">
                <a:extLst>
                  <a:ext uri="{63B3BB69-23CF-44E3-9099-C40C66FF867C}">
                    <a14:compatExt spid="_x0000_s8577"/>
                  </a:ext>
                </a:extLst>
              </xdr:cNvPr>
              <xdr:cNvSpPr/>
            </xdr:nvSpPr>
            <xdr:spPr bwMode="auto">
              <a:xfrm>
                <a:off x="3876675" y="1122997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78" name="Check Box 1410" hidden="1">
                <a:extLst>
                  <a:ext uri="{63B3BB69-23CF-44E3-9099-C40C66FF867C}">
                    <a14:compatExt spid="_x0000_s8578"/>
                  </a:ext>
                </a:extLst>
              </xdr:cNvPr>
              <xdr:cNvSpPr/>
            </xdr:nvSpPr>
            <xdr:spPr bwMode="auto">
              <a:xfrm>
                <a:off x="4105276" y="1122902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79" name="Check Box 1411" hidden="1">
                <a:extLst>
                  <a:ext uri="{63B3BB69-23CF-44E3-9099-C40C66FF867C}">
                    <a14:compatExt spid="_x0000_s8579"/>
                  </a:ext>
                </a:extLst>
              </xdr:cNvPr>
              <xdr:cNvSpPr/>
            </xdr:nvSpPr>
            <xdr:spPr bwMode="auto">
              <a:xfrm>
                <a:off x="4371976" y="1122807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464</xdr:row>
          <xdr:rowOff>0</xdr:rowOff>
        </xdr:from>
        <xdr:to>
          <xdr:col>5</xdr:col>
          <xdr:colOff>133351</xdr:colOff>
          <xdr:row>464</xdr:row>
          <xdr:rowOff>123826</xdr:rowOff>
        </xdr:to>
        <xdr:grpSp>
          <xdr:nvGrpSpPr>
            <xdr:cNvPr id="1133" name="Group 1132"/>
            <xdr:cNvGrpSpPr/>
          </xdr:nvGrpSpPr>
          <xdr:grpSpPr>
            <a:xfrm>
              <a:off x="3876675" y="110061375"/>
              <a:ext cx="647701" cy="123826"/>
              <a:chOff x="3876675" y="112604550"/>
              <a:chExt cx="647701" cy="123826"/>
            </a:xfrm>
          </xdr:grpSpPr>
          <xdr:sp macro="" textlink="">
            <xdr:nvSpPr>
              <xdr:cNvPr id="8580" name="Check Box 1412" hidden="1">
                <a:extLst>
                  <a:ext uri="{63B3BB69-23CF-44E3-9099-C40C66FF867C}">
                    <a14:compatExt spid="_x0000_s8580"/>
                  </a:ext>
                </a:extLst>
              </xdr:cNvPr>
              <xdr:cNvSpPr/>
            </xdr:nvSpPr>
            <xdr:spPr bwMode="auto">
              <a:xfrm>
                <a:off x="3876675" y="1126236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81" name="Check Box 1413" hidden="1">
                <a:extLst>
                  <a:ext uri="{63B3BB69-23CF-44E3-9099-C40C66FF867C}">
                    <a14:compatExt spid="_x0000_s8581"/>
                  </a:ext>
                </a:extLst>
              </xdr:cNvPr>
              <xdr:cNvSpPr/>
            </xdr:nvSpPr>
            <xdr:spPr bwMode="auto">
              <a:xfrm>
                <a:off x="4105276" y="1126140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82" name="Check Box 1414" hidden="1">
                <a:extLst>
                  <a:ext uri="{63B3BB69-23CF-44E3-9099-C40C66FF867C}">
                    <a14:compatExt spid="_x0000_s8582"/>
                  </a:ext>
                </a:extLst>
              </xdr:cNvPr>
              <xdr:cNvSpPr/>
            </xdr:nvSpPr>
            <xdr:spPr bwMode="auto">
              <a:xfrm>
                <a:off x="4371976" y="1126045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465</xdr:row>
          <xdr:rowOff>0</xdr:rowOff>
        </xdr:from>
        <xdr:to>
          <xdr:col>5</xdr:col>
          <xdr:colOff>133351</xdr:colOff>
          <xdr:row>465</xdr:row>
          <xdr:rowOff>123826</xdr:rowOff>
        </xdr:to>
        <xdr:grpSp>
          <xdr:nvGrpSpPr>
            <xdr:cNvPr id="1131" name="Group 1130"/>
            <xdr:cNvGrpSpPr/>
          </xdr:nvGrpSpPr>
          <xdr:grpSpPr>
            <a:xfrm>
              <a:off x="3876675" y="110547150"/>
              <a:ext cx="647701" cy="123826"/>
              <a:chOff x="3876675" y="113252250"/>
              <a:chExt cx="647701" cy="123826"/>
            </a:xfrm>
          </xdr:grpSpPr>
          <xdr:sp macro="" textlink="">
            <xdr:nvSpPr>
              <xdr:cNvPr id="8586" name="Check Box 1418" hidden="1">
                <a:extLst>
                  <a:ext uri="{63B3BB69-23CF-44E3-9099-C40C66FF867C}">
                    <a14:compatExt spid="_x0000_s8586"/>
                  </a:ext>
                </a:extLst>
              </xdr:cNvPr>
              <xdr:cNvSpPr/>
            </xdr:nvSpPr>
            <xdr:spPr bwMode="auto">
              <a:xfrm>
                <a:off x="3876675" y="1132713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87" name="Check Box 1419" hidden="1">
                <a:extLst>
                  <a:ext uri="{63B3BB69-23CF-44E3-9099-C40C66FF867C}">
                    <a14:compatExt spid="_x0000_s8587"/>
                  </a:ext>
                </a:extLst>
              </xdr:cNvPr>
              <xdr:cNvSpPr/>
            </xdr:nvSpPr>
            <xdr:spPr bwMode="auto">
              <a:xfrm>
                <a:off x="4105276" y="1132617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88" name="Check Box 1420" hidden="1">
                <a:extLst>
                  <a:ext uri="{63B3BB69-23CF-44E3-9099-C40C66FF867C}">
                    <a14:compatExt spid="_x0000_s8588"/>
                  </a:ext>
                </a:extLst>
              </xdr:cNvPr>
              <xdr:cNvSpPr/>
            </xdr:nvSpPr>
            <xdr:spPr bwMode="auto">
              <a:xfrm>
                <a:off x="4371976" y="1132522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466</xdr:row>
          <xdr:rowOff>0</xdr:rowOff>
        </xdr:from>
        <xdr:to>
          <xdr:col>5</xdr:col>
          <xdr:colOff>133351</xdr:colOff>
          <xdr:row>466</xdr:row>
          <xdr:rowOff>123826</xdr:rowOff>
        </xdr:to>
        <xdr:grpSp>
          <xdr:nvGrpSpPr>
            <xdr:cNvPr id="1130" name="Group 1129"/>
            <xdr:cNvGrpSpPr/>
          </xdr:nvGrpSpPr>
          <xdr:grpSpPr>
            <a:xfrm>
              <a:off x="3876675" y="110709075"/>
              <a:ext cx="647701" cy="123826"/>
              <a:chOff x="3876675" y="113576100"/>
              <a:chExt cx="647701" cy="123826"/>
            </a:xfrm>
          </xdr:grpSpPr>
          <xdr:sp macro="" textlink="">
            <xdr:nvSpPr>
              <xdr:cNvPr id="8589" name="Check Box 1421" hidden="1">
                <a:extLst>
                  <a:ext uri="{63B3BB69-23CF-44E3-9099-C40C66FF867C}">
                    <a14:compatExt spid="_x0000_s8589"/>
                  </a:ext>
                </a:extLst>
              </xdr:cNvPr>
              <xdr:cNvSpPr/>
            </xdr:nvSpPr>
            <xdr:spPr bwMode="auto">
              <a:xfrm>
                <a:off x="3876675" y="1135951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90" name="Check Box 1422" hidden="1">
                <a:extLst>
                  <a:ext uri="{63B3BB69-23CF-44E3-9099-C40C66FF867C}">
                    <a14:compatExt spid="_x0000_s8590"/>
                  </a:ext>
                </a:extLst>
              </xdr:cNvPr>
              <xdr:cNvSpPr/>
            </xdr:nvSpPr>
            <xdr:spPr bwMode="auto">
              <a:xfrm>
                <a:off x="4105276" y="1135856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91" name="Check Box 1423" hidden="1">
                <a:extLst>
                  <a:ext uri="{63B3BB69-23CF-44E3-9099-C40C66FF867C}">
                    <a14:compatExt spid="_x0000_s8591"/>
                  </a:ext>
                </a:extLst>
              </xdr:cNvPr>
              <xdr:cNvSpPr/>
            </xdr:nvSpPr>
            <xdr:spPr bwMode="auto">
              <a:xfrm>
                <a:off x="4371976" y="1135761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487</xdr:row>
          <xdr:rowOff>0</xdr:rowOff>
        </xdr:from>
        <xdr:to>
          <xdr:col>5</xdr:col>
          <xdr:colOff>133351</xdr:colOff>
          <xdr:row>487</xdr:row>
          <xdr:rowOff>123826</xdr:rowOff>
        </xdr:to>
        <xdr:grpSp>
          <xdr:nvGrpSpPr>
            <xdr:cNvPr id="1140" name="Group 1139"/>
            <xdr:cNvGrpSpPr/>
          </xdr:nvGrpSpPr>
          <xdr:grpSpPr>
            <a:xfrm>
              <a:off x="3876675" y="115557300"/>
              <a:ext cx="647701" cy="123826"/>
              <a:chOff x="3876675" y="118424325"/>
              <a:chExt cx="647701" cy="123826"/>
            </a:xfrm>
          </xdr:grpSpPr>
          <xdr:sp macro="" textlink="">
            <xdr:nvSpPr>
              <xdr:cNvPr id="8592" name="Check Box 1424" hidden="1">
                <a:extLst>
                  <a:ext uri="{63B3BB69-23CF-44E3-9099-C40C66FF867C}">
                    <a14:compatExt spid="_x0000_s8592"/>
                  </a:ext>
                </a:extLst>
              </xdr:cNvPr>
              <xdr:cNvSpPr/>
            </xdr:nvSpPr>
            <xdr:spPr bwMode="auto">
              <a:xfrm>
                <a:off x="3876675" y="1184433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93" name="Check Box 1425" hidden="1">
                <a:extLst>
                  <a:ext uri="{63B3BB69-23CF-44E3-9099-C40C66FF867C}">
                    <a14:compatExt spid="_x0000_s8593"/>
                  </a:ext>
                </a:extLst>
              </xdr:cNvPr>
              <xdr:cNvSpPr/>
            </xdr:nvSpPr>
            <xdr:spPr bwMode="auto">
              <a:xfrm>
                <a:off x="4105276" y="1184338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94" name="Check Box 1426" hidden="1">
                <a:extLst>
                  <a:ext uri="{63B3BB69-23CF-44E3-9099-C40C66FF867C}">
                    <a14:compatExt spid="_x0000_s8594"/>
                  </a:ext>
                </a:extLst>
              </xdr:cNvPr>
              <xdr:cNvSpPr/>
            </xdr:nvSpPr>
            <xdr:spPr bwMode="auto">
              <a:xfrm>
                <a:off x="4371976" y="1184243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488</xdr:row>
          <xdr:rowOff>0</xdr:rowOff>
        </xdr:from>
        <xdr:to>
          <xdr:col>5</xdr:col>
          <xdr:colOff>133351</xdr:colOff>
          <xdr:row>488</xdr:row>
          <xdr:rowOff>123826</xdr:rowOff>
        </xdr:to>
        <xdr:grpSp>
          <xdr:nvGrpSpPr>
            <xdr:cNvPr id="1139" name="Group 1138"/>
            <xdr:cNvGrpSpPr/>
          </xdr:nvGrpSpPr>
          <xdr:grpSpPr>
            <a:xfrm>
              <a:off x="3876675" y="116081175"/>
              <a:ext cx="647701" cy="123826"/>
              <a:chOff x="3876675" y="118948200"/>
              <a:chExt cx="647701" cy="123826"/>
            </a:xfrm>
          </xdr:grpSpPr>
          <xdr:sp macro="" textlink="">
            <xdr:nvSpPr>
              <xdr:cNvPr id="8595" name="Check Box 1427" hidden="1">
                <a:extLst>
                  <a:ext uri="{63B3BB69-23CF-44E3-9099-C40C66FF867C}">
                    <a14:compatExt spid="_x0000_s8595"/>
                  </a:ext>
                </a:extLst>
              </xdr:cNvPr>
              <xdr:cNvSpPr/>
            </xdr:nvSpPr>
            <xdr:spPr bwMode="auto">
              <a:xfrm>
                <a:off x="3876675" y="1189672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96" name="Check Box 1428" hidden="1">
                <a:extLst>
                  <a:ext uri="{63B3BB69-23CF-44E3-9099-C40C66FF867C}">
                    <a14:compatExt spid="_x0000_s8596"/>
                  </a:ext>
                </a:extLst>
              </xdr:cNvPr>
              <xdr:cNvSpPr/>
            </xdr:nvSpPr>
            <xdr:spPr bwMode="auto">
              <a:xfrm>
                <a:off x="4105276" y="1189577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97" name="Check Box 1429" hidden="1">
                <a:extLst>
                  <a:ext uri="{63B3BB69-23CF-44E3-9099-C40C66FF867C}">
                    <a14:compatExt spid="_x0000_s8597"/>
                  </a:ext>
                </a:extLst>
              </xdr:cNvPr>
              <xdr:cNvSpPr/>
            </xdr:nvSpPr>
            <xdr:spPr bwMode="auto">
              <a:xfrm>
                <a:off x="4371976" y="1189482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489</xdr:row>
          <xdr:rowOff>0</xdr:rowOff>
        </xdr:from>
        <xdr:to>
          <xdr:col>5</xdr:col>
          <xdr:colOff>133351</xdr:colOff>
          <xdr:row>489</xdr:row>
          <xdr:rowOff>123826</xdr:rowOff>
        </xdr:to>
        <xdr:grpSp>
          <xdr:nvGrpSpPr>
            <xdr:cNvPr id="1138" name="Group 1137"/>
            <xdr:cNvGrpSpPr/>
          </xdr:nvGrpSpPr>
          <xdr:grpSpPr>
            <a:xfrm>
              <a:off x="3876675" y="116405025"/>
              <a:ext cx="647701" cy="123826"/>
              <a:chOff x="3876675" y="119272050"/>
              <a:chExt cx="647701" cy="123826"/>
            </a:xfrm>
          </xdr:grpSpPr>
          <xdr:sp macro="" textlink="">
            <xdr:nvSpPr>
              <xdr:cNvPr id="8598" name="Check Box 1430" hidden="1">
                <a:extLst>
                  <a:ext uri="{63B3BB69-23CF-44E3-9099-C40C66FF867C}">
                    <a14:compatExt spid="_x0000_s8598"/>
                  </a:ext>
                </a:extLst>
              </xdr:cNvPr>
              <xdr:cNvSpPr/>
            </xdr:nvSpPr>
            <xdr:spPr bwMode="auto">
              <a:xfrm>
                <a:off x="3876675" y="1192911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599" name="Check Box 1431" hidden="1">
                <a:extLst>
                  <a:ext uri="{63B3BB69-23CF-44E3-9099-C40C66FF867C}">
                    <a14:compatExt spid="_x0000_s8599"/>
                  </a:ext>
                </a:extLst>
              </xdr:cNvPr>
              <xdr:cNvSpPr/>
            </xdr:nvSpPr>
            <xdr:spPr bwMode="auto">
              <a:xfrm>
                <a:off x="4105276" y="1192815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00" name="Check Box 1432" hidden="1">
                <a:extLst>
                  <a:ext uri="{63B3BB69-23CF-44E3-9099-C40C66FF867C}">
                    <a14:compatExt spid="_x0000_s8600"/>
                  </a:ext>
                </a:extLst>
              </xdr:cNvPr>
              <xdr:cNvSpPr/>
            </xdr:nvSpPr>
            <xdr:spPr bwMode="auto">
              <a:xfrm>
                <a:off x="4371976" y="1192720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471</xdr:row>
          <xdr:rowOff>0</xdr:rowOff>
        </xdr:from>
        <xdr:to>
          <xdr:col>5</xdr:col>
          <xdr:colOff>133351</xdr:colOff>
          <xdr:row>471</xdr:row>
          <xdr:rowOff>123826</xdr:rowOff>
        </xdr:to>
        <xdr:grpSp>
          <xdr:nvGrpSpPr>
            <xdr:cNvPr id="1144" name="Group 1143"/>
            <xdr:cNvGrpSpPr/>
          </xdr:nvGrpSpPr>
          <xdr:grpSpPr>
            <a:xfrm>
              <a:off x="3876675" y="111842550"/>
              <a:ext cx="647701" cy="123826"/>
              <a:chOff x="3876675" y="114709575"/>
              <a:chExt cx="647701" cy="123826"/>
            </a:xfrm>
          </xdr:grpSpPr>
          <xdr:sp macro="" textlink="">
            <xdr:nvSpPr>
              <xdr:cNvPr id="8601" name="Check Box 1433" hidden="1">
                <a:extLst>
                  <a:ext uri="{63B3BB69-23CF-44E3-9099-C40C66FF867C}">
                    <a14:compatExt spid="_x0000_s8601"/>
                  </a:ext>
                </a:extLst>
              </xdr:cNvPr>
              <xdr:cNvSpPr/>
            </xdr:nvSpPr>
            <xdr:spPr bwMode="auto">
              <a:xfrm>
                <a:off x="3876675" y="1147286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02" name="Check Box 1434" hidden="1">
                <a:extLst>
                  <a:ext uri="{63B3BB69-23CF-44E3-9099-C40C66FF867C}">
                    <a14:compatExt spid="_x0000_s8602"/>
                  </a:ext>
                </a:extLst>
              </xdr:cNvPr>
              <xdr:cNvSpPr/>
            </xdr:nvSpPr>
            <xdr:spPr bwMode="auto">
              <a:xfrm>
                <a:off x="4105276" y="1147191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03" name="Check Box 1435" hidden="1">
                <a:extLst>
                  <a:ext uri="{63B3BB69-23CF-44E3-9099-C40C66FF867C}">
                    <a14:compatExt spid="_x0000_s8603"/>
                  </a:ext>
                </a:extLst>
              </xdr:cNvPr>
              <xdr:cNvSpPr/>
            </xdr:nvSpPr>
            <xdr:spPr bwMode="auto">
              <a:xfrm>
                <a:off x="4371976" y="1147095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472</xdr:row>
          <xdr:rowOff>0</xdr:rowOff>
        </xdr:from>
        <xdr:to>
          <xdr:col>5</xdr:col>
          <xdr:colOff>133351</xdr:colOff>
          <xdr:row>472</xdr:row>
          <xdr:rowOff>123826</xdr:rowOff>
        </xdr:to>
        <xdr:grpSp>
          <xdr:nvGrpSpPr>
            <xdr:cNvPr id="1146" name="Group 1145"/>
            <xdr:cNvGrpSpPr/>
          </xdr:nvGrpSpPr>
          <xdr:grpSpPr>
            <a:xfrm>
              <a:off x="3876675" y="112004475"/>
              <a:ext cx="647701" cy="123826"/>
              <a:chOff x="3876675" y="114871500"/>
              <a:chExt cx="647701" cy="123826"/>
            </a:xfrm>
          </xdr:grpSpPr>
          <xdr:sp macro="" textlink="">
            <xdr:nvSpPr>
              <xdr:cNvPr id="8604" name="Check Box 1436" hidden="1">
                <a:extLst>
                  <a:ext uri="{63B3BB69-23CF-44E3-9099-C40C66FF867C}">
                    <a14:compatExt spid="_x0000_s8604"/>
                  </a:ext>
                </a:extLst>
              </xdr:cNvPr>
              <xdr:cNvSpPr/>
            </xdr:nvSpPr>
            <xdr:spPr bwMode="auto">
              <a:xfrm>
                <a:off x="3876675" y="1148905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05" name="Check Box 1437" hidden="1">
                <a:extLst>
                  <a:ext uri="{63B3BB69-23CF-44E3-9099-C40C66FF867C}">
                    <a14:compatExt spid="_x0000_s8605"/>
                  </a:ext>
                </a:extLst>
              </xdr:cNvPr>
              <xdr:cNvSpPr/>
            </xdr:nvSpPr>
            <xdr:spPr bwMode="auto">
              <a:xfrm>
                <a:off x="4105276" y="1148810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06" name="Check Box 1438" hidden="1">
                <a:extLst>
                  <a:ext uri="{63B3BB69-23CF-44E3-9099-C40C66FF867C}">
                    <a14:compatExt spid="_x0000_s8606"/>
                  </a:ext>
                </a:extLst>
              </xdr:cNvPr>
              <xdr:cNvSpPr/>
            </xdr:nvSpPr>
            <xdr:spPr bwMode="auto">
              <a:xfrm>
                <a:off x="4371976" y="1148715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473</xdr:row>
          <xdr:rowOff>0</xdr:rowOff>
        </xdr:from>
        <xdr:to>
          <xdr:col>5</xdr:col>
          <xdr:colOff>133351</xdr:colOff>
          <xdr:row>473</xdr:row>
          <xdr:rowOff>123826</xdr:rowOff>
        </xdr:to>
        <xdr:grpSp>
          <xdr:nvGrpSpPr>
            <xdr:cNvPr id="1148" name="Group 1147"/>
            <xdr:cNvGrpSpPr/>
          </xdr:nvGrpSpPr>
          <xdr:grpSpPr>
            <a:xfrm>
              <a:off x="3876675" y="112166400"/>
              <a:ext cx="647701" cy="123826"/>
              <a:chOff x="3876675" y="115195350"/>
              <a:chExt cx="647701" cy="123826"/>
            </a:xfrm>
          </xdr:grpSpPr>
          <xdr:sp macro="" textlink="">
            <xdr:nvSpPr>
              <xdr:cNvPr id="8607" name="Check Box 1439" hidden="1">
                <a:extLst>
                  <a:ext uri="{63B3BB69-23CF-44E3-9099-C40C66FF867C}">
                    <a14:compatExt spid="_x0000_s8607"/>
                  </a:ext>
                </a:extLst>
              </xdr:cNvPr>
              <xdr:cNvSpPr/>
            </xdr:nvSpPr>
            <xdr:spPr bwMode="auto">
              <a:xfrm>
                <a:off x="3876675" y="1152144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08" name="Check Box 1440" hidden="1">
                <a:extLst>
                  <a:ext uri="{63B3BB69-23CF-44E3-9099-C40C66FF867C}">
                    <a14:compatExt spid="_x0000_s8608"/>
                  </a:ext>
                </a:extLst>
              </xdr:cNvPr>
              <xdr:cNvSpPr/>
            </xdr:nvSpPr>
            <xdr:spPr bwMode="auto">
              <a:xfrm>
                <a:off x="4105276" y="1152048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09" name="Check Box 1441" hidden="1">
                <a:extLst>
                  <a:ext uri="{63B3BB69-23CF-44E3-9099-C40C66FF867C}">
                    <a14:compatExt spid="_x0000_s8609"/>
                  </a:ext>
                </a:extLst>
              </xdr:cNvPr>
              <xdr:cNvSpPr/>
            </xdr:nvSpPr>
            <xdr:spPr bwMode="auto">
              <a:xfrm>
                <a:off x="4371976" y="1151953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474</xdr:row>
          <xdr:rowOff>0</xdr:rowOff>
        </xdr:from>
        <xdr:to>
          <xdr:col>5</xdr:col>
          <xdr:colOff>133351</xdr:colOff>
          <xdr:row>474</xdr:row>
          <xdr:rowOff>123826</xdr:rowOff>
        </xdr:to>
        <xdr:grpSp>
          <xdr:nvGrpSpPr>
            <xdr:cNvPr id="1149" name="Group 1148"/>
            <xdr:cNvGrpSpPr/>
          </xdr:nvGrpSpPr>
          <xdr:grpSpPr>
            <a:xfrm>
              <a:off x="3876675" y="112356900"/>
              <a:ext cx="647701" cy="123826"/>
              <a:chOff x="3876675" y="115385850"/>
              <a:chExt cx="647701" cy="123826"/>
            </a:xfrm>
          </xdr:grpSpPr>
          <xdr:sp macro="" textlink="">
            <xdr:nvSpPr>
              <xdr:cNvPr id="8610" name="Check Box 1442" hidden="1">
                <a:extLst>
                  <a:ext uri="{63B3BB69-23CF-44E3-9099-C40C66FF867C}">
                    <a14:compatExt spid="_x0000_s8610"/>
                  </a:ext>
                </a:extLst>
              </xdr:cNvPr>
              <xdr:cNvSpPr/>
            </xdr:nvSpPr>
            <xdr:spPr bwMode="auto">
              <a:xfrm>
                <a:off x="3876675" y="1154049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11" name="Check Box 1443" hidden="1">
                <a:extLst>
                  <a:ext uri="{63B3BB69-23CF-44E3-9099-C40C66FF867C}">
                    <a14:compatExt spid="_x0000_s8611"/>
                  </a:ext>
                </a:extLst>
              </xdr:cNvPr>
              <xdr:cNvSpPr/>
            </xdr:nvSpPr>
            <xdr:spPr bwMode="auto">
              <a:xfrm>
                <a:off x="4105276" y="1153953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12" name="Check Box 1444" hidden="1">
                <a:extLst>
                  <a:ext uri="{63B3BB69-23CF-44E3-9099-C40C66FF867C}">
                    <a14:compatExt spid="_x0000_s8612"/>
                  </a:ext>
                </a:extLst>
              </xdr:cNvPr>
              <xdr:cNvSpPr/>
            </xdr:nvSpPr>
            <xdr:spPr bwMode="auto">
              <a:xfrm>
                <a:off x="4371976" y="1153858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476</xdr:row>
          <xdr:rowOff>0</xdr:rowOff>
        </xdr:from>
        <xdr:to>
          <xdr:col>5</xdr:col>
          <xdr:colOff>133351</xdr:colOff>
          <xdr:row>476</xdr:row>
          <xdr:rowOff>123826</xdr:rowOff>
        </xdr:to>
        <xdr:grpSp>
          <xdr:nvGrpSpPr>
            <xdr:cNvPr id="1152" name="Group 1151"/>
            <xdr:cNvGrpSpPr/>
          </xdr:nvGrpSpPr>
          <xdr:grpSpPr>
            <a:xfrm>
              <a:off x="3876675" y="112928400"/>
              <a:ext cx="647701" cy="123826"/>
              <a:chOff x="3876675" y="115957350"/>
              <a:chExt cx="647701" cy="123826"/>
            </a:xfrm>
          </xdr:grpSpPr>
          <xdr:sp macro="" textlink="">
            <xdr:nvSpPr>
              <xdr:cNvPr id="8613" name="Check Box 1445" hidden="1">
                <a:extLst>
                  <a:ext uri="{63B3BB69-23CF-44E3-9099-C40C66FF867C}">
                    <a14:compatExt spid="_x0000_s8613"/>
                  </a:ext>
                </a:extLst>
              </xdr:cNvPr>
              <xdr:cNvSpPr/>
            </xdr:nvSpPr>
            <xdr:spPr bwMode="auto">
              <a:xfrm>
                <a:off x="3876675" y="1159764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14" name="Check Box 1446" hidden="1">
                <a:extLst>
                  <a:ext uri="{63B3BB69-23CF-44E3-9099-C40C66FF867C}">
                    <a14:compatExt spid="_x0000_s8614"/>
                  </a:ext>
                </a:extLst>
              </xdr:cNvPr>
              <xdr:cNvSpPr/>
            </xdr:nvSpPr>
            <xdr:spPr bwMode="auto">
              <a:xfrm>
                <a:off x="4105276" y="1159668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15" name="Check Box 1447" hidden="1">
                <a:extLst>
                  <a:ext uri="{63B3BB69-23CF-44E3-9099-C40C66FF867C}">
                    <a14:compatExt spid="_x0000_s8615"/>
                  </a:ext>
                </a:extLst>
              </xdr:cNvPr>
              <xdr:cNvSpPr/>
            </xdr:nvSpPr>
            <xdr:spPr bwMode="auto">
              <a:xfrm>
                <a:off x="4371976" y="1159573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479</xdr:row>
          <xdr:rowOff>0</xdr:rowOff>
        </xdr:from>
        <xdr:to>
          <xdr:col>5</xdr:col>
          <xdr:colOff>133351</xdr:colOff>
          <xdr:row>479</xdr:row>
          <xdr:rowOff>123826</xdr:rowOff>
        </xdr:to>
        <xdr:grpSp>
          <xdr:nvGrpSpPr>
            <xdr:cNvPr id="1150" name="Group 1149"/>
            <xdr:cNvGrpSpPr/>
          </xdr:nvGrpSpPr>
          <xdr:grpSpPr>
            <a:xfrm>
              <a:off x="3876675" y="113576100"/>
              <a:ext cx="647701" cy="123826"/>
              <a:chOff x="3876675" y="116766975"/>
              <a:chExt cx="647701" cy="123826"/>
            </a:xfrm>
          </xdr:grpSpPr>
          <xdr:sp macro="" textlink="">
            <xdr:nvSpPr>
              <xdr:cNvPr id="8616" name="Check Box 1448" hidden="1">
                <a:extLst>
                  <a:ext uri="{63B3BB69-23CF-44E3-9099-C40C66FF867C}">
                    <a14:compatExt spid="_x0000_s8616"/>
                  </a:ext>
                </a:extLst>
              </xdr:cNvPr>
              <xdr:cNvSpPr/>
            </xdr:nvSpPr>
            <xdr:spPr bwMode="auto">
              <a:xfrm>
                <a:off x="3876675" y="1167860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17" name="Check Box 1449" hidden="1">
                <a:extLst>
                  <a:ext uri="{63B3BB69-23CF-44E3-9099-C40C66FF867C}">
                    <a14:compatExt spid="_x0000_s8617"/>
                  </a:ext>
                </a:extLst>
              </xdr:cNvPr>
              <xdr:cNvSpPr/>
            </xdr:nvSpPr>
            <xdr:spPr bwMode="auto">
              <a:xfrm>
                <a:off x="4105276" y="1167765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18" name="Check Box 1450" hidden="1">
                <a:extLst>
                  <a:ext uri="{63B3BB69-23CF-44E3-9099-C40C66FF867C}">
                    <a14:compatExt spid="_x0000_s8618"/>
                  </a:ext>
                </a:extLst>
              </xdr:cNvPr>
              <xdr:cNvSpPr/>
            </xdr:nvSpPr>
            <xdr:spPr bwMode="auto">
              <a:xfrm>
                <a:off x="4371976" y="1167669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480</xdr:row>
          <xdr:rowOff>0</xdr:rowOff>
        </xdr:from>
        <xdr:to>
          <xdr:col>5</xdr:col>
          <xdr:colOff>133351</xdr:colOff>
          <xdr:row>480</xdr:row>
          <xdr:rowOff>123826</xdr:rowOff>
        </xdr:to>
        <xdr:grpSp>
          <xdr:nvGrpSpPr>
            <xdr:cNvPr id="1153" name="Group 1152"/>
            <xdr:cNvGrpSpPr/>
          </xdr:nvGrpSpPr>
          <xdr:grpSpPr>
            <a:xfrm>
              <a:off x="3876675" y="113899950"/>
              <a:ext cx="647701" cy="123826"/>
              <a:chOff x="3876675" y="117090825"/>
              <a:chExt cx="647701" cy="123826"/>
            </a:xfrm>
          </xdr:grpSpPr>
          <xdr:sp macro="" textlink="">
            <xdr:nvSpPr>
              <xdr:cNvPr id="8619" name="Check Box 1451" hidden="1">
                <a:extLst>
                  <a:ext uri="{63B3BB69-23CF-44E3-9099-C40C66FF867C}">
                    <a14:compatExt spid="_x0000_s8619"/>
                  </a:ext>
                </a:extLst>
              </xdr:cNvPr>
              <xdr:cNvSpPr/>
            </xdr:nvSpPr>
            <xdr:spPr bwMode="auto">
              <a:xfrm>
                <a:off x="3876675" y="1171098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20" name="Check Box 1452" hidden="1">
                <a:extLst>
                  <a:ext uri="{63B3BB69-23CF-44E3-9099-C40C66FF867C}">
                    <a14:compatExt spid="_x0000_s8620"/>
                  </a:ext>
                </a:extLst>
              </xdr:cNvPr>
              <xdr:cNvSpPr/>
            </xdr:nvSpPr>
            <xdr:spPr bwMode="auto">
              <a:xfrm>
                <a:off x="4105276" y="1171003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21" name="Check Box 1453" hidden="1">
                <a:extLst>
                  <a:ext uri="{63B3BB69-23CF-44E3-9099-C40C66FF867C}">
                    <a14:compatExt spid="_x0000_s8621"/>
                  </a:ext>
                </a:extLst>
              </xdr:cNvPr>
              <xdr:cNvSpPr/>
            </xdr:nvSpPr>
            <xdr:spPr bwMode="auto">
              <a:xfrm>
                <a:off x="4371976" y="1170908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481</xdr:row>
          <xdr:rowOff>0</xdr:rowOff>
        </xdr:from>
        <xdr:to>
          <xdr:col>5</xdr:col>
          <xdr:colOff>133351</xdr:colOff>
          <xdr:row>481</xdr:row>
          <xdr:rowOff>123826</xdr:rowOff>
        </xdr:to>
        <xdr:grpSp>
          <xdr:nvGrpSpPr>
            <xdr:cNvPr id="1154" name="Group 1153"/>
            <xdr:cNvGrpSpPr/>
          </xdr:nvGrpSpPr>
          <xdr:grpSpPr>
            <a:xfrm>
              <a:off x="3876675" y="114223800"/>
              <a:ext cx="647701" cy="123826"/>
              <a:chOff x="3876675" y="117252750"/>
              <a:chExt cx="647701" cy="123826"/>
            </a:xfrm>
          </xdr:grpSpPr>
          <xdr:sp macro="" textlink="">
            <xdr:nvSpPr>
              <xdr:cNvPr id="8625" name="Check Box 1457" hidden="1">
                <a:extLst>
                  <a:ext uri="{63B3BB69-23CF-44E3-9099-C40C66FF867C}">
                    <a14:compatExt spid="_x0000_s8625"/>
                  </a:ext>
                </a:extLst>
              </xdr:cNvPr>
              <xdr:cNvSpPr/>
            </xdr:nvSpPr>
            <xdr:spPr bwMode="auto">
              <a:xfrm>
                <a:off x="3876675" y="1172718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26" name="Check Box 1458" hidden="1">
                <a:extLst>
                  <a:ext uri="{63B3BB69-23CF-44E3-9099-C40C66FF867C}">
                    <a14:compatExt spid="_x0000_s8626"/>
                  </a:ext>
                </a:extLst>
              </xdr:cNvPr>
              <xdr:cNvSpPr/>
            </xdr:nvSpPr>
            <xdr:spPr bwMode="auto">
              <a:xfrm>
                <a:off x="4105276" y="1172622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27" name="Check Box 1459" hidden="1">
                <a:extLst>
                  <a:ext uri="{63B3BB69-23CF-44E3-9099-C40C66FF867C}">
                    <a14:compatExt spid="_x0000_s8627"/>
                  </a:ext>
                </a:extLst>
              </xdr:cNvPr>
              <xdr:cNvSpPr/>
            </xdr:nvSpPr>
            <xdr:spPr bwMode="auto">
              <a:xfrm>
                <a:off x="4371976" y="1172527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482</xdr:row>
          <xdr:rowOff>0</xdr:rowOff>
        </xdr:from>
        <xdr:to>
          <xdr:col>5</xdr:col>
          <xdr:colOff>133351</xdr:colOff>
          <xdr:row>482</xdr:row>
          <xdr:rowOff>123826</xdr:rowOff>
        </xdr:to>
        <xdr:grpSp>
          <xdr:nvGrpSpPr>
            <xdr:cNvPr id="1156" name="Group 1155"/>
            <xdr:cNvGrpSpPr/>
          </xdr:nvGrpSpPr>
          <xdr:grpSpPr>
            <a:xfrm>
              <a:off x="3876675" y="114385725"/>
              <a:ext cx="647701" cy="123826"/>
              <a:chOff x="3876675" y="117414675"/>
              <a:chExt cx="647701" cy="123826"/>
            </a:xfrm>
          </xdr:grpSpPr>
          <xdr:sp macro="" textlink="">
            <xdr:nvSpPr>
              <xdr:cNvPr id="8628" name="Check Box 1460" hidden="1">
                <a:extLst>
                  <a:ext uri="{63B3BB69-23CF-44E3-9099-C40C66FF867C}">
                    <a14:compatExt spid="_x0000_s8628"/>
                  </a:ext>
                </a:extLst>
              </xdr:cNvPr>
              <xdr:cNvSpPr/>
            </xdr:nvSpPr>
            <xdr:spPr bwMode="auto">
              <a:xfrm>
                <a:off x="3876675" y="1174337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29" name="Check Box 1461" hidden="1">
                <a:extLst>
                  <a:ext uri="{63B3BB69-23CF-44E3-9099-C40C66FF867C}">
                    <a14:compatExt spid="_x0000_s8629"/>
                  </a:ext>
                </a:extLst>
              </xdr:cNvPr>
              <xdr:cNvSpPr/>
            </xdr:nvSpPr>
            <xdr:spPr bwMode="auto">
              <a:xfrm>
                <a:off x="4105276" y="1174242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30" name="Check Box 1462" hidden="1">
                <a:extLst>
                  <a:ext uri="{63B3BB69-23CF-44E3-9099-C40C66FF867C}">
                    <a14:compatExt spid="_x0000_s8630"/>
                  </a:ext>
                </a:extLst>
              </xdr:cNvPr>
              <xdr:cNvSpPr/>
            </xdr:nvSpPr>
            <xdr:spPr bwMode="auto">
              <a:xfrm>
                <a:off x="4371976" y="1174146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483</xdr:row>
          <xdr:rowOff>0</xdr:rowOff>
        </xdr:from>
        <xdr:to>
          <xdr:col>5</xdr:col>
          <xdr:colOff>133351</xdr:colOff>
          <xdr:row>483</xdr:row>
          <xdr:rowOff>123826</xdr:rowOff>
        </xdr:to>
        <xdr:grpSp>
          <xdr:nvGrpSpPr>
            <xdr:cNvPr id="1157" name="Group 1156"/>
            <xdr:cNvGrpSpPr/>
          </xdr:nvGrpSpPr>
          <xdr:grpSpPr>
            <a:xfrm>
              <a:off x="3876675" y="114547650"/>
              <a:ext cx="647701" cy="123826"/>
              <a:chOff x="3876675" y="117576600"/>
              <a:chExt cx="647701" cy="123826"/>
            </a:xfrm>
          </xdr:grpSpPr>
          <xdr:sp macro="" textlink="">
            <xdr:nvSpPr>
              <xdr:cNvPr id="8631" name="Check Box 1463" hidden="1">
                <a:extLst>
                  <a:ext uri="{63B3BB69-23CF-44E3-9099-C40C66FF867C}">
                    <a14:compatExt spid="_x0000_s8631"/>
                  </a:ext>
                </a:extLst>
              </xdr:cNvPr>
              <xdr:cNvSpPr/>
            </xdr:nvSpPr>
            <xdr:spPr bwMode="auto">
              <a:xfrm>
                <a:off x="3876675" y="1175956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32" name="Check Box 1464" hidden="1">
                <a:extLst>
                  <a:ext uri="{63B3BB69-23CF-44E3-9099-C40C66FF867C}">
                    <a14:compatExt spid="_x0000_s8632"/>
                  </a:ext>
                </a:extLst>
              </xdr:cNvPr>
              <xdr:cNvSpPr/>
            </xdr:nvSpPr>
            <xdr:spPr bwMode="auto">
              <a:xfrm>
                <a:off x="4105276" y="1175861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33" name="Check Box 1465" hidden="1">
                <a:extLst>
                  <a:ext uri="{63B3BB69-23CF-44E3-9099-C40C66FF867C}">
                    <a14:compatExt spid="_x0000_s8633"/>
                  </a:ext>
                </a:extLst>
              </xdr:cNvPr>
              <xdr:cNvSpPr/>
            </xdr:nvSpPr>
            <xdr:spPr bwMode="auto">
              <a:xfrm>
                <a:off x="4371976" y="1175766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484</xdr:row>
          <xdr:rowOff>0</xdr:rowOff>
        </xdr:from>
        <xdr:to>
          <xdr:col>5</xdr:col>
          <xdr:colOff>133351</xdr:colOff>
          <xdr:row>484</xdr:row>
          <xdr:rowOff>123826</xdr:rowOff>
        </xdr:to>
        <xdr:grpSp>
          <xdr:nvGrpSpPr>
            <xdr:cNvPr id="1158" name="Group 1157"/>
            <xdr:cNvGrpSpPr/>
          </xdr:nvGrpSpPr>
          <xdr:grpSpPr>
            <a:xfrm>
              <a:off x="3876675" y="114747675"/>
              <a:ext cx="647701" cy="123826"/>
              <a:chOff x="3876675" y="117776625"/>
              <a:chExt cx="647701" cy="123826"/>
            </a:xfrm>
          </xdr:grpSpPr>
          <xdr:sp macro="" textlink="">
            <xdr:nvSpPr>
              <xdr:cNvPr id="8634" name="Check Box 1466" hidden="1">
                <a:extLst>
                  <a:ext uri="{63B3BB69-23CF-44E3-9099-C40C66FF867C}">
                    <a14:compatExt spid="_x0000_s8634"/>
                  </a:ext>
                </a:extLst>
              </xdr:cNvPr>
              <xdr:cNvSpPr/>
            </xdr:nvSpPr>
            <xdr:spPr bwMode="auto">
              <a:xfrm>
                <a:off x="3876675" y="1177956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35" name="Check Box 1467" hidden="1">
                <a:extLst>
                  <a:ext uri="{63B3BB69-23CF-44E3-9099-C40C66FF867C}">
                    <a14:compatExt spid="_x0000_s8635"/>
                  </a:ext>
                </a:extLst>
              </xdr:cNvPr>
              <xdr:cNvSpPr/>
            </xdr:nvSpPr>
            <xdr:spPr bwMode="auto">
              <a:xfrm>
                <a:off x="4105276" y="1177861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36" name="Check Box 1468" hidden="1">
                <a:extLst>
                  <a:ext uri="{63B3BB69-23CF-44E3-9099-C40C66FF867C}">
                    <a14:compatExt spid="_x0000_s8636"/>
                  </a:ext>
                </a:extLst>
              </xdr:cNvPr>
              <xdr:cNvSpPr/>
            </xdr:nvSpPr>
            <xdr:spPr bwMode="auto">
              <a:xfrm>
                <a:off x="4371976" y="1177766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499</xdr:row>
          <xdr:rowOff>0</xdr:rowOff>
        </xdr:from>
        <xdr:to>
          <xdr:col>5</xdr:col>
          <xdr:colOff>133351</xdr:colOff>
          <xdr:row>499</xdr:row>
          <xdr:rowOff>123826</xdr:rowOff>
        </xdr:to>
        <xdr:grpSp>
          <xdr:nvGrpSpPr>
            <xdr:cNvPr id="1163" name="Group 1162"/>
            <xdr:cNvGrpSpPr/>
          </xdr:nvGrpSpPr>
          <xdr:grpSpPr>
            <a:xfrm>
              <a:off x="3876675" y="118376700"/>
              <a:ext cx="647701" cy="123826"/>
              <a:chOff x="3876675" y="121243725"/>
              <a:chExt cx="647701" cy="123826"/>
            </a:xfrm>
          </xdr:grpSpPr>
          <xdr:sp macro="" textlink="">
            <xdr:nvSpPr>
              <xdr:cNvPr id="8637" name="Check Box 1469" hidden="1">
                <a:extLst>
                  <a:ext uri="{63B3BB69-23CF-44E3-9099-C40C66FF867C}">
                    <a14:compatExt spid="_x0000_s8637"/>
                  </a:ext>
                </a:extLst>
              </xdr:cNvPr>
              <xdr:cNvSpPr/>
            </xdr:nvSpPr>
            <xdr:spPr bwMode="auto">
              <a:xfrm>
                <a:off x="3876675" y="1212627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38" name="Check Box 1470" hidden="1">
                <a:extLst>
                  <a:ext uri="{63B3BB69-23CF-44E3-9099-C40C66FF867C}">
                    <a14:compatExt spid="_x0000_s8638"/>
                  </a:ext>
                </a:extLst>
              </xdr:cNvPr>
              <xdr:cNvSpPr/>
            </xdr:nvSpPr>
            <xdr:spPr bwMode="auto">
              <a:xfrm>
                <a:off x="4105276" y="1212532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39" name="Check Box 1471" hidden="1">
                <a:extLst>
                  <a:ext uri="{63B3BB69-23CF-44E3-9099-C40C66FF867C}">
                    <a14:compatExt spid="_x0000_s8639"/>
                  </a:ext>
                </a:extLst>
              </xdr:cNvPr>
              <xdr:cNvSpPr/>
            </xdr:nvSpPr>
            <xdr:spPr bwMode="auto">
              <a:xfrm>
                <a:off x="4371976" y="1212437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502</xdr:row>
          <xdr:rowOff>0</xdr:rowOff>
        </xdr:from>
        <xdr:to>
          <xdr:col>5</xdr:col>
          <xdr:colOff>133351</xdr:colOff>
          <xdr:row>502</xdr:row>
          <xdr:rowOff>123826</xdr:rowOff>
        </xdr:to>
        <xdr:grpSp>
          <xdr:nvGrpSpPr>
            <xdr:cNvPr id="1162" name="Group 1161"/>
            <xdr:cNvGrpSpPr/>
          </xdr:nvGrpSpPr>
          <xdr:grpSpPr>
            <a:xfrm>
              <a:off x="3876675" y="119024400"/>
              <a:ext cx="647701" cy="123826"/>
              <a:chOff x="3876675" y="121891425"/>
              <a:chExt cx="647701" cy="123826"/>
            </a:xfrm>
          </xdr:grpSpPr>
          <xdr:sp macro="" textlink="">
            <xdr:nvSpPr>
              <xdr:cNvPr id="8640" name="Check Box 1472" hidden="1">
                <a:extLst>
                  <a:ext uri="{63B3BB69-23CF-44E3-9099-C40C66FF867C}">
                    <a14:compatExt spid="_x0000_s8640"/>
                  </a:ext>
                </a:extLst>
              </xdr:cNvPr>
              <xdr:cNvSpPr/>
            </xdr:nvSpPr>
            <xdr:spPr bwMode="auto">
              <a:xfrm>
                <a:off x="3876675" y="1219104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41" name="Check Box 1473" hidden="1">
                <a:extLst>
                  <a:ext uri="{63B3BB69-23CF-44E3-9099-C40C66FF867C}">
                    <a14:compatExt spid="_x0000_s8641"/>
                  </a:ext>
                </a:extLst>
              </xdr:cNvPr>
              <xdr:cNvSpPr/>
            </xdr:nvSpPr>
            <xdr:spPr bwMode="auto">
              <a:xfrm>
                <a:off x="4105276" y="1219009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42" name="Check Box 1474" hidden="1">
                <a:extLst>
                  <a:ext uri="{63B3BB69-23CF-44E3-9099-C40C66FF867C}">
                    <a14:compatExt spid="_x0000_s8642"/>
                  </a:ext>
                </a:extLst>
              </xdr:cNvPr>
              <xdr:cNvSpPr/>
            </xdr:nvSpPr>
            <xdr:spPr bwMode="auto">
              <a:xfrm>
                <a:off x="4371976" y="1218914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505</xdr:row>
          <xdr:rowOff>0</xdr:rowOff>
        </xdr:from>
        <xdr:to>
          <xdr:col>5</xdr:col>
          <xdr:colOff>133351</xdr:colOff>
          <xdr:row>505</xdr:row>
          <xdr:rowOff>123826</xdr:rowOff>
        </xdr:to>
        <xdr:grpSp>
          <xdr:nvGrpSpPr>
            <xdr:cNvPr id="1161" name="Group 1160"/>
            <xdr:cNvGrpSpPr/>
          </xdr:nvGrpSpPr>
          <xdr:grpSpPr>
            <a:xfrm>
              <a:off x="3876675" y="119672100"/>
              <a:ext cx="647701" cy="123826"/>
              <a:chOff x="3876675" y="122539125"/>
              <a:chExt cx="647701" cy="123826"/>
            </a:xfrm>
          </xdr:grpSpPr>
          <xdr:sp macro="" textlink="">
            <xdr:nvSpPr>
              <xdr:cNvPr id="8643" name="Check Box 1475" hidden="1">
                <a:extLst>
                  <a:ext uri="{63B3BB69-23CF-44E3-9099-C40C66FF867C}">
                    <a14:compatExt spid="_x0000_s8643"/>
                  </a:ext>
                </a:extLst>
              </xdr:cNvPr>
              <xdr:cNvSpPr/>
            </xdr:nvSpPr>
            <xdr:spPr bwMode="auto">
              <a:xfrm>
                <a:off x="3876675" y="1225581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44" name="Check Box 1476" hidden="1">
                <a:extLst>
                  <a:ext uri="{63B3BB69-23CF-44E3-9099-C40C66FF867C}">
                    <a14:compatExt spid="_x0000_s8644"/>
                  </a:ext>
                </a:extLst>
              </xdr:cNvPr>
              <xdr:cNvSpPr/>
            </xdr:nvSpPr>
            <xdr:spPr bwMode="auto">
              <a:xfrm>
                <a:off x="4105276" y="1225486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45" name="Check Box 1477" hidden="1">
                <a:extLst>
                  <a:ext uri="{63B3BB69-23CF-44E3-9099-C40C66FF867C}">
                    <a14:compatExt spid="_x0000_s8645"/>
                  </a:ext>
                </a:extLst>
              </xdr:cNvPr>
              <xdr:cNvSpPr/>
            </xdr:nvSpPr>
            <xdr:spPr bwMode="auto">
              <a:xfrm>
                <a:off x="4371976" y="1225391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506</xdr:row>
          <xdr:rowOff>0</xdr:rowOff>
        </xdr:from>
        <xdr:to>
          <xdr:col>5</xdr:col>
          <xdr:colOff>133351</xdr:colOff>
          <xdr:row>506</xdr:row>
          <xdr:rowOff>123826</xdr:rowOff>
        </xdr:to>
        <xdr:grpSp>
          <xdr:nvGrpSpPr>
            <xdr:cNvPr id="1160" name="Group 1159"/>
            <xdr:cNvGrpSpPr/>
          </xdr:nvGrpSpPr>
          <xdr:grpSpPr>
            <a:xfrm>
              <a:off x="3876675" y="119995950"/>
              <a:ext cx="647701" cy="123826"/>
              <a:chOff x="3876675" y="122862975"/>
              <a:chExt cx="647701" cy="123826"/>
            </a:xfrm>
          </xdr:grpSpPr>
          <xdr:sp macro="" textlink="">
            <xdr:nvSpPr>
              <xdr:cNvPr id="8646" name="Check Box 1478" hidden="1">
                <a:extLst>
                  <a:ext uri="{63B3BB69-23CF-44E3-9099-C40C66FF867C}">
                    <a14:compatExt spid="_x0000_s8646"/>
                  </a:ext>
                </a:extLst>
              </xdr:cNvPr>
              <xdr:cNvSpPr/>
            </xdr:nvSpPr>
            <xdr:spPr bwMode="auto">
              <a:xfrm>
                <a:off x="3876675" y="1228820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47" name="Check Box 1479" hidden="1">
                <a:extLst>
                  <a:ext uri="{63B3BB69-23CF-44E3-9099-C40C66FF867C}">
                    <a14:compatExt spid="_x0000_s8647"/>
                  </a:ext>
                </a:extLst>
              </xdr:cNvPr>
              <xdr:cNvSpPr/>
            </xdr:nvSpPr>
            <xdr:spPr bwMode="auto">
              <a:xfrm>
                <a:off x="4105276" y="1228725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48" name="Check Box 1480" hidden="1">
                <a:extLst>
                  <a:ext uri="{63B3BB69-23CF-44E3-9099-C40C66FF867C}">
                    <a14:compatExt spid="_x0000_s8648"/>
                  </a:ext>
                </a:extLst>
              </xdr:cNvPr>
              <xdr:cNvSpPr/>
            </xdr:nvSpPr>
            <xdr:spPr bwMode="auto">
              <a:xfrm>
                <a:off x="4371976" y="1228629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526</xdr:row>
          <xdr:rowOff>0</xdr:rowOff>
        </xdr:from>
        <xdr:to>
          <xdr:col>5</xdr:col>
          <xdr:colOff>133351</xdr:colOff>
          <xdr:row>526</xdr:row>
          <xdr:rowOff>123826</xdr:rowOff>
        </xdr:to>
        <xdr:grpSp>
          <xdr:nvGrpSpPr>
            <xdr:cNvPr id="1164" name="Group 1163"/>
            <xdr:cNvGrpSpPr/>
          </xdr:nvGrpSpPr>
          <xdr:grpSpPr>
            <a:xfrm>
              <a:off x="3876675" y="125396625"/>
              <a:ext cx="647701" cy="123826"/>
              <a:chOff x="3876675" y="128425575"/>
              <a:chExt cx="647701" cy="123826"/>
            </a:xfrm>
          </xdr:grpSpPr>
          <xdr:sp macro="" textlink="">
            <xdr:nvSpPr>
              <xdr:cNvPr id="8649" name="Check Box 1481" hidden="1">
                <a:extLst>
                  <a:ext uri="{63B3BB69-23CF-44E3-9099-C40C66FF867C}">
                    <a14:compatExt spid="_x0000_s8649"/>
                  </a:ext>
                </a:extLst>
              </xdr:cNvPr>
              <xdr:cNvSpPr/>
            </xdr:nvSpPr>
            <xdr:spPr bwMode="auto">
              <a:xfrm>
                <a:off x="3876675" y="1284446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50" name="Check Box 1482" hidden="1">
                <a:extLst>
                  <a:ext uri="{63B3BB69-23CF-44E3-9099-C40C66FF867C}">
                    <a14:compatExt spid="_x0000_s8650"/>
                  </a:ext>
                </a:extLst>
              </xdr:cNvPr>
              <xdr:cNvSpPr/>
            </xdr:nvSpPr>
            <xdr:spPr bwMode="auto">
              <a:xfrm>
                <a:off x="4105276" y="1284351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51" name="Check Box 1483" hidden="1">
                <a:extLst>
                  <a:ext uri="{63B3BB69-23CF-44E3-9099-C40C66FF867C}">
                    <a14:compatExt spid="_x0000_s8651"/>
                  </a:ext>
                </a:extLst>
              </xdr:cNvPr>
              <xdr:cNvSpPr/>
            </xdr:nvSpPr>
            <xdr:spPr bwMode="auto">
              <a:xfrm>
                <a:off x="4371976" y="1284255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508</xdr:row>
          <xdr:rowOff>0</xdr:rowOff>
        </xdr:from>
        <xdr:to>
          <xdr:col>5</xdr:col>
          <xdr:colOff>133351</xdr:colOff>
          <xdr:row>508</xdr:row>
          <xdr:rowOff>123826</xdr:rowOff>
        </xdr:to>
        <xdr:grpSp>
          <xdr:nvGrpSpPr>
            <xdr:cNvPr id="1169" name="Group 1168"/>
            <xdr:cNvGrpSpPr/>
          </xdr:nvGrpSpPr>
          <xdr:grpSpPr>
            <a:xfrm>
              <a:off x="3876675" y="120643650"/>
              <a:ext cx="647701" cy="123826"/>
              <a:chOff x="3876675" y="123510675"/>
              <a:chExt cx="647701" cy="123826"/>
            </a:xfrm>
          </xdr:grpSpPr>
          <xdr:sp macro="" textlink="">
            <xdr:nvSpPr>
              <xdr:cNvPr id="8655" name="Check Box 1487" hidden="1">
                <a:extLst>
                  <a:ext uri="{63B3BB69-23CF-44E3-9099-C40C66FF867C}">
                    <a14:compatExt spid="_x0000_s8655"/>
                  </a:ext>
                </a:extLst>
              </xdr:cNvPr>
              <xdr:cNvSpPr/>
            </xdr:nvSpPr>
            <xdr:spPr bwMode="auto">
              <a:xfrm>
                <a:off x="3876675" y="1235297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56" name="Check Box 1488" hidden="1">
                <a:extLst>
                  <a:ext uri="{63B3BB69-23CF-44E3-9099-C40C66FF867C}">
                    <a14:compatExt spid="_x0000_s8656"/>
                  </a:ext>
                </a:extLst>
              </xdr:cNvPr>
              <xdr:cNvSpPr/>
            </xdr:nvSpPr>
            <xdr:spPr bwMode="auto">
              <a:xfrm>
                <a:off x="4105276" y="1235202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57" name="Check Box 1489" hidden="1">
                <a:extLst>
                  <a:ext uri="{63B3BB69-23CF-44E3-9099-C40C66FF867C}">
                    <a14:compatExt spid="_x0000_s8657"/>
                  </a:ext>
                </a:extLst>
              </xdr:cNvPr>
              <xdr:cNvSpPr/>
            </xdr:nvSpPr>
            <xdr:spPr bwMode="auto">
              <a:xfrm>
                <a:off x="4371976" y="1235106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510</xdr:row>
          <xdr:rowOff>0</xdr:rowOff>
        </xdr:from>
        <xdr:to>
          <xdr:col>5</xdr:col>
          <xdr:colOff>133351</xdr:colOff>
          <xdr:row>510</xdr:row>
          <xdr:rowOff>123826</xdr:rowOff>
        </xdr:to>
        <xdr:grpSp>
          <xdr:nvGrpSpPr>
            <xdr:cNvPr id="1166" name="Group 1165"/>
            <xdr:cNvGrpSpPr/>
          </xdr:nvGrpSpPr>
          <xdr:grpSpPr>
            <a:xfrm>
              <a:off x="3876675" y="121291350"/>
              <a:ext cx="647701" cy="123826"/>
              <a:chOff x="3876675" y="124158375"/>
              <a:chExt cx="647701" cy="123826"/>
            </a:xfrm>
          </xdr:grpSpPr>
          <xdr:sp macro="" textlink="">
            <xdr:nvSpPr>
              <xdr:cNvPr id="8658" name="Check Box 1490" hidden="1">
                <a:extLst>
                  <a:ext uri="{63B3BB69-23CF-44E3-9099-C40C66FF867C}">
                    <a14:compatExt spid="_x0000_s8658"/>
                  </a:ext>
                </a:extLst>
              </xdr:cNvPr>
              <xdr:cNvSpPr/>
            </xdr:nvSpPr>
            <xdr:spPr bwMode="auto">
              <a:xfrm>
                <a:off x="3876675" y="1241774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59" name="Check Box 1491" hidden="1">
                <a:extLst>
                  <a:ext uri="{63B3BB69-23CF-44E3-9099-C40C66FF867C}">
                    <a14:compatExt spid="_x0000_s8659"/>
                  </a:ext>
                </a:extLst>
              </xdr:cNvPr>
              <xdr:cNvSpPr/>
            </xdr:nvSpPr>
            <xdr:spPr bwMode="auto">
              <a:xfrm>
                <a:off x="4105276" y="1241679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60" name="Check Box 1492" hidden="1">
                <a:extLst>
                  <a:ext uri="{63B3BB69-23CF-44E3-9099-C40C66FF867C}">
                    <a14:compatExt spid="_x0000_s8660"/>
                  </a:ext>
                </a:extLst>
              </xdr:cNvPr>
              <xdr:cNvSpPr/>
            </xdr:nvSpPr>
            <xdr:spPr bwMode="auto">
              <a:xfrm>
                <a:off x="4371976" y="1241583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511</xdr:row>
          <xdr:rowOff>0</xdr:rowOff>
        </xdr:from>
        <xdr:to>
          <xdr:col>5</xdr:col>
          <xdr:colOff>133351</xdr:colOff>
          <xdr:row>511</xdr:row>
          <xdr:rowOff>123826</xdr:rowOff>
        </xdr:to>
        <xdr:grpSp>
          <xdr:nvGrpSpPr>
            <xdr:cNvPr id="1173" name="Group 1172"/>
            <xdr:cNvGrpSpPr/>
          </xdr:nvGrpSpPr>
          <xdr:grpSpPr>
            <a:xfrm>
              <a:off x="3876675" y="121615200"/>
              <a:ext cx="647701" cy="123826"/>
              <a:chOff x="3876675" y="124482225"/>
              <a:chExt cx="647701" cy="123826"/>
            </a:xfrm>
          </xdr:grpSpPr>
          <xdr:sp macro="" textlink="">
            <xdr:nvSpPr>
              <xdr:cNvPr id="8661" name="Check Box 1493" hidden="1">
                <a:extLst>
                  <a:ext uri="{63B3BB69-23CF-44E3-9099-C40C66FF867C}">
                    <a14:compatExt spid="_x0000_s8661"/>
                  </a:ext>
                </a:extLst>
              </xdr:cNvPr>
              <xdr:cNvSpPr/>
            </xdr:nvSpPr>
            <xdr:spPr bwMode="auto">
              <a:xfrm>
                <a:off x="3876675" y="1245012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62" name="Check Box 1494" hidden="1">
                <a:extLst>
                  <a:ext uri="{63B3BB69-23CF-44E3-9099-C40C66FF867C}">
                    <a14:compatExt spid="_x0000_s8662"/>
                  </a:ext>
                </a:extLst>
              </xdr:cNvPr>
              <xdr:cNvSpPr/>
            </xdr:nvSpPr>
            <xdr:spPr bwMode="auto">
              <a:xfrm>
                <a:off x="4105276" y="1244917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63" name="Check Box 1495" hidden="1">
                <a:extLst>
                  <a:ext uri="{63B3BB69-23CF-44E3-9099-C40C66FF867C}">
                    <a14:compatExt spid="_x0000_s8663"/>
                  </a:ext>
                </a:extLst>
              </xdr:cNvPr>
              <xdr:cNvSpPr/>
            </xdr:nvSpPr>
            <xdr:spPr bwMode="auto">
              <a:xfrm>
                <a:off x="4371976" y="1244822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512</xdr:row>
          <xdr:rowOff>0</xdr:rowOff>
        </xdr:from>
        <xdr:to>
          <xdr:col>5</xdr:col>
          <xdr:colOff>133351</xdr:colOff>
          <xdr:row>512</xdr:row>
          <xdr:rowOff>123826</xdr:rowOff>
        </xdr:to>
        <xdr:grpSp>
          <xdr:nvGrpSpPr>
            <xdr:cNvPr id="1171" name="Group 1170"/>
            <xdr:cNvGrpSpPr/>
          </xdr:nvGrpSpPr>
          <xdr:grpSpPr>
            <a:xfrm>
              <a:off x="3876675" y="121910475"/>
              <a:ext cx="647701" cy="123826"/>
              <a:chOff x="3876675" y="124777500"/>
              <a:chExt cx="647701" cy="123826"/>
            </a:xfrm>
          </xdr:grpSpPr>
          <xdr:sp macro="" textlink="">
            <xdr:nvSpPr>
              <xdr:cNvPr id="8664" name="Check Box 1496" hidden="1">
                <a:extLst>
                  <a:ext uri="{63B3BB69-23CF-44E3-9099-C40C66FF867C}">
                    <a14:compatExt spid="_x0000_s8664"/>
                  </a:ext>
                </a:extLst>
              </xdr:cNvPr>
              <xdr:cNvSpPr/>
            </xdr:nvSpPr>
            <xdr:spPr bwMode="auto">
              <a:xfrm>
                <a:off x="3876675" y="1247965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65" name="Check Box 1497" hidden="1">
                <a:extLst>
                  <a:ext uri="{63B3BB69-23CF-44E3-9099-C40C66FF867C}">
                    <a14:compatExt spid="_x0000_s8665"/>
                  </a:ext>
                </a:extLst>
              </xdr:cNvPr>
              <xdr:cNvSpPr/>
            </xdr:nvSpPr>
            <xdr:spPr bwMode="auto">
              <a:xfrm>
                <a:off x="4105276" y="1247870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66" name="Check Box 1498" hidden="1">
                <a:extLst>
                  <a:ext uri="{63B3BB69-23CF-44E3-9099-C40C66FF867C}">
                    <a14:compatExt spid="_x0000_s8666"/>
                  </a:ext>
                </a:extLst>
              </xdr:cNvPr>
              <xdr:cNvSpPr/>
            </xdr:nvSpPr>
            <xdr:spPr bwMode="auto">
              <a:xfrm>
                <a:off x="4371976" y="1247775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513</xdr:row>
          <xdr:rowOff>0</xdr:rowOff>
        </xdr:from>
        <xdr:to>
          <xdr:col>5</xdr:col>
          <xdr:colOff>133351</xdr:colOff>
          <xdr:row>513</xdr:row>
          <xdr:rowOff>123826</xdr:rowOff>
        </xdr:to>
        <xdr:grpSp>
          <xdr:nvGrpSpPr>
            <xdr:cNvPr id="1170" name="Group 1169"/>
            <xdr:cNvGrpSpPr/>
          </xdr:nvGrpSpPr>
          <xdr:grpSpPr>
            <a:xfrm>
              <a:off x="3876675" y="122072400"/>
              <a:ext cx="647701" cy="123826"/>
              <a:chOff x="3876675" y="124939425"/>
              <a:chExt cx="647701" cy="123826"/>
            </a:xfrm>
          </xdr:grpSpPr>
          <xdr:sp macro="" textlink="">
            <xdr:nvSpPr>
              <xdr:cNvPr id="8670" name="Check Box 1502" hidden="1">
                <a:extLst>
                  <a:ext uri="{63B3BB69-23CF-44E3-9099-C40C66FF867C}">
                    <a14:compatExt spid="_x0000_s8670"/>
                  </a:ext>
                </a:extLst>
              </xdr:cNvPr>
              <xdr:cNvSpPr/>
            </xdr:nvSpPr>
            <xdr:spPr bwMode="auto">
              <a:xfrm>
                <a:off x="3876675" y="1249584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71" name="Check Box 1503" hidden="1">
                <a:extLst>
                  <a:ext uri="{63B3BB69-23CF-44E3-9099-C40C66FF867C}">
                    <a14:compatExt spid="_x0000_s8671"/>
                  </a:ext>
                </a:extLst>
              </xdr:cNvPr>
              <xdr:cNvSpPr/>
            </xdr:nvSpPr>
            <xdr:spPr bwMode="auto">
              <a:xfrm>
                <a:off x="4105276" y="1249489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72" name="Check Box 1504" hidden="1">
                <a:extLst>
                  <a:ext uri="{63B3BB69-23CF-44E3-9099-C40C66FF867C}">
                    <a14:compatExt spid="_x0000_s8672"/>
                  </a:ext>
                </a:extLst>
              </xdr:cNvPr>
              <xdr:cNvSpPr/>
            </xdr:nvSpPr>
            <xdr:spPr bwMode="auto">
              <a:xfrm>
                <a:off x="4371976" y="1249394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521</xdr:row>
          <xdr:rowOff>0</xdr:rowOff>
        </xdr:from>
        <xdr:to>
          <xdr:col>5</xdr:col>
          <xdr:colOff>133351</xdr:colOff>
          <xdr:row>521</xdr:row>
          <xdr:rowOff>123826</xdr:rowOff>
        </xdr:to>
        <xdr:grpSp>
          <xdr:nvGrpSpPr>
            <xdr:cNvPr id="1178" name="Group 1177"/>
            <xdr:cNvGrpSpPr/>
          </xdr:nvGrpSpPr>
          <xdr:grpSpPr>
            <a:xfrm>
              <a:off x="3876675" y="124206000"/>
              <a:ext cx="647701" cy="123826"/>
              <a:chOff x="3876675" y="127234950"/>
              <a:chExt cx="647701" cy="123826"/>
            </a:xfrm>
          </xdr:grpSpPr>
          <xdr:sp macro="" textlink="">
            <xdr:nvSpPr>
              <xdr:cNvPr id="8673" name="Check Box 1505" hidden="1">
                <a:extLst>
                  <a:ext uri="{63B3BB69-23CF-44E3-9099-C40C66FF867C}">
                    <a14:compatExt spid="_x0000_s8673"/>
                  </a:ext>
                </a:extLst>
              </xdr:cNvPr>
              <xdr:cNvSpPr/>
            </xdr:nvSpPr>
            <xdr:spPr bwMode="auto">
              <a:xfrm>
                <a:off x="3876675" y="1272540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74" name="Check Box 1506" hidden="1">
                <a:extLst>
                  <a:ext uri="{63B3BB69-23CF-44E3-9099-C40C66FF867C}">
                    <a14:compatExt spid="_x0000_s8674"/>
                  </a:ext>
                </a:extLst>
              </xdr:cNvPr>
              <xdr:cNvSpPr/>
            </xdr:nvSpPr>
            <xdr:spPr bwMode="auto">
              <a:xfrm>
                <a:off x="4105276" y="1272444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75" name="Check Box 1507" hidden="1">
                <a:extLst>
                  <a:ext uri="{63B3BB69-23CF-44E3-9099-C40C66FF867C}">
                    <a14:compatExt spid="_x0000_s8675"/>
                  </a:ext>
                </a:extLst>
              </xdr:cNvPr>
              <xdr:cNvSpPr/>
            </xdr:nvSpPr>
            <xdr:spPr bwMode="auto">
              <a:xfrm>
                <a:off x="4371976" y="1272349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522</xdr:row>
          <xdr:rowOff>0</xdr:rowOff>
        </xdr:from>
        <xdr:to>
          <xdr:col>5</xdr:col>
          <xdr:colOff>133351</xdr:colOff>
          <xdr:row>522</xdr:row>
          <xdr:rowOff>123826</xdr:rowOff>
        </xdr:to>
        <xdr:grpSp>
          <xdr:nvGrpSpPr>
            <xdr:cNvPr id="1176" name="Group 1175"/>
            <xdr:cNvGrpSpPr/>
          </xdr:nvGrpSpPr>
          <xdr:grpSpPr>
            <a:xfrm>
              <a:off x="3876675" y="124529850"/>
              <a:ext cx="647701" cy="123826"/>
              <a:chOff x="3876675" y="127558800"/>
              <a:chExt cx="647701" cy="123826"/>
            </a:xfrm>
          </xdr:grpSpPr>
          <xdr:sp macro="" textlink="">
            <xdr:nvSpPr>
              <xdr:cNvPr id="8676" name="Check Box 1508" hidden="1">
                <a:extLst>
                  <a:ext uri="{63B3BB69-23CF-44E3-9099-C40C66FF867C}">
                    <a14:compatExt spid="_x0000_s8676"/>
                  </a:ext>
                </a:extLst>
              </xdr:cNvPr>
              <xdr:cNvSpPr/>
            </xdr:nvSpPr>
            <xdr:spPr bwMode="auto">
              <a:xfrm>
                <a:off x="3876675" y="1275778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77" name="Check Box 1509" hidden="1">
                <a:extLst>
                  <a:ext uri="{63B3BB69-23CF-44E3-9099-C40C66FF867C}">
                    <a14:compatExt spid="_x0000_s8677"/>
                  </a:ext>
                </a:extLst>
              </xdr:cNvPr>
              <xdr:cNvSpPr/>
            </xdr:nvSpPr>
            <xdr:spPr bwMode="auto">
              <a:xfrm>
                <a:off x="4105276" y="1275683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78" name="Check Box 1510" hidden="1">
                <a:extLst>
                  <a:ext uri="{63B3BB69-23CF-44E3-9099-C40C66FF867C}">
                    <a14:compatExt spid="_x0000_s8678"/>
                  </a:ext>
                </a:extLst>
              </xdr:cNvPr>
              <xdr:cNvSpPr/>
            </xdr:nvSpPr>
            <xdr:spPr bwMode="auto">
              <a:xfrm>
                <a:off x="4371976" y="1275588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523</xdr:row>
          <xdr:rowOff>0</xdr:rowOff>
        </xdr:from>
        <xdr:to>
          <xdr:col>5</xdr:col>
          <xdr:colOff>133351</xdr:colOff>
          <xdr:row>523</xdr:row>
          <xdr:rowOff>123826</xdr:rowOff>
        </xdr:to>
        <xdr:grpSp>
          <xdr:nvGrpSpPr>
            <xdr:cNvPr id="1175" name="Group 1174"/>
            <xdr:cNvGrpSpPr/>
          </xdr:nvGrpSpPr>
          <xdr:grpSpPr>
            <a:xfrm>
              <a:off x="3876675" y="124691775"/>
              <a:ext cx="647701" cy="123826"/>
              <a:chOff x="3876675" y="127720725"/>
              <a:chExt cx="647701" cy="123826"/>
            </a:xfrm>
          </xdr:grpSpPr>
          <xdr:sp macro="" textlink="">
            <xdr:nvSpPr>
              <xdr:cNvPr id="8682" name="Check Box 1514" hidden="1">
                <a:extLst>
                  <a:ext uri="{63B3BB69-23CF-44E3-9099-C40C66FF867C}">
                    <a14:compatExt spid="_x0000_s8682"/>
                  </a:ext>
                </a:extLst>
              </xdr:cNvPr>
              <xdr:cNvSpPr/>
            </xdr:nvSpPr>
            <xdr:spPr bwMode="auto">
              <a:xfrm>
                <a:off x="3876675" y="1277397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83" name="Check Box 1515" hidden="1">
                <a:extLst>
                  <a:ext uri="{63B3BB69-23CF-44E3-9099-C40C66FF867C}">
                    <a14:compatExt spid="_x0000_s8683"/>
                  </a:ext>
                </a:extLst>
              </xdr:cNvPr>
              <xdr:cNvSpPr/>
            </xdr:nvSpPr>
            <xdr:spPr bwMode="auto">
              <a:xfrm>
                <a:off x="4105276" y="1277302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84" name="Check Box 1516" hidden="1">
                <a:extLst>
                  <a:ext uri="{63B3BB69-23CF-44E3-9099-C40C66FF867C}">
                    <a14:compatExt spid="_x0000_s8684"/>
                  </a:ext>
                </a:extLst>
              </xdr:cNvPr>
              <xdr:cNvSpPr/>
            </xdr:nvSpPr>
            <xdr:spPr bwMode="auto">
              <a:xfrm>
                <a:off x="4371976" y="1277207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524</xdr:row>
          <xdr:rowOff>0</xdr:rowOff>
        </xdr:from>
        <xdr:to>
          <xdr:col>5</xdr:col>
          <xdr:colOff>133351</xdr:colOff>
          <xdr:row>524</xdr:row>
          <xdr:rowOff>123826</xdr:rowOff>
        </xdr:to>
        <xdr:grpSp>
          <xdr:nvGrpSpPr>
            <xdr:cNvPr id="1174" name="Group 1173"/>
            <xdr:cNvGrpSpPr/>
          </xdr:nvGrpSpPr>
          <xdr:grpSpPr>
            <a:xfrm>
              <a:off x="3876675" y="125177550"/>
              <a:ext cx="647701" cy="123826"/>
              <a:chOff x="3876675" y="128044575"/>
              <a:chExt cx="647701" cy="123826"/>
            </a:xfrm>
          </xdr:grpSpPr>
          <xdr:sp macro="" textlink="">
            <xdr:nvSpPr>
              <xdr:cNvPr id="8688" name="Check Box 1520" hidden="1">
                <a:extLst>
                  <a:ext uri="{63B3BB69-23CF-44E3-9099-C40C66FF867C}">
                    <a14:compatExt spid="_x0000_s8688"/>
                  </a:ext>
                </a:extLst>
              </xdr:cNvPr>
              <xdr:cNvSpPr/>
            </xdr:nvSpPr>
            <xdr:spPr bwMode="auto">
              <a:xfrm>
                <a:off x="3876675" y="1280636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89" name="Check Box 1521" hidden="1">
                <a:extLst>
                  <a:ext uri="{63B3BB69-23CF-44E3-9099-C40C66FF867C}">
                    <a14:compatExt spid="_x0000_s8689"/>
                  </a:ext>
                </a:extLst>
              </xdr:cNvPr>
              <xdr:cNvSpPr/>
            </xdr:nvSpPr>
            <xdr:spPr bwMode="auto">
              <a:xfrm>
                <a:off x="4105276" y="1280541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90" name="Check Box 1522" hidden="1">
                <a:extLst>
                  <a:ext uri="{63B3BB69-23CF-44E3-9099-C40C66FF867C}">
                    <a14:compatExt spid="_x0000_s8690"/>
                  </a:ext>
                </a:extLst>
              </xdr:cNvPr>
              <xdr:cNvSpPr/>
            </xdr:nvSpPr>
            <xdr:spPr bwMode="auto">
              <a:xfrm>
                <a:off x="4371976" y="1280445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515</xdr:row>
          <xdr:rowOff>0</xdr:rowOff>
        </xdr:from>
        <xdr:to>
          <xdr:col>5</xdr:col>
          <xdr:colOff>133351</xdr:colOff>
          <xdr:row>515</xdr:row>
          <xdr:rowOff>123826</xdr:rowOff>
        </xdr:to>
        <xdr:grpSp>
          <xdr:nvGrpSpPr>
            <xdr:cNvPr id="1183" name="Group 1182"/>
            <xdr:cNvGrpSpPr/>
          </xdr:nvGrpSpPr>
          <xdr:grpSpPr>
            <a:xfrm>
              <a:off x="3876675" y="122558175"/>
              <a:ext cx="647701" cy="123826"/>
              <a:chOff x="3876675" y="125425200"/>
              <a:chExt cx="647701" cy="123826"/>
            </a:xfrm>
          </xdr:grpSpPr>
          <xdr:sp macro="" textlink="">
            <xdr:nvSpPr>
              <xdr:cNvPr id="8694" name="Check Box 1526" hidden="1">
                <a:extLst>
                  <a:ext uri="{63B3BB69-23CF-44E3-9099-C40C66FF867C}">
                    <a14:compatExt spid="_x0000_s8694"/>
                  </a:ext>
                </a:extLst>
              </xdr:cNvPr>
              <xdr:cNvSpPr/>
            </xdr:nvSpPr>
            <xdr:spPr bwMode="auto">
              <a:xfrm>
                <a:off x="3876675" y="12544425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95" name="Check Box 1527" hidden="1">
                <a:extLst>
                  <a:ext uri="{63B3BB69-23CF-44E3-9099-C40C66FF867C}">
                    <a14:compatExt spid="_x0000_s8695"/>
                  </a:ext>
                </a:extLst>
              </xdr:cNvPr>
              <xdr:cNvSpPr/>
            </xdr:nvSpPr>
            <xdr:spPr bwMode="auto">
              <a:xfrm>
                <a:off x="4105276" y="1254347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96" name="Check Box 1528" hidden="1">
                <a:extLst>
                  <a:ext uri="{63B3BB69-23CF-44E3-9099-C40C66FF867C}">
                    <a14:compatExt spid="_x0000_s8696"/>
                  </a:ext>
                </a:extLst>
              </xdr:cNvPr>
              <xdr:cNvSpPr/>
            </xdr:nvSpPr>
            <xdr:spPr bwMode="auto">
              <a:xfrm>
                <a:off x="4371976" y="1254252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516</xdr:row>
          <xdr:rowOff>0</xdr:rowOff>
        </xdr:from>
        <xdr:to>
          <xdr:col>5</xdr:col>
          <xdr:colOff>133351</xdr:colOff>
          <xdr:row>516</xdr:row>
          <xdr:rowOff>123826</xdr:rowOff>
        </xdr:to>
        <xdr:grpSp>
          <xdr:nvGrpSpPr>
            <xdr:cNvPr id="1181" name="Group 1180"/>
            <xdr:cNvGrpSpPr/>
          </xdr:nvGrpSpPr>
          <xdr:grpSpPr>
            <a:xfrm>
              <a:off x="3876675" y="122882025"/>
              <a:ext cx="647701" cy="123826"/>
              <a:chOff x="3876675" y="125749050"/>
              <a:chExt cx="647701" cy="123826"/>
            </a:xfrm>
          </xdr:grpSpPr>
          <xdr:sp macro="" textlink="">
            <xdr:nvSpPr>
              <xdr:cNvPr id="8697" name="Check Box 1529" hidden="1">
                <a:extLst>
                  <a:ext uri="{63B3BB69-23CF-44E3-9099-C40C66FF867C}">
                    <a14:compatExt spid="_x0000_s8697"/>
                  </a:ext>
                </a:extLst>
              </xdr:cNvPr>
              <xdr:cNvSpPr/>
            </xdr:nvSpPr>
            <xdr:spPr bwMode="auto">
              <a:xfrm>
                <a:off x="3876675" y="125768100"/>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98" name="Check Box 1530" hidden="1">
                <a:extLst>
                  <a:ext uri="{63B3BB69-23CF-44E3-9099-C40C66FF867C}">
                    <a14:compatExt spid="_x0000_s8698"/>
                  </a:ext>
                </a:extLst>
              </xdr:cNvPr>
              <xdr:cNvSpPr/>
            </xdr:nvSpPr>
            <xdr:spPr bwMode="auto">
              <a:xfrm>
                <a:off x="4105276" y="1257585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699" name="Check Box 1531" hidden="1">
                <a:extLst>
                  <a:ext uri="{63B3BB69-23CF-44E3-9099-C40C66FF867C}">
                    <a14:compatExt spid="_x0000_s8699"/>
                  </a:ext>
                </a:extLst>
              </xdr:cNvPr>
              <xdr:cNvSpPr/>
            </xdr:nvSpPr>
            <xdr:spPr bwMode="auto">
              <a:xfrm>
                <a:off x="4371976" y="1257490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517</xdr:row>
          <xdr:rowOff>0</xdr:rowOff>
        </xdr:from>
        <xdr:to>
          <xdr:col>5</xdr:col>
          <xdr:colOff>133351</xdr:colOff>
          <xdr:row>517</xdr:row>
          <xdr:rowOff>123826</xdr:rowOff>
        </xdr:to>
        <xdr:grpSp>
          <xdr:nvGrpSpPr>
            <xdr:cNvPr id="1180" name="Group 1179"/>
            <xdr:cNvGrpSpPr/>
          </xdr:nvGrpSpPr>
          <xdr:grpSpPr>
            <a:xfrm>
              <a:off x="3876675" y="123234450"/>
              <a:ext cx="647701" cy="123826"/>
              <a:chOff x="3876675" y="126101475"/>
              <a:chExt cx="647701" cy="123826"/>
            </a:xfrm>
          </xdr:grpSpPr>
          <xdr:sp macro="" textlink="">
            <xdr:nvSpPr>
              <xdr:cNvPr id="8703" name="Check Box 1535" hidden="1">
                <a:extLst>
                  <a:ext uri="{63B3BB69-23CF-44E3-9099-C40C66FF867C}">
                    <a14:compatExt spid="_x0000_s8703"/>
                  </a:ext>
                </a:extLst>
              </xdr:cNvPr>
              <xdr:cNvSpPr/>
            </xdr:nvSpPr>
            <xdr:spPr bwMode="auto">
              <a:xfrm>
                <a:off x="3876675" y="12612052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704" name="Check Box 1536" hidden="1">
                <a:extLst>
                  <a:ext uri="{63B3BB69-23CF-44E3-9099-C40C66FF867C}">
                    <a14:compatExt spid="_x0000_s8704"/>
                  </a:ext>
                </a:extLst>
              </xdr:cNvPr>
              <xdr:cNvSpPr/>
            </xdr:nvSpPr>
            <xdr:spPr bwMode="auto">
              <a:xfrm>
                <a:off x="4105276" y="12611100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705" name="Check Box 1537" hidden="1">
                <a:extLst>
                  <a:ext uri="{63B3BB69-23CF-44E3-9099-C40C66FF867C}">
                    <a14:compatExt spid="_x0000_s8705"/>
                  </a:ext>
                </a:extLst>
              </xdr:cNvPr>
              <xdr:cNvSpPr/>
            </xdr:nvSpPr>
            <xdr:spPr bwMode="auto">
              <a:xfrm>
                <a:off x="4371976" y="12610147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518</xdr:row>
          <xdr:rowOff>0</xdr:rowOff>
        </xdr:from>
        <xdr:to>
          <xdr:col>5</xdr:col>
          <xdr:colOff>133351</xdr:colOff>
          <xdr:row>518</xdr:row>
          <xdr:rowOff>123826</xdr:rowOff>
        </xdr:to>
        <xdr:grpSp>
          <xdr:nvGrpSpPr>
            <xdr:cNvPr id="1179" name="Group 1178"/>
            <xdr:cNvGrpSpPr/>
          </xdr:nvGrpSpPr>
          <xdr:grpSpPr>
            <a:xfrm>
              <a:off x="3876675" y="123396375"/>
              <a:ext cx="647701" cy="123826"/>
              <a:chOff x="3876675" y="126425325"/>
              <a:chExt cx="647701" cy="123826"/>
            </a:xfrm>
          </xdr:grpSpPr>
          <xdr:sp macro="" textlink="">
            <xdr:nvSpPr>
              <xdr:cNvPr id="8709" name="Check Box 1541" hidden="1">
                <a:extLst>
                  <a:ext uri="{63B3BB69-23CF-44E3-9099-C40C66FF867C}">
                    <a14:compatExt spid="_x0000_s8709"/>
                  </a:ext>
                </a:extLst>
              </xdr:cNvPr>
              <xdr:cNvSpPr/>
            </xdr:nvSpPr>
            <xdr:spPr bwMode="auto">
              <a:xfrm>
                <a:off x="3876675" y="126444375"/>
                <a:ext cx="152401" cy="1047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710" name="Check Box 1542" hidden="1">
                <a:extLst>
                  <a:ext uri="{63B3BB69-23CF-44E3-9099-C40C66FF867C}">
                    <a14:compatExt spid="_x0000_s8710"/>
                  </a:ext>
                </a:extLst>
              </xdr:cNvPr>
              <xdr:cNvSpPr/>
            </xdr:nvSpPr>
            <xdr:spPr bwMode="auto">
              <a:xfrm>
                <a:off x="4105276" y="126434850"/>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711" name="Check Box 1543" hidden="1">
                <a:extLst>
                  <a:ext uri="{63B3BB69-23CF-44E3-9099-C40C66FF867C}">
                    <a14:compatExt spid="_x0000_s8711"/>
                  </a:ext>
                </a:extLst>
              </xdr:cNvPr>
              <xdr:cNvSpPr/>
            </xdr:nvSpPr>
            <xdr:spPr bwMode="auto">
              <a:xfrm>
                <a:off x="4371976" y="126425325"/>
                <a:ext cx="152400" cy="1047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333375</xdr:colOff>
          <xdr:row>0</xdr:row>
          <xdr:rowOff>38101</xdr:rowOff>
        </xdr:from>
        <xdr:to>
          <xdr:col>2</xdr:col>
          <xdr:colOff>523875</xdr:colOff>
          <xdr:row>1</xdr:row>
          <xdr:rowOff>180975</xdr:rowOff>
        </xdr:to>
        <xdr:grpSp>
          <xdr:nvGrpSpPr>
            <xdr:cNvPr id="1053" name="Group 1052"/>
            <xdr:cNvGrpSpPr/>
          </xdr:nvGrpSpPr>
          <xdr:grpSpPr>
            <a:xfrm>
              <a:off x="1323975" y="38101"/>
              <a:ext cx="190500" cy="390524"/>
              <a:chOff x="1323975" y="38101"/>
              <a:chExt cx="190500" cy="390524"/>
            </a:xfrm>
          </xdr:grpSpPr>
          <xdr:sp macro="" textlink="">
            <xdr:nvSpPr>
              <xdr:cNvPr id="8712" name="Check Box 1544" hidden="1">
                <a:extLst>
                  <a:ext uri="{63B3BB69-23CF-44E3-9099-C40C66FF867C}">
                    <a14:compatExt spid="_x0000_s8712"/>
                  </a:ext>
                </a:extLst>
              </xdr:cNvPr>
              <xdr:cNvSpPr/>
            </xdr:nvSpPr>
            <xdr:spPr bwMode="auto">
              <a:xfrm>
                <a:off x="1323975" y="38101"/>
                <a:ext cx="18097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714" name="Check Box 1546" hidden="1">
                <a:extLst>
                  <a:ext uri="{63B3BB69-23CF-44E3-9099-C40C66FF867C}">
                    <a14:compatExt spid="_x0000_s8714"/>
                  </a:ext>
                </a:extLst>
              </xdr:cNvPr>
              <xdr:cNvSpPr/>
            </xdr:nvSpPr>
            <xdr:spPr bwMode="auto">
              <a:xfrm>
                <a:off x="1323975" y="257175"/>
                <a:ext cx="190500" cy="1714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162</xdr:row>
          <xdr:rowOff>85725</xdr:rowOff>
        </xdr:from>
        <xdr:to>
          <xdr:col>6</xdr:col>
          <xdr:colOff>200025</xdr:colOff>
          <xdr:row>162</xdr:row>
          <xdr:rowOff>257175</xdr:rowOff>
        </xdr:to>
        <xdr:sp macro="" textlink="">
          <xdr:nvSpPr>
            <xdr:cNvPr id="8715" name="Check Box 1547" hidden="1">
              <a:extLst>
                <a:ext uri="{63B3BB69-23CF-44E3-9099-C40C66FF867C}">
                  <a14:compatExt spid="_x0000_s87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wdm1fe\Desktop\OPL%20New%20Approach\OPL_New_Approach_V4.3(MultipleItems%20(Bottom%20part%20pause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wdm1fe\Desktop\OPL_Template_V10.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OPL"/>
    </sheetNames>
    <sheetDataSet>
      <sheetData sheetId="0"/>
      <sheetData sheetId="1">
        <row r="20">
          <cell r="O20">
            <v>1</v>
          </cell>
        </row>
        <row r="21">
          <cell r="O21">
            <v>0</v>
          </cell>
        </row>
        <row r="22">
          <cell r="O22">
            <v>5</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OPL"/>
      <sheetName val="Status vs responsibility"/>
      <sheetName val="Manual"/>
      <sheetName val="#-Settings"/>
      <sheetName val="OPL_Template_V10.0 "/>
    </sheetNames>
    <sheetDataSet>
      <sheetData sheetId="0"/>
      <sheetData sheetId="1"/>
      <sheetData sheetId="2"/>
      <sheetData sheetId="3"/>
      <sheetData sheetId="4">
        <row r="9">
          <cell r="C9" t="str">
            <v>Testproject 001</v>
          </cell>
        </row>
      </sheetData>
      <sheetData sheetId="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ctrlProp" Target="../ctrlProps/ctrlProp41.xml"/><Relationship Id="rId299" Type="http://schemas.openxmlformats.org/officeDocument/2006/relationships/ctrlProp" Target="../ctrlProps/ctrlProp223.xml"/><Relationship Id="rId671" Type="http://schemas.openxmlformats.org/officeDocument/2006/relationships/ctrlProp" Target="../ctrlProps/ctrlProp595.xml"/><Relationship Id="rId727" Type="http://schemas.openxmlformats.org/officeDocument/2006/relationships/ctrlProp" Target="../ctrlProps/ctrlProp651.xml"/><Relationship Id="rId21" Type="http://schemas.openxmlformats.org/officeDocument/2006/relationships/control" Target="../activeX/activeX8.xml"/><Relationship Id="rId63" Type="http://schemas.openxmlformats.org/officeDocument/2006/relationships/control" Target="../activeX/activeX29.xml"/><Relationship Id="rId159" Type="http://schemas.openxmlformats.org/officeDocument/2006/relationships/ctrlProp" Target="../ctrlProps/ctrlProp83.xml"/><Relationship Id="rId324" Type="http://schemas.openxmlformats.org/officeDocument/2006/relationships/ctrlProp" Target="../ctrlProps/ctrlProp248.xml"/><Relationship Id="rId366" Type="http://schemas.openxmlformats.org/officeDocument/2006/relationships/ctrlProp" Target="../ctrlProps/ctrlProp290.xml"/><Relationship Id="rId531" Type="http://schemas.openxmlformats.org/officeDocument/2006/relationships/ctrlProp" Target="../ctrlProps/ctrlProp455.xml"/><Relationship Id="rId573" Type="http://schemas.openxmlformats.org/officeDocument/2006/relationships/ctrlProp" Target="../ctrlProps/ctrlProp497.xml"/><Relationship Id="rId629" Type="http://schemas.openxmlformats.org/officeDocument/2006/relationships/ctrlProp" Target="../ctrlProps/ctrlProp553.xml"/><Relationship Id="rId170" Type="http://schemas.openxmlformats.org/officeDocument/2006/relationships/ctrlProp" Target="../ctrlProps/ctrlProp94.xml"/><Relationship Id="rId226" Type="http://schemas.openxmlformats.org/officeDocument/2006/relationships/ctrlProp" Target="../ctrlProps/ctrlProp150.xml"/><Relationship Id="rId433" Type="http://schemas.openxmlformats.org/officeDocument/2006/relationships/ctrlProp" Target="../ctrlProps/ctrlProp357.xml"/><Relationship Id="rId268" Type="http://schemas.openxmlformats.org/officeDocument/2006/relationships/ctrlProp" Target="../ctrlProps/ctrlProp192.xml"/><Relationship Id="rId475" Type="http://schemas.openxmlformats.org/officeDocument/2006/relationships/ctrlProp" Target="../ctrlProps/ctrlProp399.xml"/><Relationship Id="rId640" Type="http://schemas.openxmlformats.org/officeDocument/2006/relationships/ctrlProp" Target="../ctrlProps/ctrlProp564.xml"/><Relationship Id="rId682" Type="http://schemas.openxmlformats.org/officeDocument/2006/relationships/ctrlProp" Target="../ctrlProps/ctrlProp606.xml"/><Relationship Id="rId738" Type="http://schemas.openxmlformats.org/officeDocument/2006/relationships/ctrlProp" Target="../ctrlProps/ctrlProp662.xml"/><Relationship Id="rId32" Type="http://schemas.openxmlformats.org/officeDocument/2006/relationships/image" Target="../media/image21.emf"/><Relationship Id="rId74" Type="http://schemas.openxmlformats.org/officeDocument/2006/relationships/image" Target="../media/image41.emf"/><Relationship Id="rId128" Type="http://schemas.openxmlformats.org/officeDocument/2006/relationships/ctrlProp" Target="../ctrlProps/ctrlProp52.xml"/><Relationship Id="rId335" Type="http://schemas.openxmlformats.org/officeDocument/2006/relationships/ctrlProp" Target="../ctrlProps/ctrlProp259.xml"/><Relationship Id="rId377" Type="http://schemas.openxmlformats.org/officeDocument/2006/relationships/ctrlProp" Target="../ctrlProps/ctrlProp301.xml"/><Relationship Id="rId500" Type="http://schemas.openxmlformats.org/officeDocument/2006/relationships/ctrlProp" Target="../ctrlProps/ctrlProp424.xml"/><Relationship Id="rId542" Type="http://schemas.openxmlformats.org/officeDocument/2006/relationships/ctrlProp" Target="../ctrlProps/ctrlProp466.xml"/><Relationship Id="rId584" Type="http://schemas.openxmlformats.org/officeDocument/2006/relationships/ctrlProp" Target="../ctrlProps/ctrlProp508.xml"/><Relationship Id="rId5" Type="http://schemas.openxmlformats.org/officeDocument/2006/relationships/hyperlink" Target="http://purchasing.bosch.com/de/start/Allgemeines/Download/index.htm" TargetMode="External"/><Relationship Id="rId181" Type="http://schemas.openxmlformats.org/officeDocument/2006/relationships/ctrlProp" Target="../ctrlProps/ctrlProp105.xml"/><Relationship Id="rId237" Type="http://schemas.openxmlformats.org/officeDocument/2006/relationships/ctrlProp" Target="../ctrlProps/ctrlProp161.xml"/><Relationship Id="rId402" Type="http://schemas.openxmlformats.org/officeDocument/2006/relationships/ctrlProp" Target="../ctrlProps/ctrlProp326.xml"/><Relationship Id="rId279" Type="http://schemas.openxmlformats.org/officeDocument/2006/relationships/ctrlProp" Target="../ctrlProps/ctrlProp203.xml"/><Relationship Id="rId444" Type="http://schemas.openxmlformats.org/officeDocument/2006/relationships/ctrlProp" Target="../ctrlProps/ctrlProp368.xml"/><Relationship Id="rId486" Type="http://schemas.openxmlformats.org/officeDocument/2006/relationships/ctrlProp" Target="../ctrlProps/ctrlProp410.xml"/><Relationship Id="rId651" Type="http://schemas.openxmlformats.org/officeDocument/2006/relationships/ctrlProp" Target="../ctrlProps/ctrlProp575.xml"/><Relationship Id="rId693" Type="http://schemas.openxmlformats.org/officeDocument/2006/relationships/ctrlProp" Target="../ctrlProps/ctrlProp617.xml"/><Relationship Id="rId707" Type="http://schemas.openxmlformats.org/officeDocument/2006/relationships/ctrlProp" Target="../ctrlProps/ctrlProp631.xml"/><Relationship Id="rId749" Type="http://schemas.openxmlformats.org/officeDocument/2006/relationships/ctrlProp" Target="../ctrlProps/ctrlProp673.xml"/><Relationship Id="rId43" Type="http://schemas.openxmlformats.org/officeDocument/2006/relationships/control" Target="../activeX/activeX19.xml"/><Relationship Id="rId139" Type="http://schemas.openxmlformats.org/officeDocument/2006/relationships/ctrlProp" Target="../ctrlProps/ctrlProp63.xml"/><Relationship Id="rId290" Type="http://schemas.openxmlformats.org/officeDocument/2006/relationships/ctrlProp" Target="../ctrlProps/ctrlProp214.xml"/><Relationship Id="rId304" Type="http://schemas.openxmlformats.org/officeDocument/2006/relationships/ctrlProp" Target="../ctrlProps/ctrlProp228.xml"/><Relationship Id="rId346" Type="http://schemas.openxmlformats.org/officeDocument/2006/relationships/ctrlProp" Target="../ctrlProps/ctrlProp270.xml"/><Relationship Id="rId388" Type="http://schemas.openxmlformats.org/officeDocument/2006/relationships/ctrlProp" Target="../ctrlProps/ctrlProp312.xml"/><Relationship Id="rId511" Type="http://schemas.openxmlformats.org/officeDocument/2006/relationships/ctrlProp" Target="../ctrlProps/ctrlProp435.xml"/><Relationship Id="rId553" Type="http://schemas.openxmlformats.org/officeDocument/2006/relationships/ctrlProp" Target="../ctrlProps/ctrlProp477.xml"/><Relationship Id="rId609" Type="http://schemas.openxmlformats.org/officeDocument/2006/relationships/ctrlProp" Target="../ctrlProps/ctrlProp533.xml"/><Relationship Id="rId760" Type="http://schemas.openxmlformats.org/officeDocument/2006/relationships/ctrlProp" Target="../ctrlProps/ctrlProp684.xml"/><Relationship Id="rId85" Type="http://schemas.openxmlformats.org/officeDocument/2006/relationships/ctrlProp" Target="../ctrlProps/ctrlProp9.xml"/><Relationship Id="rId150" Type="http://schemas.openxmlformats.org/officeDocument/2006/relationships/ctrlProp" Target="../ctrlProps/ctrlProp74.xml"/><Relationship Id="rId192" Type="http://schemas.openxmlformats.org/officeDocument/2006/relationships/ctrlProp" Target="../ctrlProps/ctrlProp116.xml"/><Relationship Id="rId206" Type="http://schemas.openxmlformats.org/officeDocument/2006/relationships/ctrlProp" Target="../ctrlProps/ctrlProp130.xml"/><Relationship Id="rId413" Type="http://schemas.openxmlformats.org/officeDocument/2006/relationships/ctrlProp" Target="../ctrlProps/ctrlProp337.xml"/><Relationship Id="rId595" Type="http://schemas.openxmlformats.org/officeDocument/2006/relationships/ctrlProp" Target="../ctrlProps/ctrlProp519.xml"/><Relationship Id="rId248" Type="http://schemas.openxmlformats.org/officeDocument/2006/relationships/ctrlProp" Target="../ctrlProps/ctrlProp172.xml"/><Relationship Id="rId455" Type="http://schemas.openxmlformats.org/officeDocument/2006/relationships/ctrlProp" Target="../ctrlProps/ctrlProp379.xml"/><Relationship Id="rId497" Type="http://schemas.openxmlformats.org/officeDocument/2006/relationships/ctrlProp" Target="../ctrlProps/ctrlProp421.xml"/><Relationship Id="rId620" Type="http://schemas.openxmlformats.org/officeDocument/2006/relationships/ctrlProp" Target="../ctrlProps/ctrlProp544.xml"/><Relationship Id="rId662" Type="http://schemas.openxmlformats.org/officeDocument/2006/relationships/ctrlProp" Target="../ctrlProps/ctrlProp586.xml"/><Relationship Id="rId718" Type="http://schemas.openxmlformats.org/officeDocument/2006/relationships/ctrlProp" Target="../ctrlProps/ctrlProp642.xml"/><Relationship Id="rId12" Type="http://schemas.openxmlformats.org/officeDocument/2006/relationships/image" Target="../media/image14.emf"/><Relationship Id="rId108" Type="http://schemas.openxmlformats.org/officeDocument/2006/relationships/ctrlProp" Target="../ctrlProps/ctrlProp32.xml"/><Relationship Id="rId315" Type="http://schemas.openxmlformats.org/officeDocument/2006/relationships/ctrlProp" Target="../ctrlProps/ctrlProp239.xml"/><Relationship Id="rId357" Type="http://schemas.openxmlformats.org/officeDocument/2006/relationships/ctrlProp" Target="../ctrlProps/ctrlProp281.xml"/><Relationship Id="rId522" Type="http://schemas.openxmlformats.org/officeDocument/2006/relationships/ctrlProp" Target="../ctrlProps/ctrlProp446.xml"/><Relationship Id="rId54" Type="http://schemas.openxmlformats.org/officeDocument/2006/relationships/image" Target="../media/image32.emf"/><Relationship Id="rId96" Type="http://schemas.openxmlformats.org/officeDocument/2006/relationships/ctrlProp" Target="../ctrlProps/ctrlProp20.xml"/><Relationship Id="rId161" Type="http://schemas.openxmlformats.org/officeDocument/2006/relationships/ctrlProp" Target="../ctrlProps/ctrlProp85.xml"/><Relationship Id="rId217" Type="http://schemas.openxmlformats.org/officeDocument/2006/relationships/ctrlProp" Target="../ctrlProps/ctrlProp141.xml"/><Relationship Id="rId399" Type="http://schemas.openxmlformats.org/officeDocument/2006/relationships/ctrlProp" Target="../ctrlProps/ctrlProp323.xml"/><Relationship Id="rId564" Type="http://schemas.openxmlformats.org/officeDocument/2006/relationships/ctrlProp" Target="../ctrlProps/ctrlProp488.xml"/><Relationship Id="rId259" Type="http://schemas.openxmlformats.org/officeDocument/2006/relationships/ctrlProp" Target="../ctrlProps/ctrlProp183.xml"/><Relationship Id="rId424" Type="http://schemas.openxmlformats.org/officeDocument/2006/relationships/ctrlProp" Target="../ctrlProps/ctrlProp348.xml"/><Relationship Id="rId466" Type="http://schemas.openxmlformats.org/officeDocument/2006/relationships/ctrlProp" Target="../ctrlProps/ctrlProp390.xml"/><Relationship Id="rId631" Type="http://schemas.openxmlformats.org/officeDocument/2006/relationships/ctrlProp" Target="../ctrlProps/ctrlProp555.xml"/><Relationship Id="rId673" Type="http://schemas.openxmlformats.org/officeDocument/2006/relationships/ctrlProp" Target="../ctrlProps/ctrlProp597.xml"/><Relationship Id="rId729" Type="http://schemas.openxmlformats.org/officeDocument/2006/relationships/ctrlProp" Target="../ctrlProps/ctrlProp653.xml"/><Relationship Id="rId23" Type="http://schemas.openxmlformats.org/officeDocument/2006/relationships/control" Target="../activeX/activeX9.xml"/><Relationship Id="rId119" Type="http://schemas.openxmlformats.org/officeDocument/2006/relationships/ctrlProp" Target="../ctrlProps/ctrlProp43.xml"/><Relationship Id="rId270" Type="http://schemas.openxmlformats.org/officeDocument/2006/relationships/ctrlProp" Target="../ctrlProps/ctrlProp194.xml"/><Relationship Id="rId326" Type="http://schemas.openxmlformats.org/officeDocument/2006/relationships/ctrlProp" Target="../ctrlProps/ctrlProp250.xml"/><Relationship Id="rId533" Type="http://schemas.openxmlformats.org/officeDocument/2006/relationships/ctrlProp" Target="../ctrlProps/ctrlProp457.xml"/><Relationship Id="rId65" Type="http://schemas.openxmlformats.org/officeDocument/2006/relationships/image" Target="../media/image37.emf"/><Relationship Id="rId130" Type="http://schemas.openxmlformats.org/officeDocument/2006/relationships/ctrlProp" Target="../ctrlProps/ctrlProp54.xml"/><Relationship Id="rId368" Type="http://schemas.openxmlformats.org/officeDocument/2006/relationships/ctrlProp" Target="../ctrlProps/ctrlProp292.xml"/><Relationship Id="rId575" Type="http://schemas.openxmlformats.org/officeDocument/2006/relationships/ctrlProp" Target="../ctrlProps/ctrlProp499.xml"/><Relationship Id="rId740" Type="http://schemas.openxmlformats.org/officeDocument/2006/relationships/ctrlProp" Target="../ctrlProps/ctrlProp664.xml"/><Relationship Id="rId172" Type="http://schemas.openxmlformats.org/officeDocument/2006/relationships/ctrlProp" Target="../ctrlProps/ctrlProp96.xml"/><Relationship Id="rId228" Type="http://schemas.openxmlformats.org/officeDocument/2006/relationships/ctrlProp" Target="../ctrlProps/ctrlProp152.xml"/><Relationship Id="rId435" Type="http://schemas.openxmlformats.org/officeDocument/2006/relationships/ctrlProp" Target="../ctrlProps/ctrlProp359.xml"/><Relationship Id="rId477" Type="http://schemas.openxmlformats.org/officeDocument/2006/relationships/ctrlProp" Target="../ctrlProps/ctrlProp401.xml"/><Relationship Id="rId600" Type="http://schemas.openxmlformats.org/officeDocument/2006/relationships/ctrlProp" Target="../ctrlProps/ctrlProp524.xml"/><Relationship Id="rId642" Type="http://schemas.openxmlformats.org/officeDocument/2006/relationships/ctrlProp" Target="../ctrlProps/ctrlProp566.xml"/><Relationship Id="rId684" Type="http://schemas.openxmlformats.org/officeDocument/2006/relationships/ctrlProp" Target="../ctrlProps/ctrlProp608.xml"/><Relationship Id="rId281" Type="http://schemas.openxmlformats.org/officeDocument/2006/relationships/ctrlProp" Target="../ctrlProps/ctrlProp205.xml"/><Relationship Id="rId337" Type="http://schemas.openxmlformats.org/officeDocument/2006/relationships/ctrlProp" Target="../ctrlProps/ctrlProp261.xml"/><Relationship Id="rId502" Type="http://schemas.openxmlformats.org/officeDocument/2006/relationships/ctrlProp" Target="../ctrlProps/ctrlProp426.xml"/><Relationship Id="rId34" Type="http://schemas.openxmlformats.org/officeDocument/2006/relationships/image" Target="../media/image22.emf"/><Relationship Id="rId76" Type="http://schemas.openxmlformats.org/officeDocument/2006/relationships/image" Target="../media/image42.emf"/><Relationship Id="rId141" Type="http://schemas.openxmlformats.org/officeDocument/2006/relationships/ctrlProp" Target="../ctrlProps/ctrlProp65.xml"/><Relationship Id="rId379" Type="http://schemas.openxmlformats.org/officeDocument/2006/relationships/ctrlProp" Target="../ctrlProps/ctrlProp303.xml"/><Relationship Id="rId544" Type="http://schemas.openxmlformats.org/officeDocument/2006/relationships/ctrlProp" Target="../ctrlProps/ctrlProp468.xml"/><Relationship Id="rId586" Type="http://schemas.openxmlformats.org/officeDocument/2006/relationships/ctrlProp" Target="../ctrlProps/ctrlProp510.xml"/><Relationship Id="rId751" Type="http://schemas.openxmlformats.org/officeDocument/2006/relationships/ctrlProp" Target="../ctrlProps/ctrlProp675.xml"/><Relationship Id="rId7" Type="http://schemas.openxmlformats.org/officeDocument/2006/relationships/drawing" Target="../drawings/drawing4.xml"/><Relationship Id="rId183" Type="http://schemas.openxmlformats.org/officeDocument/2006/relationships/ctrlProp" Target="../ctrlProps/ctrlProp107.xml"/><Relationship Id="rId239" Type="http://schemas.openxmlformats.org/officeDocument/2006/relationships/ctrlProp" Target="../ctrlProps/ctrlProp163.xml"/><Relationship Id="rId390" Type="http://schemas.openxmlformats.org/officeDocument/2006/relationships/ctrlProp" Target="../ctrlProps/ctrlProp314.xml"/><Relationship Id="rId404" Type="http://schemas.openxmlformats.org/officeDocument/2006/relationships/ctrlProp" Target="../ctrlProps/ctrlProp328.xml"/><Relationship Id="rId446" Type="http://schemas.openxmlformats.org/officeDocument/2006/relationships/ctrlProp" Target="../ctrlProps/ctrlProp370.xml"/><Relationship Id="rId611" Type="http://schemas.openxmlformats.org/officeDocument/2006/relationships/ctrlProp" Target="../ctrlProps/ctrlProp535.xml"/><Relationship Id="rId653" Type="http://schemas.openxmlformats.org/officeDocument/2006/relationships/ctrlProp" Target="../ctrlProps/ctrlProp577.xml"/><Relationship Id="rId250" Type="http://schemas.openxmlformats.org/officeDocument/2006/relationships/ctrlProp" Target="../ctrlProps/ctrlProp174.xml"/><Relationship Id="rId292" Type="http://schemas.openxmlformats.org/officeDocument/2006/relationships/ctrlProp" Target="../ctrlProps/ctrlProp216.xml"/><Relationship Id="rId306" Type="http://schemas.openxmlformats.org/officeDocument/2006/relationships/ctrlProp" Target="../ctrlProps/ctrlProp230.xml"/><Relationship Id="rId488" Type="http://schemas.openxmlformats.org/officeDocument/2006/relationships/ctrlProp" Target="../ctrlProps/ctrlProp412.xml"/><Relationship Id="rId695" Type="http://schemas.openxmlformats.org/officeDocument/2006/relationships/ctrlProp" Target="../ctrlProps/ctrlProp619.xml"/><Relationship Id="rId709" Type="http://schemas.openxmlformats.org/officeDocument/2006/relationships/ctrlProp" Target="../ctrlProps/ctrlProp633.xml"/><Relationship Id="rId45" Type="http://schemas.openxmlformats.org/officeDocument/2006/relationships/control" Target="../activeX/activeX20.xml"/><Relationship Id="rId87" Type="http://schemas.openxmlformats.org/officeDocument/2006/relationships/ctrlProp" Target="../ctrlProps/ctrlProp11.xml"/><Relationship Id="rId110" Type="http://schemas.openxmlformats.org/officeDocument/2006/relationships/ctrlProp" Target="../ctrlProps/ctrlProp34.xml"/><Relationship Id="rId348" Type="http://schemas.openxmlformats.org/officeDocument/2006/relationships/ctrlProp" Target="../ctrlProps/ctrlProp272.xml"/><Relationship Id="rId513" Type="http://schemas.openxmlformats.org/officeDocument/2006/relationships/ctrlProp" Target="../ctrlProps/ctrlProp437.xml"/><Relationship Id="rId555" Type="http://schemas.openxmlformats.org/officeDocument/2006/relationships/ctrlProp" Target="../ctrlProps/ctrlProp479.xml"/><Relationship Id="rId597" Type="http://schemas.openxmlformats.org/officeDocument/2006/relationships/ctrlProp" Target="../ctrlProps/ctrlProp521.xml"/><Relationship Id="rId720" Type="http://schemas.openxmlformats.org/officeDocument/2006/relationships/ctrlProp" Target="../ctrlProps/ctrlProp644.xml"/><Relationship Id="rId762" Type="http://schemas.openxmlformats.org/officeDocument/2006/relationships/ctrlProp" Target="../ctrlProps/ctrlProp686.xml"/><Relationship Id="rId152" Type="http://schemas.openxmlformats.org/officeDocument/2006/relationships/ctrlProp" Target="../ctrlProps/ctrlProp76.xml"/><Relationship Id="rId194" Type="http://schemas.openxmlformats.org/officeDocument/2006/relationships/ctrlProp" Target="../ctrlProps/ctrlProp118.xml"/><Relationship Id="rId208" Type="http://schemas.openxmlformats.org/officeDocument/2006/relationships/ctrlProp" Target="../ctrlProps/ctrlProp132.xml"/><Relationship Id="rId415" Type="http://schemas.openxmlformats.org/officeDocument/2006/relationships/ctrlProp" Target="../ctrlProps/ctrlProp339.xml"/><Relationship Id="rId457" Type="http://schemas.openxmlformats.org/officeDocument/2006/relationships/ctrlProp" Target="../ctrlProps/ctrlProp381.xml"/><Relationship Id="rId622" Type="http://schemas.openxmlformats.org/officeDocument/2006/relationships/ctrlProp" Target="../ctrlProps/ctrlProp546.xml"/><Relationship Id="rId261" Type="http://schemas.openxmlformats.org/officeDocument/2006/relationships/ctrlProp" Target="../ctrlProps/ctrlProp185.xml"/><Relationship Id="rId499" Type="http://schemas.openxmlformats.org/officeDocument/2006/relationships/ctrlProp" Target="../ctrlProps/ctrlProp423.xml"/><Relationship Id="rId664" Type="http://schemas.openxmlformats.org/officeDocument/2006/relationships/ctrlProp" Target="../ctrlProps/ctrlProp588.xml"/><Relationship Id="rId14" Type="http://schemas.openxmlformats.org/officeDocument/2006/relationships/image" Target="../media/image15.emf"/><Relationship Id="rId56" Type="http://schemas.openxmlformats.org/officeDocument/2006/relationships/image" Target="../media/image33.emf"/><Relationship Id="rId317" Type="http://schemas.openxmlformats.org/officeDocument/2006/relationships/ctrlProp" Target="../ctrlProps/ctrlProp241.xml"/><Relationship Id="rId359" Type="http://schemas.openxmlformats.org/officeDocument/2006/relationships/ctrlProp" Target="../ctrlProps/ctrlProp283.xml"/><Relationship Id="rId524" Type="http://schemas.openxmlformats.org/officeDocument/2006/relationships/ctrlProp" Target="../ctrlProps/ctrlProp448.xml"/><Relationship Id="rId566" Type="http://schemas.openxmlformats.org/officeDocument/2006/relationships/ctrlProp" Target="../ctrlProps/ctrlProp490.xml"/><Relationship Id="rId731" Type="http://schemas.openxmlformats.org/officeDocument/2006/relationships/ctrlProp" Target="../ctrlProps/ctrlProp655.xml"/><Relationship Id="rId98" Type="http://schemas.openxmlformats.org/officeDocument/2006/relationships/ctrlProp" Target="../ctrlProps/ctrlProp22.xml"/><Relationship Id="rId121" Type="http://schemas.openxmlformats.org/officeDocument/2006/relationships/ctrlProp" Target="../ctrlProps/ctrlProp45.xml"/><Relationship Id="rId163" Type="http://schemas.openxmlformats.org/officeDocument/2006/relationships/ctrlProp" Target="../ctrlProps/ctrlProp87.xml"/><Relationship Id="rId219" Type="http://schemas.openxmlformats.org/officeDocument/2006/relationships/ctrlProp" Target="../ctrlProps/ctrlProp143.xml"/><Relationship Id="rId370" Type="http://schemas.openxmlformats.org/officeDocument/2006/relationships/ctrlProp" Target="../ctrlProps/ctrlProp294.xml"/><Relationship Id="rId426" Type="http://schemas.openxmlformats.org/officeDocument/2006/relationships/ctrlProp" Target="../ctrlProps/ctrlProp350.xml"/><Relationship Id="rId633" Type="http://schemas.openxmlformats.org/officeDocument/2006/relationships/ctrlProp" Target="../ctrlProps/ctrlProp557.xml"/><Relationship Id="rId230" Type="http://schemas.openxmlformats.org/officeDocument/2006/relationships/ctrlProp" Target="../ctrlProps/ctrlProp154.xml"/><Relationship Id="rId468" Type="http://schemas.openxmlformats.org/officeDocument/2006/relationships/ctrlProp" Target="../ctrlProps/ctrlProp392.xml"/><Relationship Id="rId675" Type="http://schemas.openxmlformats.org/officeDocument/2006/relationships/ctrlProp" Target="../ctrlProps/ctrlProp599.xml"/><Relationship Id="rId25" Type="http://schemas.openxmlformats.org/officeDocument/2006/relationships/control" Target="../activeX/activeX10.xml"/><Relationship Id="rId67" Type="http://schemas.openxmlformats.org/officeDocument/2006/relationships/control" Target="../activeX/activeX32.xml"/><Relationship Id="rId272" Type="http://schemas.openxmlformats.org/officeDocument/2006/relationships/ctrlProp" Target="../ctrlProps/ctrlProp196.xml"/><Relationship Id="rId328" Type="http://schemas.openxmlformats.org/officeDocument/2006/relationships/ctrlProp" Target="../ctrlProps/ctrlProp252.xml"/><Relationship Id="rId535" Type="http://schemas.openxmlformats.org/officeDocument/2006/relationships/ctrlProp" Target="../ctrlProps/ctrlProp459.xml"/><Relationship Id="rId577" Type="http://schemas.openxmlformats.org/officeDocument/2006/relationships/ctrlProp" Target="../ctrlProps/ctrlProp501.xml"/><Relationship Id="rId700" Type="http://schemas.openxmlformats.org/officeDocument/2006/relationships/ctrlProp" Target="../ctrlProps/ctrlProp624.xml"/><Relationship Id="rId742" Type="http://schemas.openxmlformats.org/officeDocument/2006/relationships/ctrlProp" Target="../ctrlProps/ctrlProp666.xml"/><Relationship Id="rId132" Type="http://schemas.openxmlformats.org/officeDocument/2006/relationships/ctrlProp" Target="../ctrlProps/ctrlProp56.xml"/><Relationship Id="rId174" Type="http://schemas.openxmlformats.org/officeDocument/2006/relationships/ctrlProp" Target="../ctrlProps/ctrlProp98.xml"/><Relationship Id="rId381" Type="http://schemas.openxmlformats.org/officeDocument/2006/relationships/ctrlProp" Target="../ctrlProps/ctrlProp305.xml"/><Relationship Id="rId602" Type="http://schemas.openxmlformats.org/officeDocument/2006/relationships/ctrlProp" Target="../ctrlProps/ctrlProp526.xml"/><Relationship Id="rId241" Type="http://schemas.openxmlformats.org/officeDocument/2006/relationships/ctrlProp" Target="../ctrlProps/ctrlProp165.xml"/><Relationship Id="rId437" Type="http://schemas.openxmlformats.org/officeDocument/2006/relationships/ctrlProp" Target="../ctrlProps/ctrlProp361.xml"/><Relationship Id="rId479" Type="http://schemas.openxmlformats.org/officeDocument/2006/relationships/ctrlProp" Target="../ctrlProps/ctrlProp403.xml"/><Relationship Id="rId644" Type="http://schemas.openxmlformats.org/officeDocument/2006/relationships/ctrlProp" Target="../ctrlProps/ctrlProp568.xml"/><Relationship Id="rId686" Type="http://schemas.openxmlformats.org/officeDocument/2006/relationships/ctrlProp" Target="../ctrlProps/ctrlProp610.xml"/><Relationship Id="rId36" Type="http://schemas.openxmlformats.org/officeDocument/2006/relationships/image" Target="../media/image23.emf"/><Relationship Id="rId283" Type="http://schemas.openxmlformats.org/officeDocument/2006/relationships/ctrlProp" Target="../ctrlProps/ctrlProp207.xml"/><Relationship Id="rId339" Type="http://schemas.openxmlformats.org/officeDocument/2006/relationships/ctrlProp" Target="../ctrlProps/ctrlProp263.xml"/><Relationship Id="rId490" Type="http://schemas.openxmlformats.org/officeDocument/2006/relationships/ctrlProp" Target="../ctrlProps/ctrlProp414.xml"/><Relationship Id="rId504" Type="http://schemas.openxmlformats.org/officeDocument/2006/relationships/ctrlProp" Target="../ctrlProps/ctrlProp428.xml"/><Relationship Id="rId546" Type="http://schemas.openxmlformats.org/officeDocument/2006/relationships/ctrlProp" Target="../ctrlProps/ctrlProp470.xml"/><Relationship Id="rId711" Type="http://schemas.openxmlformats.org/officeDocument/2006/relationships/ctrlProp" Target="../ctrlProps/ctrlProp635.xml"/><Relationship Id="rId753" Type="http://schemas.openxmlformats.org/officeDocument/2006/relationships/ctrlProp" Target="../ctrlProps/ctrlProp677.xml"/><Relationship Id="rId78" Type="http://schemas.openxmlformats.org/officeDocument/2006/relationships/ctrlProp" Target="../ctrlProps/ctrlProp2.xml"/><Relationship Id="rId101" Type="http://schemas.openxmlformats.org/officeDocument/2006/relationships/ctrlProp" Target="../ctrlProps/ctrlProp25.xml"/><Relationship Id="rId143" Type="http://schemas.openxmlformats.org/officeDocument/2006/relationships/ctrlProp" Target="../ctrlProps/ctrlProp67.xml"/><Relationship Id="rId185" Type="http://schemas.openxmlformats.org/officeDocument/2006/relationships/ctrlProp" Target="../ctrlProps/ctrlProp109.xml"/><Relationship Id="rId350" Type="http://schemas.openxmlformats.org/officeDocument/2006/relationships/ctrlProp" Target="../ctrlProps/ctrlProp274.xml"/><Relationship Id="rId406" Type="http://schemas.openxmlformats.org/officeDocument/2006/relationships/ctrlProp" Target="../ctrlProps/ctrlProp330.xml"/><Relationship Id="rId588" Type="http://schemas.openxmlformats.org/officeDocument/2006/relationships/ctrlProp" Target="../ctrlProps/ctrlProp512.xml"/><Relationship Id="rId9" Type="http://schemas.openxmlformats.org/officeDocument/2006/relationships/oleObject" Target="../embeddings/oleObject1.bin"/><Relationship Id="rId210" Type="http://schemas.openxmlformats.org/officeDocument/2006/relationships/ctrlProp" Target="../ctrlProps/ctrlProp134.xml"/><Relationship Id="rId392" Type="http://schemas.openxmlformats.org/officeDocument/2006/relationships/ctrlProp" Target="../ctrlProps/ctrlProp316.xml"/><Relationship Id="rId448" Type="http://schemas.openxmlformats.org/officeDocument/2006/relationships/ctrlProp" Target="../ctrlProps/ctrlProp372.xml"/><Relationship Id="rId613" Type="http://schemas.openxmlformats.org/officeDocument/2006/relationships/ctrlProp" Target="../ctrlProps/ctrlProp537.xml"/><Relationship Id="rId655" Type="http://schemas.openxmlformats.org/officeDocument/2006/relationships/ctrlProp" Target="../ctrlProps/ctrlProp579.xml"/><Relationship Id="rId697" Type="http://schemas.openxmlformats.org/officeDocument/2006/relationships/ctrlProp" Target="../ctrlProps/ctrlProp621.xml"/><Relationship Id="rId252" Type="http://schemas.openxmlformats.org/officeDocument/2006/relationships/ctrlProp" Target="../ctrlProps/ctrlProp176.xml"/><Relationship Id="rId294" Type="http://schemas.openxmlformats.org/officeDocument/2006/relationships/ctrlProp" Target="../ctrlProps/ctrlProp218.xml"/><Relationship Id="rId308" Type="http://schemas.openxmlformats.org/officeDocument/2006/relationships/ctrlProp" Target="../ctrlProps/ctrlProp232.xml"/><Relationship Id="rId515" Type="http://schemas.openxmlformats.org/officeDocument/2006/relationships/ctrlProp" Target="../ctrlProps/ctrlProp439.xml"/><Relationship Id="rId722" Type="http://schemas.openxmlformats.org/officeDocument/2006/relationships/ctrlProp" Target="../ctrlProps/ctrlProp646.xml"/><Relationship Id="rId47" Type="http://schemas.openxmlformats.org/officeDocument/2006/relationships/control" Target="../activeX/activeX21.xml"/><Relationship Id="rId89" Type="http://schemas.openxmlformats.org/officeDocument/2006/relationships/ctrlProp" Target="../ctrlProps/ctrlProp13.xml"/><Relationship Id="rId112" Type="http://schemas.openxmlformats.org/officeDocument/2006/relationships/ctrlProp" Target="../ctrlProps/ctrlProp36.xml"/><Relationship Id="rId154" Type="http://schemas.openxmlformats.org/officeDocument/2006/relationships/ctrlProp" Target="../ctrlProps/ctrlProp78.xml"/><Relationship Id="rId361" Type="http://schemas.openxmlformats.org/officeDocument/2006/relationships/ctrlProp" Target="../ctrlProps/ctrlProp285.xml"/><Relationship Id="rId557" Type="http://schemas.openxmlformats.org/officeDocument/2006/relationships/ctrlProp" Target="../ctrlProps/ctrlProp481.xml"/><Relationship Id="rId599" Type="http://schemas.openxmlformats.org/officeDocument/2006/relationships/ctrlProp" Target="../ctrlProps/ctrlProp523.xml"/><Relationship Id="rId196" Type="http://schemas.openxmlformats.org/officeDocument/2006/relationships/ctrlProp" Target="../ctrlProps/ctrlProp120.xml"/><Relationship Id="rId417" Type="http://schemas.openxmlformats.org/officeDocument/2006/relationships/ctrlProp" Target="../ctrlProps/ctrlProp341.xml"/><Relationship Id="rId459" Type="http://schemas.openxmlformats.org/officeDocument/2006/relationships/ctrlProp" Target="../ctrlProps/ctrlProp383.xml"/><Relationship Id="rId624" Type="http://schemas.openxmlformats.org/officeDocument/2006/relationships/ctrlProp" Target="../ctrlProps/ctrlProp548.xml"/><Relationship Id="rId666" Type="http://schemas.openxmlformats.org/officeDocument/2006/relationships/ctrlProp" Target="../ctrlProps/ctrlProp590.xml"/><Relationship Id="rId16" Type="http://schemas.openxmlformats.org/officeDocument/2006/relationships/control" Target="../activeX/activeX3.xml"/><Relationship Id="rId221" Type="http://schemas.openxmlformats.org/officeDocument/2006/relationships/ctrlProp" Target="../ctrlProps/ctrlProp145.xml"/><Relationship Id="rId263" Type="http://schemas.openxmlformats.org/officeDocument/2006/relationships/ctrlProp" Target="../ctrlProps/ctrlProp187.xml"/><Relationship Id="rId319" Type="http://schemas.openxmlformats.org/officeDocument/2006/relationships/ctrlProp" Target="../ctrlProps/ctrlProp243.xml"/><Relationship Id="rId470" Type="http://schemas.openxmlformats.org/officeDocument/2006/relationships/ctrlProp" Target="../ctrlProps/ctrlProp394.xml"/><Relationship Id="rId526" Type="http://schemas.openxmlformats.org/officeDocument/2006/relationships/ctrlProp" Target="../ctrlProps/ctrlProp450.xml"/><Relationship Id="rId58" Type="http://schemas.openxmlformats.org/officeDocument/2006/relationships/image" Target="../media/image34.emf"/><Relationship Id="rId123" Type="http://schemas.openxmlformats.org/officeDocument/2006/relationships/ctrlProp" Target="../ctrlProps/ctrlProp47.xml"/><Relationship Id="rId330" Type="http://schemas.openxmlformats.org/officeDocument/2006/relationships/ctrlProp" Target="../ctrlProps/ctrlProp254.xml"/><Relationship Id="rId568" Type="http://schemas.openxmlformats.org/officeDocument/2006/relationships/ctrlProp" Target="../ctrlProps/ctrlProp492.xml"/><Relationship Id="rId733" Type="http://schemas.openxmlformats.org/officeDocument/2006/relationships/ctrlProp" Target="../ctrlProps/ctrlProp657.xml"/><Relationship Id="rId165" Type="http://schemas.openxmlformats.org/officeDocument/2006/relationships/ctrlProp" Target="../ctrlProps/ctrlProp89.xml"/><Relationship Id="rId372" Type="http://schemas.openxmlformats.org/officeDocument/2006/relationships/ctrlProp" Target="../ctrlProps/ctrlProp296.xml"/><Relationship Id="rId428" Type="http://schemas.openxmlformats.org/officeDocument/2006/relationships/ctrlProp" Target="../ctrlProps/ctrlProp352.xml"/><Relationship Id="rId635" Type="http://schemas.openxmlformats.org/officeDocument/2006/relationships/ctrlProp" Target="../ctrlProps/ctrlProp559.xml"/><Relationship Id="rId677" Type="http://schemas.openxmlformats.org/officeDocument/2006/relationships/ctrlProp" Target="../ctrlProps/ctrlProp601.xml"/><Relationship Id="rId232" Type="http://schemas.openxmlformats.org/officeDocument/2006/relationships/ctrlProp" Target="../ctrlProps/ctrlProp156.xml"/><Relationship Id="rId274" Type="http://schemas.openxmlformats.org/officeDocument/2006/relationships/ctrlProp" Target="../ctrlProps/ctrlProp198.xml"/><Relationship Id="rId481" Type="http://schemas.openxmlformats.org/officeDocument/2006/relationships/ctrlProp" Target="../ctrlProps/ctrlProp405.xml"/><Relationship Id="rId702" Type="http://schemas.openxmlformats.org/officeDocument/2006/relationships/ctrlProp" Target="../ctrlProps/ctrlProp626.xml"/><Relationship Id="rId27" Type="http://schemas.openxmlformats.org/officeDocument/2006/relationships/control" Target="../activeX/activeX11.xml"/><Relationship Id="rId69" Type="http://schemas.openxmlformats.org/officeDocument/2006/relationships/control" Target="../activeX/activeX33.xml"/><Relationship Id="rId134" Type="http://schemas.openxmlformats.org/officeDocument/2006/relationships/ctrlProp" Target="../ctrlProps/ctrlProp58.xml"/><Relationship Id="rId537" Type="http://schemas.openxmlformats.org/officeDocument/2006/relationships/ctrlProp" Target="../ctrlProps/ctrlProp461.xml"/><Relationship Id="rId579" Type="http://schemas.openxmlformats.org/officeDocument/2006/relationships/ctrlProp" Target="../ctrlProps/ctrlProp503.xml"/><Relationship Id="rId744" Type="http://schemas.openxmlformats.org/officeDocument/2006/relationships/ctrlProp" Target="../ctrlProps/ctrlProp668.xml"/><Relationship Id="rId80" Type="http://schemas.openxmlformats.org/officeDocument/2006/relationships/ctrlProp" Target="../ctrlProps/ctrlProp4.xml"/><Relationship Id="rId176" Type="http://schemas.openxmlformats.org/officeDocument/2006/relationships/ctrlProp" Target="../ctrlProps/ctrlProp100.xml"/><Relationship Id="rId341" Type="http://schemas.openxmlformats.org/officeDocument/2006/relationships/ctrlProp" Target="../ctrlProps/ctrlProp265.xml"/><Relationship Id="rId383" Type="http://schemas.openxmlformats.org/officeDocument/2006/relationships/ctrlProp" Target="../ctrlProps/ctrlProp307.xml"/><Relationship Id="rId439" Type="http://schemas.openxmlformats.org/officeDocument/2006/relationships/ctrlProp" Target="../ctrlProps/ctrlProp363.xml"/><Relationship Id="rId590" Type="http://schemas.openxmlformats.org/officeDocument/2006/relationships/ctrlProp" Target="../ctrlProps/ctrlProp514.xml"/><Relationship Id="rId604" Type="http://schemas.openxmlformats.org/officeDocument/2006/relationships/ctrlProp" Target="../ctrlProps/ctrlProp528.xml"/><Relationship Id="rId646" Type="http://schemas.openxmlformats.org/officeDocument/2006/relationships/ctrlProp" Target="../ctrlProps/ctrlProp570.xml"/><Relationship Id="rId201" Type="http://schemas.openxmlformats.org/officeDocument/2006/relationships/ctrlProp" Target="../ctrlProps/ctrlProp125.xml"/><Relationship Id="rId243" Type="http://schemas.openxmlformats.org/officeDocument/2006/relationships/ctrlProp" Target="../ctrlProps/ctrlProp167.xml"/><Relationship Id="rId285" Type="http://schemas.openxmlformats.org/officeDocument/2006/relationships/ctrlProp" Target="../ctrlProps/ctrlProp209.xml"/><Relationship Id="rId450" Type="http://schemas.openxmlformats.org/officeDocument/2006/relationships/ctrlProp" Target="../ctrlProps/ctrlProp374.xml"/><Relationship Id="rId506" Type="http://schemas.openxmlformats.org/officeDocument/2006/relationships/ctrlProp" Target="../ctrlProps/ctrlProp430.xml"/><Relationship Id="rId688" Type="http://schemas.openxmlformats.org/officeDocument/2006/relationships/ctrlProp" Target="../ctrlProps/ctrlProp612.xml"/><Relationship Id="rId38" Type="http://schemas.openxmlformats.org/officeDocument/2006/relationships/image" Target="../media/image24.emf"/><Relationship Id="rId103" Type="http://schemas.openxmlformats.org/officeDocument/2006/relationships/ctrlProp" Target="../ctrlProps/ctrlProp27.xml"/><Relationship Id="rId310" Type="http://schemas.openxmlformats.org/officeDocument/2006/relationships/ctrlProp" Target="../ctrlProps/ctrlProp234.xml"/><Relationship Id="rId492" Type="http://schemas.openxmlformats.org/officeDocument/2006/relationships/ctrlProp" Target="../ctrlProps/ctrlProp416.xml"/><Relationship Id="rId548" Type="http://schemas.openxmlformats.org/officeDocument/2006/relationships/ctrlProp" Target="../ctrlProps/ctrlProp472.xml"/><Relationship Id="rId713" Type="http://schemas.openxmlformats.org/officeDocument/2006/relationships/ctrlProp" Target="../ctrlProps/ctrlProp637.xml"/><Relationship Id="rId755" Type="http://schemas.openxmlformats.org/officeDocument/2006/relationships/ctrlProp" Target="../ctrlProps/ctrlProp679.xml"/><Relationship Id="rId91" Type="http://schemas.openxmlformats.org/officeDocument/2006/relationships/ctrlProp" Target="../ctrlProps/ctrlProp15.xml"/><Relationship Id="rId145" Type="http://schemas.openxmlformats.org/officeDocument/2006/relationships/ctrlProp" Target="../ctrlProps/ctrlProp69.xml"/><Relationship Id="rId187" Type="http://schemas.openxmlformats.org/officeDocument/2006/relationships/ctrlProp" Target="../ctrlProps/ctrlProp111.xml"/><Relationship Id="rId352" Type="http://schemas.openxmlformats.org/officeDocument/2006/relationships/ctrlProp" Target="../ctrlProps/ctrlProp276.xml"/><Relationship Id="rId394" Type="http://schemas.openxmlformats.org/officeDocument/2006/relationships/ctrlProp" Target="../ctrlProps/ctrlProp318.xml"/><Relationship Id="rId408" Type="http://schemas.openxmlformats.org/officeDocument/2006/relationships/ctrlProp" Target="../ctrlProps/ctrlProp332.xml"/><Relationship Id="rId615" Type="http://schemas.openxmlformats.org/officeDocument/2006/relationships/ctrlProp" Target="../ctrlProps/ctrlProp539.xml"/><Relationship Id="rId212" Type="http://schemas.openxmlformats.org/officeDocument/2006/relationships/ctrlProp" Target="../ctrlProps/ctrlProp136.xml"/><Relationship Id="rId254" Type="http://schemas.openxmlformats.org/officeDocument/2006/relationships/ctrlProp" Target="../ctrlProps/ctrlProp178.xml"/><Relationship Id="rId657" Type="http://schemas.openxmlformats.org/officeDocument/2006/relationships/ctrlProp" Target="../ctrlProps/ctrlProp581.xml"/><Relationship Id="rId699" Type="http://schemas.openxmlformats.org/officeDocument/2006/relationships/ctrlProp" Target="../ctrlProps/ctrlProp623.xml"/><Relationship Id="rId49" Type="http://schemas.openxmlformats.org/officeDocument/2006/relationships/control" Target="../activeX/activeX22.xml"/><Relationship Id="rId114" Type="http://schemas.openxmlformats.org/officeDocument/2006/relationships/ctrlProp" Target="../ctrlProps/ctrlProp38.xml"/><Relationship Id="rId296" Type="http://schemas.openxmlformats.org/officeDocument/2006/relationships/ctrlProp" Target="../ctrlProps/ctrlProp220.xml"/><Relationship Id="rId461" Type="http://schemas.openxmlformats.org/officeDocument/2006/relationships/ctrlProp" Target="../ctrlProps/ctrlProp385.xml"/><Relationship Id="rId517" Type="http://schemas.openxmlformats.org/officeDocument/2006/relationships/ctrlProp" Target="../ctrlProps/ctrlProp441.xml"/><Relationship Id="rId559" Type="http://schemas.openxmlformats.org/officeDocument/2006/relationships/ctrlProp" Target="../ctrlProps/ctrlProp483.xml"/><Relationship Id="rId724" Type="http://schemas.openxmlformats.org/officeDocument/2006/relationships/ctrlProp" Target="../ctrlProps/ctrlProp648.xml"/><Relationship Id="rId60" Type="http://schemas.openxmlformats.org/officeDocument/2006/relationships/image" Target="../media/image35.emf"/><Relationship Id="rId156" Type="http://schemas.openxmlformats.org/officeDocument/2006/relationships/ctrlProp" Target="../ctrlProps/ctrlProp80.xml"/><Relationship Id="rId198" Type="http://schemas.openxmlformats.org/officeDocument/2006/relationships/ctrlProp" Target="../ctrlProps/ctrlProp122.xml"/><Relationship Id="rId321" Type="http://schemas.openxmlformats.org/officeDocument/2006/relationships/ctrlProp" Target="../ctrlProps/ctrlProp245.xml"/><Relationship Id="rId363" Type="http://schemas.openxmlformats.org/officeDocument/2006/relationships/ctrlProp" Target="../ctrlProps/ctrlProp287.xml"/><Relationship Id="rId419" Type="http://schemas.openxmlformats.org/officeDocument/2006/relationships/ctrlProp" Target="../ctrlProps/ctrlProp343.xml"/><Relationship Id="rId570" Type="http://schemas.openxmlformats.org/officeDocument/2006/relationships/ctrlProp" Target="../ctrlProps/ctrlProp494.xml"/><Relationship Id="rId626" Type="http://schemas.openxmlformats.org/officeDocument/2006/relationships/ctrlProp" Target="../ctrlProps/ctrlProp550.xml"/><Relationship Id="rId223" Type="http://schemas.openxmlformats.org/officeDocument/2006/relationships/ctrlProp" Target="../ctrlProps/ctrlProp147.xml"/><Relationship Id="rId430" Type="http://schemas.openxmlformats.org/officeDocument/2006/relationships/ctrlProp" Target="../ctrlProps/ctrlProp354.xml"/><Relationship Id="rId668" Type="http://schemas.openxmlformats.org/officeDocument/2006/relationships/ctrlProp" Target="../ctrlProps/ctrlProp592.xml"/><Relationship Id="rId18" Type="http://schemas.openxmlformats.org/officeDocument/2006/relationships/control" Target="../activeX/activeX5.xml"/><Relationship Id="rId265" Type="http://schemas.openxmlformats.org/officeDocument/2006/relationships/ctrlProp" Target="../ctrlProps/ctrlProp189.xml"/><Relationship Id="rId472" Type="http://schemas.openxmlformats.org/officeDocument/2006/relationships/ctrlProp" Target="../ctrlProps/ctrlProp396.xml"/><Relationship Id="rId528" Type="http://schemas.openxmlformats.org/officeDocument/2006/relationships/ctrlProp" Target="../ctrlProps/ctrlProp452.xml"/><Relationship Id="rId735" Type="http://schemas.openxmlformats.org/officeDocument/2006/relationships/ctrlProp" Target="../ctrlProps/ctrlProp659.xml"/><Relationship Id="rId125" Type="http://schemas.openxmlformats.org/officeDocument/2006/relationships/ctrlProp" Target="../ctrlProps/ctrlProp49.xml"/><Relationship Id="rId167" Type="http://schemas.openxmlformats.org/officeDocument/2006/relationships/ctrlProp" Target="../ctrlProps/ctrlProp91.xml"/><Relationship Id="rId332" Type="http://schemas.openxmlformats.org/officeDocument/2006/relationships/ctrlProp" Target="../ctrlProps/ctrlProp256.xml"/><Relationship Id="rId374" Type="http://schemas.openxmlformats.org/officeDocument/2006/relationships/ctrlProp" Target="../ctrlProps/ctrlProp298.xml"/><Relationship Id="rId581" Type="http://schemas.openxmlformats.org/officeDocument/2006/relationships/ctrlProp" Target="../ctrlProps/ctrlProp505.xml"/><Relationship Id="rId71" Type="http://schemas.openxmlformats.org/officeDocument/2006/relationships/control" Target="../activeX/activeX34.xml"/><Relationship Id="rId234" Type="http://schemas.openxmlformats.org/officeDocument/2006/relationships/ctrlProp" Target="../ctrlProps/ctrlProp158.xml"/><Relationship Id="rId637" Type="http://schemas.openxmlformats.org/officeDocument/2006/relationships/ctrlProp" Target="../ctrlProps/ctrlProp561.xml"/><Relationship Id="rId679" Type="http://schemas.openxmlformats.org/officeDocument/2006/relationships/ctrlProp" Target="../ctrlProps/ctrlProp603.xml"/><Relationship Id="rId2" Type="http://schemas.openxmlformats.org/officeDocument/2006/relationships/hyperlink" Target="http://purchasing.bosch.com/de/start/Allgemeines/Download/index.htm" TargetMode="External"/><Relationship Id="rId29" Type="http://schemas.openxmlformats.org/officeDocument/2006/relationships/control" Target="../activeX/activeX12.xml"/><Relationship Id="rId276" Type="http://schemas.openxmlformats.org/officeDocument/2006/relationships/ctrlProp" Target="../ctrlProps/ctrlProp200.xml"/><Relationship Id="rId441" Type="http://schemas.openxmlformats.org/officeDocument/2006/relationships/ctrlProp" Target="../ctrlProps/ctrlProp365.xml"/><Relationship Id="rId483" Type="http://schemas.openxmlformats.org/officeDocument/2006/relationships/ctrlProp" Target="../ctrlProps/ctrlProp407.xml"/><Relationship Id="rId539" Type="http://schemas.openxmlformats.org/officeDocument/2006/relationships/ctrlProp" Target="../ctrlProps/ctrlProp463.xml"/><Relationship Id="rId690" Type="http://schemas.openxmlformats.org/officeDocument/2006/relationships/ctrlProp" Target="../ctrlProps/ctrlProp614.xml"/><Relationship Id="rId704" Type="http://schemas.openxmlformats.org/officeDocument/2006/relationships/ctrlProp" Target="../ctrlProps/ctrlProp628.xml"/><Relationship Id="rId746" Type="http://schemas.openxmlformats.org/officeDocument/2006/relationships/ctrlProp" Target="../ctrlProps/ctrlProp670.xml"/><Relationship Id="rId40" Type="http://schemas.openxmlformats.org/officeDocument/2006/relationships/image" Target="../media/image25.emf"/><Relationship Id="rId136" Type="http://schemas.openxmlformats.org/officeDocument/2006/relationships/ctrlProp" Target="../ctrlProps/ctrlProp60.xml"/><Relationship Id="rId178" Type="http://schemas.openxmlformats.org/officeDocument/2006/relationships/ctrlProp" Target="../ctrlProps/ctrlProp102.xml"/><Relationship Id="rId301" Type="http://schemas.openxmlformats.org/officeDocument/2006/relationships/ctrlProp" Target="../ctrlProps/ctrlProp225.xml"/><Relationship Id="rId343" Type="http://schemas.openxmlformats.org/officeDocument/2006/relationships/ctrlProp" Target="../ctrlProps/ctrlProp267.xml"/><Relationship Id="rId550" Type="http://schemas.openxmlformats.org/officeDocument/2006/relationships/ctrlProp" Target="../ctrlProps/ctrlProp474.xml"/><Relationship Id="rId82" Type="http://schemas.openxmlformats.org/officeDocument/2006/relationships/ctrlProp" Target="../ctrlProps/ctrlProp6.xml"/><Relationship Id="rId203" Type="http://schemas.openxmlformats.org/officeDocument/2006/relationships/ctrlProp" Target="../ctrlProps/ctrlProp127.xml"/><Relationship Id="rId385" Type="http://schemas.openxmlformats.org/officeDocument/2006/relationships/ctrlProp" Target="../ctrlProps/ctrlProp309.xml"/><Relationship Id="rId592" Type="http://schemas.openxmlformats.org/officeDocument/2006/relationships/ctrlProp" Target="../ctrlProps/ctrlProp516.xml"/><Relationship Id="rId606" Type="http://schemas.openxmlformats.org/officeDocument/2006/relationships/ctrlProp" Target="../ctrlProps/ctrlProp530.xml"/><Relationship Id="rId648" Type="http://schemas.openxmlformats.org/officeDocument/2006/relationships/ctrlProp" Target="../ctrlProps/ctrlProp572.xml"/><Relationship Id="rId245" Type="http://schemas.openxmlformats.org/officeDocument/2006/relationships/ctrlProp" Target="../ctrlProps/ctrlProp169.xml"/><Relationship Id="rId287" Type="http://schemas.openxmlformats.org/officeDocument/2006/relationships/ctrlProp" Target="../ctrlProps/ctrlProp211.xml"/><Relationship Id="rId410" Type="http://schemas.openxmlformats.org/officeDocument/2006/relationships/ctrlProp" Target="../ctrlProps/ctrlProp334.xml"/><Relationship Id="rId452" Type="http://schemas.openxmlformats.org/officeDocument/2006/relationships/ctrlProp" Target="../ctrlProps/ctrlProp376.xml"/><Relationship Id="rId494" Type="http://schemas.openxmlformats.org/officeDocument/2006/relationships/ctrlProp" Target="../ctrlProps/ctrlProp418.xml"/><Relationship Id="rId508" Type="http://schemas.openxmlformats.org/officeDocument/2006/relationships/ctrlProp" Target="../ctrlProps/ctrlProp432.xml"/><Relationship Id="rId715" Type="http://schemas.openxmlformats.org/officeDocument/2006/relationships/ctrlProp" Target="../ctrlProps/ctrlProp639.xml"/><Relationship Id="rId105" Type="http://schemas.openxmlformats.org/officeDocument/2006/relationships/ctrlProp" Target="../ctrlProps/ctrlProp29.xml"/><Relationship Id="rId147" Type="http://schemas.openxmlformats.org/officeDocument/2006/relationships/ctrlProp" Target="../ctrlProps/ctrlProp71.xml"/><Relationship Id="rId312" Type="http://schemas.openxmlformats.org/officeDocument/2006/relationships/ctrlProp" Target="../ctrlProps/ctrlProp236.xml"/><Relationship Id="rId354" Type="http://schemas.openxmlformats.org/officeDocument/2006/relationships/ctrlProp" Target="../ctrlProps/ctrlProp278.xml"/><Relationship Id="rId757" Type="http://schemas.openxmlformats.org/officeDocument/2006/relationships/ctrlProp" Target="../ctrlProps/ctrlProp681.xml"/><Relationship Id="rId51" Type="http://schemas.openxmlformats.org/officeDocument/2006/relationships/control" Target="../activeX/activeX23.xml"/><Relationship Id="rId93" Type="http://schemas.openxmlformats.org/officeDocument/2006/relationships/ctrlProp" Target="../ctrlProps/ctrlProp17.xml"/><Relationship Id="rId189" Type="http://schemas.openxmlformats.org/officeDocument/2006/relationships/ctrlProp" Target="../ctrlProps/ctrlProp113.xml"/><Relationship Id="rId396" Type="http://schemas.openxmlformats.org/officeDocument/2006/relationships/ctrlProp" Target="../ctrlProps/ctrlProp320.xml"/><Relationship Id="rId561" Type="http://schemas.openxmlformats.org/officeDocument/2006/relationships/ctrlProp" Target="../ctrlProps/ctrlProp485.xml"/><Relationship Id="rId617" Type="http://schemas.openxmlformats.org/officeDocument/2006/relationships/ctrlProp" Target="../ctrlProps/ctrlProp541.xml"/><Relationship Id="rId659" Type="http://schemas.openxmlformats.org/officeDocument/2006/relationships/ctrlProp" Target="../ctrlProps/ctrlProp583.xml"/><Relationship Id="rId214" Type="http://schemas.openxmlformats.org/officeDocument/2006/relationships/ctrlProp" Target="../ctrlProps/ctrlProp138.xml"/><Relationship Id="rId256" Type="http://schemas.openxmlformats.org/officeDocument/2006/relationships/ctrlProp" Target="../ctrlProps/ctrlProp180.xml"/><Relationship Id="rId298" Type="http://schemas.openxmlformats.org/officeDocument/2006/relationships/ctrlProp" Target="../ctrlProps/ctrlProp222.xml"/><Relationship Id="rId421" Type="http://schemas.openxmlformats.org/officeDocument/2006/relationships/ctrlProp" Target="../ctrlProps/ctrlProp345.xml"/><Relationship Id="rId463" Type="http://schemas.openxmlformats.org/officeDocument/2006/relationships/ctrlProp" Target="../ctrlProps/ctrlProp387.xml"/><Relationship Id="rId519" Type="http://schemas.openxmlformats.org/officeDocument/2006/relationships/ctrlProp" Target="../ctrlProps/ctrlProp443.xml"/><Relationship Id="rId670" Type="http://schemas.openxmlformats.org/officeDocument/2006/relationships/ctrlProp" Target="../ctrlProps/ctrlProp594.xml"/><Relationship Id="rId116" Type="http://schemas.openxmlformats.org/officeDocument/2006/relationships/ctrlProp" Target="../ctrlProps/ctrlProp40.xml"/><Relationship Id="rId158" Type="http://schemas.openxmlformats.org/officeDocument/2006/relationships/ctrlProp" Target="../ctrlProps/ctrlProp82.xml"/><Relationship Id="rId323" Type="http://schemas.openxmlformats.org/officeDocument/2006/relationships/ctrlProp" Target="../ctrlProps/ctrlProp247.xml"/><Relationship Id="rId530" Type="http://schemas.openxmlformats.org/officeDocument/2006/relationships/ctrlProp" Target="../ctrlProps/ctrlProp454.xml"/><Relationship Id="rId726" Type="http://schemas.openxmlformats.org/officeDocument/2006/relationships/ctrlProp" Target="../ctrlProps/ctrlProp650.xml"/><Relationship Id="rId20" Type="http://schemas.openxmlformats.org/officeDocument/2006/relationships/control" Target="../activeX/activeX7.xml"/><Relationship Id="rId62" Type="http://schemas.openxmlformats.org/officeDocument/2006/relationships/image" Target="../media/image36.emf"/><Relationship Id="rId365" Type="http://schemas.openxmlformats.org/officeDocument/2006/relationships/ctrlProp" Target="../ctrlProps/ctrlProp289.xml"/><Relationship Id="rId572" Type="http://schemas.openxmlformats.org/officeDocument/2006/relationships/ctrlProp" Target="../ctrlProps/ctrlProp496.xml"/><Relationship Id="rId628" Type="http://schemas.openxmlformats.org/officeDocument/2006/relationships/ctrlProp" Target="../ctrlProps/ctrlProp552.xml"/><Relationship Id="rId225" Type="http://schemas.openxmlformats.org/officeDocument/2006/relationships/ctrlProp" Target="../ctrlProps/ctrlProp149.xml"/><Relationship Id="rId267" Type="http://schemas.openxmlformats.org/officeDocument/2006/relationships/ctrlProp" Target="../ctrlProps/ctrlProp191.xml"/><Relationship Id="rId432" Type="http://schemas.openxmlformats.org/officeDocument/2006/relationships/ctrlProp" Target="../ctrlProps/ctrlProp356.xml"/><Relationship Id="rId474" Type="http://schemas.openxmlformats.org/officeDocument/2006/relationships/ctrlProp" Target="../ctrlProps/ctrlProp398.xml"/><Relationship Id="rId127" Type="http://schemas.openxmlformats.org/officeDocument/2006/relationships/ctrlProp" Target="../ctrlProps/ctrlProp51.xml"/><Relationship Id="rId681" Type="http://schemas.openxmlformats.org/officeDocument/2006/relationships/ctrlProp" Target="../ctrlProps/ctrlProp605.xml"/><Relationship Id="rId737" Type="http://schemas.openxmlformats.org/officeDocument/2006/relationships/ctrlProp" Target="../ctrlProps/ctrlProp661.xml"/><Relationship Id="rId31" Type="http://schemas.openxmlformats.org/officeDocument/2006/relationships/control" Target="../activeX/activeX13.xml"/><Relationship Id="rId73" Type="http://schemas.openxmlformats.org/officeDocument/2006/relationships/control" Target="../activeX/activeX35.xml"/><Relationship Id="rId169" Type="http://schemas.openxmlformats.org/officeDocument/2006/relationships/ctrlProp" Target="../ctrlProps/ctrlProp93.xml"/><Relationship Id="rId334" Type="http://schemas.openxmlformats.org/officeDocument/2006/relationships/ctrlProp" Target="../ctrlProps/ctrlProp258.xml"/><Relationship Id="rId376" Type="http://schemas.openxmlformats.org/officeDocument/2006/relationships/ctrlProp" Target="../ctrlProps/ctrlProp300.xml"/><Relationship Id="rId541" Type="http://schemas.openxmlformats.org/officeDocument/2006/relationships/ctrlProp" Target="../ctrlProps/ctrlProp465.xml"/><Relationship Id="rId583" Type="http://schemas.openxmlformats.org/officeDocument/2006/relationships/ctrlProp" Target="../ctrlProps/ctrlProp507.xml"/><Relationship Id="rId639" Type="http://schemas.openxmlformats.org/officeDocument/2006/relationships/ctrlProp" Target="../ctrlProps/ctrlProp563.xml"/><Relationship Id="rId4" Type="http://schemas.openxmlformats.org/officeDocument/2006/relationships/hyperlink" Target="https://inside-wiki.bosch.com/confluence/display/dsmanufacturingtechnologymanagement/DS+Energy+Efficiency+MAE+Checklist" TargetMode="External"/><Relationship Id="rId180" Type="http://schemas.openxmlformats.org/officeDocument/2006/relationships/ctrlProp" Target="../ctrlProps/ctrlProp104.xml"/><Relationship Id="rId236" Type="http://schemas.openxmlformats.org/officeDocument/2006/relationships/ctrlProp" Target="../ctrlProps/ctrlProp160.xml"/><Relationship Id="rId278" Type="http://schemas.openxmlformats.org/officeDocument/2006/relationships/ctrlProp" Target="../ctrlProps/ctrlProp202.xml"/><Relationship Id="rId401" Type="http://schemas.openxmlformats.org/officeDocument/2006/relationships/ctrlProp" Target="../ctrlProps/ctrlProp325.xml"/><Relationship Id="rId443" Type="http://schemas.openxmlformats.org/officeDocument/2006/relationships/ctrlProp" Target="../ctrlProps/ctrlProp367.xml"/><Relationship Id="rId650" Type="http://schemas.openxmlformats.org/officeDocument/2006/relationships/ctrlProp" Target="../ctrlProps/ctrlProp574.xml"/><Relationship Id="rId303" Type="http://schemas.openxmlformats.org/officeDocument/2006/relationships/ctrlProp" Target="../ctrlProps/ctrlProp227.xml"/><Relationship Id="rId485" Type="http://schemas.openxmlformats.org/officeDocument/2006/relationships/ctrlProp" Target="../ctrlProps/ctrlProp409.xml"/><Relationship Id="rId692" Type="http://schemas.openxmlformats.org/officeDocument/2006/relationships/ctrlProp" Target="../ctrlProps/ctrlProp616.xml"/><Relationship Id="rId706" Type="http://schemas.openxmlformats.org/officeDocument/2006/relationships/ctrlProp" Target="../ctrlProps/ctrlProp630.xml"/><Relationship Id="rId748" Type="http://schemas.openxmlformats.org/officeDocument/2006/relationships/ctrlProp" Target="../ctrlProps/ctrlProp672.xml"/><Relationship Id="rId42" Type="http://schemas.openxmlformats.org/officeDocument/2006/relationships/image" Target="../media/image26.emf"/><Relationship Id="rId84" Type="http://schemas.openxmlformats.org/officeDocument/2006/relationships/ctrlProp" Target="../ctrlProps/ctrlProp8.xml"/><Relationship Id="rId138" Type="http://schemas.openxmlformats.org/officeDocument/2006/relationships/ctrlProp" Target="../ctrlProps/ctrlProp62.xml"/><Relationship Id="rId345" Type="http://schemas.openxmlformats.org/officeDocument/2006/relationships/ctrlProp" Target="../ctrlProps/ctrlProp269.xml"/><Relationship Id="rId387" Type="http://schemas.openxmlformats.org/officeDocument/2006/relationships/ctrlProp" Target="../ctrlProps/ctrlProp311.xml"/><Relationship Id="rId510" Type="http://schemas.openxmlformats.org/officeDocument/2006/relationships/ctrlProp" Target="../ctrlProps/ctrlProp434.xml"/><Relationship Id="rId552" Type="http://schemas.openxmlformats.org/officeDocument/2006/relationships/ctrlProp" Target="../ctrlProps/ctrlProp476.xml"/><Relationship Id="rId594" Type="http://schemas.openxmlformats.org/officeDocument/2006/relationships/ctrlProp" Target="../ctrlProps/ctrlProp518.xml"/><Relationship Id="rId608" Type="http://schemas.openxmlformats.org/officeDocument/2006/relationships/ctrlProp" Target="../ctrlProps/ctrlProp532.xml"/><Relationship Id="rId191" Type="http://schemas.openxmlformats.org/officeDocument/2006/relationships/ctrlProp" Target="../ctrlProps/ctrlProp115.xml"/><Relationship Id="rId205" Type="http://schemas.openxmlformats.org/officeDocument/2006/relationships/ctrlProp" Target="../ctrlProps/ctrlProp129.xml"/><Relationship Id="rId247" Type="http://schemas.openxmlformats.org/officeDocument/2006/relationships/ctrlProp" Target="../ctrlProps/ctrlProp171.xml"/><Relationship Id="rId412" Type="http://schemas.openxmlformats.org/officeDocument/2006/relationships/ctrlProp" Target="../ctrlProps/ctrlProp336.xml"/><Relationship Id="rId107" Type="http://schemas.openxmlformats.org/officeDocument/2006/relationships/ctrlProp" Target="../ctrlProps/ctrlProp31.xml"/><Relationship Id="rId289" Type="http://schemas.openxmlformats.org/officeDocument/2006/relationships/ctrlProp" Target="../ctrlProps/ctrlProp213.xml"/><Relationship Id="rId454" Type="http://schemas.openxmlformats.org/officeDocument/2006/relationships/ctrlProp" Target="../ctrlProps/ctrlProp378.xml"/><Relationship Id="rId496" Type="http://schemas.openxmlformats.org/officeDocument/2006/relationships/ctrlProp" Target="../ctrlProps/ctrlProp420.xml"/><Relationship Id="rId661" Type="http://schemas.openxmlformats.org/officeDocument/2006/relationships/ctrlProp" Target="../ctrlProps/ctrlProp585.xml"/><Relationship Id="rId717" Type="http://schemas.openxmlformats.org/officeDocument/2006/relationships/ctrlProp" Target="../ctrlProps/ctrlProp641.xml"/><Relationship Id="rId759" Type="http://schemas.openxmlformats.org/officeDocument/2006/relationships/ctrlProp" Target="../ctrlProps/ctrlProp683.xml"/><Relationship Id="rId11" Type="http://schemas.openxmlformats.org/officeDocument/2006/relationships/oleObject" Target="../embeddings/oleObject2.bin"/><Relationship Id="rId53" Type="http://schemas.openxmlformats.org/officeDocument/2006/relationships/control" Target="../activeX/activeX24.xml"/><Relationship Id="rId149" Type="http://schemas.openxmlformats.org/officeDocument/2006/relationships/ctrlProp" Target="../ctrlProps/ctrlProp73.xml"/><Relationship Id="rId314" Type="http://schemas.openxmlformats.org/officeDocument/2006/relationships/ctrlProp" Target="../ctrlProps/ctrlProp238.xml"/><Relationship Id="rId356" Type="http://schemas.openxmlformats.org/officeDocument/2006/relationships/ctrlProp" Target="../ctrlProps/ctrlProp280.xml"/><Relationship Id="rId398" Type="http://schemas.openxmlformats.org/officeDocument/2006/relationships/ctrlProp" Target="../ctrlProps/ctrlProp322.xml"/><Relationship Id="rId521" Type="http://schemas.openxmlformats.org/officeDocument/2006/relationships/ctrlProp" Target="../ctrlProps/ctrlProp445.xml"/><Relationship Id="rId563" Type="http://schemas.openxmlformats.org/officeDocument/2006/relationships/ctrlProp" Target="../ctrlProps/ctrlProp487.xml"/><Relationship Id="rId619" Type="http://schemas.openxmlformats.org/officeDocument/2006/relationships/ctrlProp" Target="../ctrlProps/ctrlProp543.xml"/><Relationship Id="rId95" Type="http://schemas.openxmlformats.org/officeDocument/2006/relationships/ctrlProp" Target="../ctrlProps/ctrlProp19.xml"/><Relationship Id="rId160" Type="http://schemas.openxmlformats.org/officeDocument/2006/relationships/ctrlProp" Target="../ctrlProps/ctrlProp84.xml"/><Relationship Id="rId216" Type="http://schemas.openxmlformats.org/officeDocument/2006/relationships/ctrlProp" Target="../ctrlProps/ctrlProp140.xml"/><Relationship Id="rId423" Type="http://schemas.openxmlformats.org/officeDocument/2006/relationships/ctrlProp" Target="../ctrlProps/ctrlProp347.xml"/><Relationship Id="rId258" Type="http://schemas.openxmlformats.org/officeDocument/2006/relationships/ctrlProp" Target="../ctrlProps/ctrlProp182.xml"/><Relationship Id="rId465" Type="http://schemas.openxmlformats.org/officeDocument/2006/relationships/ctrlProp" Target="../ctrlProps/ctrlProp389.xml"/><Relationship Id="rId630" Type="http://schemas.openxmlformats.org/officeDocument/2006/relationships/ctrlProp" Target="../ctrlProps/ctrlProp554.xml"/><Relationship Id="rId672" Type="http://schemas.openxmlformats.org/officeDocument/2006/relationships/ctrlProp" Target="../ctrlProps/ctrlProp596.xml"/><Relationship Id="rId728" Type="http://schemas.openxmlformats.org/officeDocument/2006/relationships/ctrlProp" Target="../ctrlProps/ctrlProp652.xml"/><Relationship Id="rId22" Type="http://schemas.openxmlformats.org/officeDocument/2006/relationships/image" Target="../media/image16.emf"/><Relationship Id="rId64" Type="http://schemas.openxmlformats.org/officeDocument/2006/relationships/control" Target="../activeX/activeX30.xml"/><Relationship Id="rId118" Type="http://schemas.openxmlformats.org/officeDocument/2006/relationships/ctrlProp" Target="../ctrlProps/ctrlProp42.xml"/><Relationship Id="rId325" Type="http://schemas.openxmlformats.org/officeDocument/2006/relationships/ctrlProp" Target="../ctrlProps/ctrlProp249.xml"/><Relationship Id="rId367" Type="http://schemas.openxmlformats.org/officeDocument/2006/relationships/ctrlProp" Target="../ctrlProps/ctrlProp291.xml"/><Relationship Id="rId532" Type="http://schemas.openxmlformats.org/officeDocument/2006/relationships/ctrlProp" Target="../ctrlProps/ctrlProp456.xml"/><Relationship Id="rId574" Type="http://schemas.openxmlformats.org/officeDocument/2006/relationships/ctrlProp" Target="../ctrlProps/ctrlProp498.xml"/><Relationship Id="rId171" Type="http://schemas.openxmlformats.org/officeDocument/2006/relationships/ctrlProp" Target="../ctrlProps/ctrlProp95.xml"/><Relationship Id="rId227" Type="http://schemas.openxmlformats.org/officeDocument/2006/relationships/ctrlProp" Target="../ctrlProps/ctrlProp151.xml"/><Relationship Id="rId269" Type="http://schemas.openxmlformats.org/officeDocument/2006/relationships/ctrlProp" Target="../ctrlProps/ctrlProp193.xml"/><Relationship Id="rId434" Type="http://schemas.openxmlformats.org/officeDocument/2006/relationships/ctrlProp" Target="../ctrlProps/ctrlProp358.xml"/><Relationship Id="rId476" Type="http://schemas.openxmlformats.org/officeDocument/2006/relationships/ctrlProp" Target="../ctrlProps/ctrlProp400.xml"/><Relationship Id="rId641" Type="http://schemas.openxmlformats.org/officeDocument/2006/relationships/ctrlProp" Target="../ctrlProps/ctrlProp565.xml"/><Relationship Id="rId683" Type="http://schemas.openxmlformats.org/officeDocument/2006/relationships/ctrlProp" Target="../ctrlProps/ctrlProp607.xml"/><Relationship Id="rId739" Type="http://schemas.openxmlformats.org/officeDocument/2006/relationships/ctrlProp" Target="../ctrlProps/ctrlProp663.xml"/><Relationship Id="rId33" Type="http://schemas.openxmlformats.org/officeDocument/2006/relationships/control" Target="../activeX/activeX14.xml"/><Relationship Id="rId129" Type="http://schemas.openxmlformats.org/officeDocument/2006/relationships/ctrlProp" Target="../ctrlProps/ctrlProp53.xml"/><Relationship Id="rId280" Type="http://schemas.openxmlformats.org/officeDocument/2006/relationships/ctrlProp" Target="../ctrlProps/ctrlProp204.xml"/><Relationship Id="rId336" Type="http://schemas.openxmlformats.org/officeDocument/2006/relationships/ctrlProp" Target="../ctrlProps/ctrlProp260.xml"/><Relationship Id="rId501" Type="http://schemas.openxmlformats.org/officeDocument/2006/relationships/ctrlProp" Target="../ctrlProps/ctrlProp425.xml"/><Relationship Id="rId543" Type="http://schemas.openxmlformats.org/officeDocument/2006/relationships/ctrlProp" Target="../ctrlProps/ctrlProp467.xml"/><Relationship Id="rId75" Type="http://schemas.openxmlformats.org/officeDocument/2006/relationships/control" Target="../activeX/activeX36.xml"/><Relationship Id="rId140" Type="http://schemas.openxmlformats.org/officeDocument/2006/relationships/ctrlProp" Target="../ctrlProps/ctrlProp64.xml"/><Relationship Id="rId182" Type="http://schemas.openxmlformats.org/officeDocument/2006/relationships/ctrlProp" Target="../ctrlProps/ctrlProp106.xml"/><Relationship Id="rId378" Type="http://schemas.openxmlformats.org/officeDocument/2006/relationships/ctrlProp" Target="../ctrlProps/ctrlProp302.xml"/><Relationship Id="rId403" Type="http://schemas.openxmlformats.org/officeDocument/2006/relationships/ctrlProp" Target="../ctrlProps/ctrlProp327.xml"/><Relationship Id="rId585" Type="http://schemas.openxmlformats.org/officeDocument/2006/relationships/ctrlProp" Target="../ctrlProps/ctrlProp509.xml"/><Relationship Id="rId750" Type="http://schemas.openxmlformats.org/officeDocument/2006/relationships/ctrlProp" Target="../ctrlProps/ctrlProp674.xml"/><Relationship Id="rId6" Type="http://schemas.openxmlformats.org/officeDocument/2006/relationships/printerSettings" Target="../printerSettings/printerSettings4.bin"/><Relationship Id="rId238" Type="http://schemas.openxmlformats.org/officeDocument/2006/relationships/ctrlProp" Target="../ctrlProps/ctrlProp162.xml"/><Relationship Id="rId445" Type="http://schemas.openxmlformats.org/officeDocument/2006/relationships/ctrlProp" Target="../ctrlProps/ctrlProp369.xml"/><Relationship Id="rId487" Type="http://schemas.openxmlformats.org/officeDocument/2006/relationships/ctrlProp" Target="../ctrlProps/ctrlProp411.xml"/><Relationship Id="rId610" Type="http://schemas.openxmlformats.org/officeDocument/2006/relationships/ctrlProp" Target="../ctrlProps/ctrlProp534.xml"/><Relationship Id="rId652" Type="http://schemas.openxmlformats.org/officeDocument/2006/relationships/ctrlProp" Target="../ctrlProps/ctrlProp576.xml"/><Relationship Id="rId694" Type="http://schemas.openxmlformats.org/officeDocument/2006/relationships/ctrlProp" Target="../ctrlProps/ctrlProp618.xml"/><Relationship Id="rId708" Type="http://schemas.openxmlformats.org/officeDocument/2006/relationships/ctrlProp" Target="../ctrlProps/ctrlProp632.xml"/><Relationship Id="rId291" Type="http://schemas.openxmlformats.org/officeDocument/2006/relationships/ctrlProp" Target="../ctrlProps/ctrlProp215.xml"/><Relationship Id="rId305" Type="http://schemas.openxmlformats.org/officeDocument/2006/relationships/ctrlProp" Target="../ctrlProps/ctrlProp229.xml"/><Relationship Id="rId347" Type="http://schemas.openxmlformats.org/officeDocument/2006/relationships/ctrlProp" Target="../ctrlProps/ctrlProp271.xml"/><Relationship Id="rId512" Type="http://schemas.openxmlformats.org/officeDocument/2006/relationships/ctrlProp" Target="../ctrlProps/ctrlProp436.xml"/><Relationship Id="rId44" Type="http://schemas.openxmlformats.org/officeDocument/2006/relationships/image" Target="../media/image27.emf"/><Relationship Id="rId86" Type="http://schemas.openxmlformats.org/officeDocument/2006/relationships/ctrlProp" Target="../ctrlProps/ctrlProp10.xml"/><Relationship Id="rId151" Type="http://schemas.openxmlformats.org/officeDocument/2006/relationships/ctrlProp" Target="../ctrlProps/ctrlProp75.xml"/><Relationship Id="rId389" Type="http://schemas.openxmlformats.org/officeDocument/2006/relationships/ctrlProp" Target="../ctrlProps/ctrlProp313.xml"/><Relationship Id="rId554" Type="http://schemas.openxmlformats.org/officeDocument/2006/relationships/ctrlProp" Target="../ctrlProps/ctrlProp478.xml"/><Relationship Id="rId596" Type="http://schemas.openxmlformats.org/officeDocument/2006/relationships/ctrlProp" Target="../ctrlProps/ctrlProp520.xml"/><Relationship Id="rId761" Type="http://schemas.openxmlformats.org/officeDocument/2006/relationships/ctrlProp" Target="../ctrlProps/ctrlProp685.xml"/><Relationship Id="rId193" Type="http://schemas.openxmlformats.org/officeDocument/2006/relationships/ctrlProp" Target="../ctrlProps/ctrlProp117.xml"/><Relationship Id="rId207" Type="http://schemas.openxmlformats.org/officeDocument/2006/relationships/ctrlProp" Target="../ctrlProps/ctrlProp131.xml"/><Relationship Id="rId249" Type="http://schemas.openxmlformats.org/officeDocument/2006/relationships/ctrlProp" Target="../ctrlProps/ctrlProp173.xml"/><Relationship Id="rId414" Type="http://schemas.openxmlformats.org/officeDocument/2006/relationships/ctrlProp" Target="../ctrlProps/ctrlProp338.xml"/><Relationship Id="rId456" Type="http://schemas.openxmlformats.org/officeDocument/2006/relationships/ctrlProp" Target="../ctrlProps/ctrlProp380.xml"/><Relationship Id="rId498" Type="http://schemas.openxmlformats.org/officeDocument/2006/relationships/ctrlProp" Target="../ctrlProps/ctrlProp422.xml"/><Relationship Id="rId621" Type="http://schemas.openxmlformats.org/officeDocument/2006/relationships/ctrlProp" Target="../ctrlProps/ctrlProp545.xml"/><Relationship Id="rId663" Type="http://schemas.openxmlformats.org/officeDocument/2006/relationships/ctrlProp" Target="../ctrlProps/ctrlProp587.xml"/><Relationship Id="rId13" Type="http://schemas.openxmlformats.org/officeDocument/2006/relationships/control" Target="../activeX/activeX1.xml"/><Relationship Id="rId109" Type="http://schemas.openxmlformats.org/officeDocument/2006/relationships/ctrlProp" Target="../ctrlProps/ctrlProp33.xml"/><Relationship Id="rId260" Type="http://schemas.openxmlformats.org/officeDocument/2006/relationships/ctrlProp" Target="../ctrlProps/ctrlProp184.xml"/><Relationship Id="rId316" Type="http://schemas.openxmlformats.org/officeDocument/2006/relationships/ctrlProp" Target="../ctrlProps/ctrlProp240.xml"/><Relationship Id="rId523" Type="http://schemas.openxmlformats.org/officeDocument/2006/relationships/ctrlProp" Target="../ctrlProps/ctrlProp447.xml"/><Relationship Id="rId719" Type="http://schemas.openxmlformats.org/officeDocument/2006/relationships/ctrlProp" Target="../ctrlProps/ctrlProp643.xml"/><Relationship Id="rId55" Type="http://schemas.openxmlformats.org/officeDocument/2006/relationships/control" Target="../activeX/activeX25.xml"/><Relationship Id="rId97" Type="http://schemas.openxmlformats.org/officeDocument/2006/relationships/ctrlProp" Target="../ctrlProps/ctrlProp21.xml"/><Relationship Id="rId120" Type="http://schemas.openxmlformats.org/officeDocument/2006/relationships/ctrlProp" Target="../ctrlProps/ctrlProp44.xml"/><Relationship Id="rId358" Type="http://schemas.openxmlformats.org/officeDocument/2006/relationships/ctrlProp" Target="../ctrlProps/ctrlProp282.xml"/><Relationship Id="rId565" Type="http://schemas.openxmlformats.org/officeDocument/2006/relationships/ctrlProp" Target="../ctrlProps/ctrlProp489.xml"/><Relationship Id="rId730" Type="http://schemas.openxmlformats.org/officeDocument/2006/relationships/ctrlProp" Target="../ctrlProps/ctrlProp654.xml"/><Relationship Id="rId162" Type="http://schemas.openxmlformats.org/officeDocument/2006/relationships/ctrlProp" Target="../ctrlProps/ctrlProp86.xml"/><Relationship Id="rId218" Type="http://schemas.openxmlformats.org/officeDocument/2006/relationships/ctrlProp" Target="../ctrlProps/ctrlProp142.xml"/><Relationship Id="rId425" Type="http://schemas.openxmlformats.org/officeDocument/2006/relationships/ctrlProp" Target="../ctrlProps/ctrlProp349.xml"/><Relationship Id="rId467" Type="http://schemas.openxmlformats.org/officeDocument/2006/relationships/ctrlProp" Target="../ctrlProps/ctrlProp391.xml"/><Relationship Id="rId632" Type="http://schemas.openxmlformats.org/officeDocument/2006/relationships/ctrlProp" Target="../ctrlProps/ctrlProp556.xml"/><Relationship Id="rId271" Type="http://schemas.openxmlformats.org/officeDocument/2006/relationships/ctrlProp" Target="../ctrlProps/ctrlProp195.xml"/><Relationship Id="rId674" Type="http://schemas.openxmlformats.org/officeDocument/2006/relationships/ctrlProp" Target="../ctrlProps/ctrlProp598.xml"/><Relationship Id="rId24" Type="http://schemas.openxmlformats.org/officeDocument/2006/relationships/image" Target="../media/image17.emf"/><Relationship Id="rId66" Type="http://schemas.openxmlformats.org/officeDocument/2006/relationships/control" Target="../activeX/activeX31.xml"/><Relationship Id="rId131" Type="http://schemas.openxmlformats.org/officeDocument/2006/relationships/ctrlProp" Target="../ctrlProps/ctrlProp55.xml"/><Relationship Id="rId327" Type="http://schemas.openxmlformats.org/officeDocument/2006/relationships/ctrlProp" Target="../ctrlProps/ctrlProp251.xml"/><Relationship Id="rId369" Type="http://schemas.openxmlformats.org/officeDocument/2006/relationships/ctrlProp" Target="../ctrlProps/ctrlProp293.xml"/><Relationship Id="rId534" Type="http://schemas.openxmlformats.org/officeDocument/2006/relationships/ctrlProp" Target="../ctrlProps/ctrlProp458.xml"/><Relationship Id="rId576" Type="http://schemas.openxmlformats.org/officeDocument/2006/relationships/ctrlProp" Target="../ctrlProps/ctrlProp500.xml"/><Relationship Id="rId741" Type="http://schemas.openxmlformats.org/officeDocument/2006/relationships/ctrlProp" Target="../ctrlProps/ctrlProp665.xml"/><Relationship Id="rId173" Type="http://schemas.openxmlformats.org/officeDocument/2006/relationships/ctrlProp" Target="../ctrlProps/ctrlProp97.xml"/><Relationship Id="rId229" Type="http://schemas.openxmlformats.org/officeDocument/2006/relationships/ctrlProp" Target="../ctrlProps/ctrlProp153.xml"/><Relationship Id="rId380" Type="http://schemas.openxmlformats.org/officeDocument/2006/relationships/ctrlProp" Target="../ctrlProps/ctrlProp304.xml"/><Relationship Id="rId436" Type="http://schemas.openxmlformats.org/officeDocument/2006/relationships/ctrlProp" Target="../ctrlProps/ctrlProp360.xml"/><Relationship Id="rId601" Type="http://schemas.openxmlformats.org/officeDocument/2006/relationships/ctrlProp" Target="../ctrlProps/ctrlProp525.xml"/><Relationship Id="rId643" Type="http://schemas.openxmlformats.org/officeDocument/2006/relationships/ctrlProp" Target="../ctrlProps/ctrlProp567.xml"/><Relationship Id="rId240" Type="http://schemas.openxmlformats.org/officeDocument/2006/relationships/ctrlProp" Target="../ctrlProps/ctrlProp164.xml"/><Relationship Id="rId478" Type="http://schemas.openxmlformats.org/officeDocument/2006/relationships/ctrlProp" Target="../ctrlProps/ctrlProp402.xml"/><Relationship Id="rId685" Type="http://schemas.openxmlformats.org/officeDocument/2006/relationships/ctrlProp" Target="../ctrlProps/ctrlProp609.xml"/><Relationship Id="rId35" Type="http://schemas.openxmlformats.org/officeDocument/2006/relationships/control" Target="../activeX/activeX15.xml"/><Relationship Id="rId77" Type="http://schemas.openxmlformats.org/officeDocument/2006/relationships/ctrlProp" Target="../ctrlProps/ctrlProp1.xml"/><Relationship Id="rId100" Type="http://schemas.openxmlformats.org/officeDocument/2006/relationships/ctrlProp" Target="../ctrlProps/ctrlProp24.xml"/><Relationship Id="rId282" Type="http://schemas.openxmlformats.org/officeDocument/2006/relationships/ctrlProp" Target="../ctrlProps/ctrlProp206.xml"/><Relationship Id="rId338" Type="http://schemas.openxmlformats.org/officeDocument/2006/relationships/ctrlProp" Target="../ctrlProps/ctrlProp262.xml"/><Relationship Id="rId503" Type="http://schemas.openxmlformats.org/officeDocument/2006/relationships/ctrlProp" Target="../ctrlProps/ctrlProp427.xml"/><Relationship Id="rId545" Type="http://schemas.openxmlformats.org/officeDocument/2006/relationships/ctrlProp" Target="../ctrlProps/ctrlProp469.xml"/><Relationship Id="rId587" Type="http://schemas.openxmlformats.org/officeDocument/2006/relationships/ctrlProp" Target="../ctrlProps/ctrlProp511.xml"/><Relationship Id="rId710" Type="http://schemas.openxmlformats.org/officeDocument/2006/relationships/ctrlProp" Target="../ctrlProps/ctrlProp634.xml"/><Relationship Id="rId752" Type="http://schemas.openxmlformats.org/officeDocument/2006/relationships/ctrlProp" Target="../ctrlProps/ctrlProp676.xml"/><Relationship Id="rId8" Type="http://schemas.openxmlformats.org/officeDocument/2006/relationships/vmlDrawing" Target="../drawings/vmlDrawing1.vml"/><Relationship Id="rId142" Type="http://schemas.openxmlformats.org/officeDocument/2006/relationships/ctrlProp" Target="../ctrlProps/ctrlProp66.xml"/><Relationship Id="rId184" Type="http://schemas.openxmlformats.org/officeDocument/2006/relationships/ctrlProp" Target="../ctrlProps/ctrlProp108.xml"/><Relationship Id="rId391" Type="http://schemas.openxmlformats.org/officeDocument/2006/relationships/ctrlProp" Target="../ctrlProps/ctrlProp315.xml"/><Relationship Id="rId405" Type="http://schemas.openxmlformats.org/officeDocument/2006/relationships/ctrlProp" Target="../ctrlProps/ctrlProp329.xml"/><Relationship Id="rId447" Type="http://schemas.openxmlformats.org/officeDocument/2006/relationships/ctrlProp" Target="../ctrlProps/ctrlProp371.xml"/><Relationship Id="rId612" Type="http://schemas.openxmlformats.org/officeDocument/2006/relationships/ctrlProp" Target="../ctrlProps/ctrlProp536.xml"/><Relationship Id="rId251" Type="http://schemas.openxmlformats.org/officeDocument/2006/relationships/ctrlProp" Target="../ctrlProps/ctrlProp175.xml"/><Relationship Id="rId489" Type="http://schemas.openxmlformats.org/officeDocument/2006/relationships/ctrlProp" Target="../ctrlProps/ctrlProp413.xml"/><Relationship Id="rId654" Type="http://schemas.openxmlformats.org/officeDocument/2006/relationships/ctrlProp" Target="../ctrlProps/ctrlProp578.xml"/><Relationship Id="rId696" Type="http://schemas.openxmlformats.org/officeDocument/2006/relationships/ctrlProp" Target="../ctrlProps/ctrlProp620.xml"/><Relationship Id="rId46" Type="http://schemas.openxmlformats.org/officeDocument/2006/relationships/image" Target="../media/image28.emf"/><Relationship Id="rId293" Type="http://schemas.openxmlformats.org/officeDocument/2006/relationships/ctrlProp" Target="../ctrlProps/ctrlProp217.xml"/><Relationship Id="rId307" Type="http://schemas.openxmlformats.org/officeDocument/2006/relationships/ctrlProp" Target="../ctrlProps/ctrlProp231.xml"/><Relationship Id="rId349" Type="http://schemas.openxmlformats.org/officeDocument/2006/relationships/ctrlProp" Target="../ctrlProps/ctrlProp273.xml"/><Relationship Id="rId514" Type="http://schemas.openxmlformats.org/officeDocument/2006/relationships/ctrlProp" Target="../ctrlProps/ctrlProp438.xml"/><Relationship Id="rId556" Type="http://schemas.openxmlformats.org/officeDocument/2006/relationships/ctrlProp" Target="../ctrlProps/ctrlProp480.xml"/><Relationship Id="rId721" Type="http://schemas.openxmlformats.org/officeDocument/2006/relationships/ctrlProp" Target="../ctrlProps/ctrlProp645.xml"/><Relationship Id="rId763" Type="http://schemas.openxmlformats.org/officeDocument/2006/relationships/ctrlProp" Target="../ctrlProps/ctrlProp687.xml"/><Relationship Id="rId88" Type="http://schemas.openxmlformats.org/officeDocument/2006/relationships/ctrlProp" Target="../ctrlProps/ctrlProp12.xml"/><Relationship Id="rId111" Type="http://schemas.openxmlformats.org/officeDocument/2006/relationships/ctrlProp" Target="../ctrlProps/ctrlProp35.xml"/><Relationship Id="rId153" Type="http://schemas.openxmlformats.org/officeDocument/2006/relationships/ctrlProp" Target="../ctrlProps/ctrlProp77.xml"/><Relationship Id="rId195" Type="http://schemas.openxmlformats.org/officeDocument/2006/relationships/ctrlProp" Target="../ctrlProps/ctrlProp119.xml"/><Relationship Id="rId209" Type="http://schemas.openxmlformats.org/officeDocument/2006/relationships/ctrlProp" Target="../ctrlProps/ctrlProp133.xml"/><Relationship Id="rId360" Type="http://schemas.openxmlformats.org/officeDocument/2006/relationships/ctrlProp" Target="../ctrlProps/ctrlProp284.xml"/><Relationship Id="rId416" Type="http://schemas.openxmlformats.org/officeDocument/2006/relationships/ctrlProp" Target="../ctrlProps/ctrlProp340.xml"/><Relationship Id="rId598" Type="http://schemas.openxmlformats.org/officeDocument/2006/relationships/ctrlProp" Target="../ctrlProps/ctrlProp522.xml"/><Relationship Id="rId220" Type="http://schemas.openxmlformats.org/officeDocument/2006/relationships/ctrlProp" Target="../ctrlProps/ctrlProp144.xml"/><Relationship Id="rId458" Type="http://schemas.openxmlformats.org/officeDocument/2006/relationships/ctrlProp" Target="../ctrlProps/ctrlProp382.xml"/><Relationship Id="rId623" Type="http://schemas.openxmlformats.org/officeDocument/2006/relationships/ctrlProp" Target="../ctrlProps/ctrlProp547.xml"/><Relationship Id="rId665" Type="http://schemas.openxmlformats.org/officeDocument/2006/relationships/ctrlProp" Target="../ctrlProps/ctrlProp589.xml"/><Relationship Id="rId15" Type="http://schemas.openxmlformats.org/officeDocument/2006/relationships/control" Target="../activeX/activeX2.xml"/><Relationship Id="rId57" Type="http://schemas.openxmlformats.org/officeDocument/2006/relationships/control" Target="../activeX/activeX26.xml"/><Relationship Id="rId262" Type="http://schemas.openxmlformats.org/officeDocument/2006/relationships/ctrlProp" Target="../ctrlProps/ctrlProp186.xml"/><Relationship Id="rId318" Type="http://schemas.openxmlformats.org/officeDocument/2006/relationships/ctrlProp" Target="../ctrlProps/ctrlProp242.xml"/><Relationship Id="rId525" Type="http://schemas.openxmlformats.org/officeDocument/2006/relationships/ctrlProp" Target="../ctrlProps/ctrlProp449.xml"/><Relationship Id="rId567" Type="http://schemas.openxmlformats.org/officeDocument/2006/relationships/ctrlProp" Target="../ctrlProps/ctrlProp491.xml"/><Relationship Id="rId732" Type="http://schemas.openxmlformats.org/officeDocument/2006/relationships/ctrlProp" Target="../ctrlProps/ctrlProp656.xml"/><Relationship Id="rId99" Type="http://schemas.openxmlformats.org/officeDocument/2006/relationships/ctrlProp" Target="../ctrlProps/ctrlProp23.xml"/><Relationship Id="rId122" Type="http://schemas.openxmlformats.org/officeDocument/2006/relationships/ctrlProp" Target="../ctrlProps/ctrlProp46.xml"/><Relationship Id="rId164" Type="http://schemas.openxmlformats.org/officeDocument/2006/relationships/ctrlProp" Target="../ctrlProps/ctrlProp88.xml"/><Relationship Id="rId371" Type="http://schemas.openxmlformats.org/officeDocument/2006/relationships/ctrlProp" Target="../ctrlProps/ctrlProp295.xml"/><Relationship Id="rId427" Type="http://schemas.openxmlformats.org/officeDocument/2006/relationships/ctrlProp" Target="../ctrlProps/ctrlProp351.xml"/><Relationship Id="rId469" Type="http://schemas.openxmlformats.org/officeDocument/2006/relationships/ctrlProp" Target="../ctrlProps/ctrlProp393.xml"/><Relationship Id="rId634" Type="http://schemas.openxmlformats.org/officeDocument/2006/relationships/ctrlProp" Target="../ctrlProps/ctrlProp558.xml"/><Relationship Id="rId676" Type="http://schemas.openxmlformats.org/officeDocument/2006/relationships/ctrlProp" Target="../ctrlProps/ctrlProp600.xml"/><Relationship Id="rId26" Type="http://schemas.openxmlformats.org/officeDocument/2006/relationships/image" Target="../media/image18.emf"/><Relationship Id="rId231" Type="http://schemas.openxmlformats.org/officeDocument/2006/relationships/ctrlProp" Target="../ctrlProps/ctrlProp155.xml"/><Relationship Id="rId273" Type="http://schemas.openxmlformats.org/officeDocument/2006/relationships/ctrlProp" Target="../ctrlProps/ctrlProp197.xml"/><Relationship Id="rId329" Type="http://schemas.openxmlformats.org/officeDocument/2006/relationships/ctrlProp" Target="../ctrlProps/ctrlProp253.xml"/><Relationship Id="rId480" Type="http://schemas.openxmlformats.org/officeDocument/2006/relationships/ctrlProp" Target="../ctrlProps/ctrlProp404.xml"/><Relationship Id="rId536" Type="http://schemas.openxmlformats.org/officeDocument/2006/relationships/ctrlProp" Target="../ctrlProps/ctrlProp460.xml"/><Relationship Id="rId701" Type="http://schemas.openxmlformats.org/officeDocument/2006/relationships/ctrlProp" Target="../ctrlProps/ctrlProp625.xml"/><Relationship Id="rId68" Type="http://schemas.openxmlformats.org/officeDocument/2006/relationships/image" Target="../media/image38.emf"/><Relationship Id="rId133" Type="http://schemas.openxmlformats.org/officeDocument/2006/relationships/ctrlProp" Target="../ctrlProps/ctrlProp57.xml"/><Relationship Id="rId175" Type="http://schemas.openxmlformats.org/officeDocument/2006/relationships/ctrlProp" Target="../ctrlProps/ctrlProp99.xml"/><Relationship Id="rId340" Type="http://schemas.openxmlformats.org/officeDocument/2006/relationships/ctrlProp" Target="../ctrlProps/ctrlProp264.xml"/><Relationship Id="rId578" Type="http://schemas.openxmlformats.org/officeDocument/2006/relationships/ctrlProp" Target="../ctrlProps/ctrlProp502.xml"/><Relationship Id="rId743" Type="http://schemas.openxmlformats.org/officeDocument/2006/relationships/ctrlProp" Target="../ctrlProps/ctrlProp667.xml"/><Relationship Id="rId200" Type="http://schemas.openxmlformats.org/officeDocument/2006/relationships/ctrlProp" Target="../ctrlProps/ctrlProp124.xml"/><Relationship Id="rId382" Type="http://schemas.openxmlformats.org/officeDocument/2006/relationships/ctrlProp" Target="../ctrlProps/ctrlProp306.xml"/><Relationship Id="rId438" Type="http://schemas.openxmlformats.org/officeDocument/2006/relationships/ctrlProp" Target="../ctrlProps/ctrlProp362.xml"/><Relationship Id="rId603" Type="http://schemas.openxmlformats.org/officeDocument/2006/relationships/ctrlProp" Target="../ctrlProps/ctrlProp527.xml"/><Relationship Id="rId645" Type="http://schemas.openxmlformats.org/officeDocument/2006/relationships/ctrlProp" Target="../ctrlProps/ctrlProp569.xml"/><Relationship Id="rId687" Type="http://schemas.openxmlformats.org/officeDocument/2006/relationships/ctrlProp" Target="../ctrlProps/ctrlProp611.xml"/><Relationship Id="rId242" Type="http://schemas.openxmlformats.org/officeDocument/2006/relationships/ctrlProp" Target="../ctrlProps/ctrlProp166.xml"/><Relationship Id="rId284" Type="http://schemas.openxmlformats.org/officeDocument/2006/relationships/ctrlProp" Target="../ctrlProps/ctrlProp208.xml"/><Relationship Id="rId491" Type="http://schemas.openxmlformats.org/officeDocument/2006/relationships/ctrlProp" Target="../ctrlProps/ctrlProp415.xml"/><Relationship Id="rId505" Type="http://schemas.openxmlformats.org/officeDocument/2006/relationships/ctrlProp" Target="../ctrlProps/ctrlProp429.xml"/><Relationship Id="rId712" Type="http://schemas.openxmlformats.org/officeDocument/2006/relationships/ctrlProp" Target="../ctrlProps/ctrlProp636.xml"/><Relationship Id="rId37" Type="http://schemas.openxmlformats.org/officeDocument/2006/relationships/control" Target="../activeX/activeX16.xml"/><Relationship Id="rId79" Type="http://schemas.openxmlformats.org/officeDocument/2006/relationships/ctrlProp" Target="../ctrlProps/ctrlProp3.xml"/><Relationship Id="rId102" Type="http://schemas.openxmlformats.org/officeDocument/2006/relationships/ctrlProp" Target="../ctrlProps/ctrlProp26.xml"/><Relationship Id="rId144" Type="http://schemas.openxmlformats.org/officeDocument/2006/relationships/ctrlProp" Target="../ctrlProps/ctrlProp68.xml"/><Relationship Id="rId547" Type="http://schemas.openxmlformats.org/officeDocument/2006/relationships/ctrlProp" Target="../ctrlProps/ctrlProp471.xml"/><Relationship Id="rId589" Type="http://schemas.openxmlformats.org/officeDocument/2006/relationships/ctrlProp" Target="../ctrlProps/ctrlProp513.xml"/><Relationship Id="rId754" Type="http://schemas.openxmlformats.org/officeDocument/2006/relationships/ctrlProp" Target="../ctrlProps/ctrlProp678.xml"/><Relationship Id="rId90" Type="http://schemas.openxmlformats.org/officeDocument/2006/relationships/ctrlProp" Target="../ctrlProps/ctrlProp14.xml"/><Relationship Id="rId186" Type="http://schemas.openxmlformats.org/officeDocument/2006/relationships/ctrlProp" Target="../ctrlProps/ctrlProp110.xml"/><Relationship Id="rId351" Type="http://schemas.openxmlformats.org/officeDocument/2006/relationships/ctrlProp" Target="../ctrlProps/ctrlProp275.xml"/><Relationship Id="rId393" Type="http://schemas.openxmlformats.org/officeDocument/2006/relationships/ctrlProp" Target="../ctrlProps/ctrlProp317.xml"/><Relationship Id="rId407" Type="http://schemas.openxmlformats.org/officeDocument/2006/relationships/ctrlProp" Target="../ctrlProps/ctrlProp331.xml"/><Relationship Id="rId449" Type="http://schemas.openxmlformats.org/officeDocument/2006/relationships/ctrlProp" Target="../ctrlProps/ctrlProp373.xml"/><Relationship Id="rId614" Type="http://schemas.openxmlformats.org/officeDocument/2006/relationships/ctrlProp" Target="../ctrlProps/ctrlProp538.xml"/><Relationship Id="rId656" Type="http://schemas.openxmlformats.org/officeDocument/2006/relationships/ctrlProp" Target="../ctrlProps/ctrlProp580.xml"/><Relationship Id="rId211" Type="http://schemas.openxmlformats.org/officeDocument/2006/relationships/ctrlProp" Target="../ctrlProps/ctrlProp135.xml"/><Relationship Id="rId253" Type="http://schemas.openxmlformats.org/officeDocument/2006/relationships/ctrlProp" Target="../ctrlProps/ctrlProp177.xml"/><Relationship Id="rId295" Type="http://schemas.openxmlformats.org/officeDocument/2006/relationships/ctrlProp" Target="../ctrlProps/ctrlProp219.xml"/><Relationship Id="rId309" Type="http://schemas.openxmlformats.org/officeDocument/2006/relationships/ctrlProp" Target="../ctrlProps/ctrlProp233.xml"/><Relationship Id="rId460" Type="http://schemas.openxmlformats.org/officeDocument/2006/relationships/ctrlProp" Target="../ctrlProps/ctrlProp384.xml"/><Relationship Id="rId516" Type="http://schemas.openxmlformats.org/officeDocument/2006/relationships/ctrlProp" Target="../ctrlProps/ctrlProp440.xml"/><Relationship Id="rId698" Type="http://schemas.openxmlformats.org/officeDocument/2006/relationships/ctrlProp" Target="../ctrlProps/ctrlProp622.xml"/><Relationship Id="rId48" Type="http://schemas.openxmlformats.org/officeDocument/2006/relationships/image" Target="../media/image29.emf"/><Relationship Id="rId113" Type="http://schemas.openxmlformats.org/officeDocument/2006/relationships/ctrlProp" Target="../ctrlProps/ctrlProp37.xml"/><Relationship Id="rId320" Type="http://schemas.openxmlformats.org/officeDocument/2006/relationships/ctrlProp" Target="../ctrlProps/ctrlProp244.xml"/><Relationship Id="rId558" Type="http://schemas.openxmlformats.org/officeDocument/2006/relationships/ctrlProp" Target="../ctrlProps/ctrlProp482.xml"/><Relationship Id="rId723" Type="http://schemas.openxmlformats.org/officeDocument/2006/relationships/ctrlProp" Target="../ctrlProps/ctrlProp647.xml"/><Relationship Id="rId155" Type="http://schemas.openxmlformats.org/officeDocument/2006/relationships/ctrlProp" Target="../ctrlProps/ctrlProp79.xml"/><Relationship Id="rId197" Type="http://schemas.openxmlformats.org/officeDocument/2006/relationships/ctrlProp" Target="../ctrlProps/ctrlProp121.xml"/><Relationship Id="rId362" Type="http://schemas.openxmlformats.org/officeDocument/2006/relationships/ctrlProp" Target="../ctrlProps/ctrlProp286.xml"/><Relationship Id="rId418" Type="http://schemas.openxmlformats.org/officeDocument/2006/relationships/ctrlProp" Target="../ctrlProps/ctrlProp342.xml"/><Relationship Id="rId625" Type="http://schemas.openxmlformats.org/officeDocument/2006/relationships/ctrlProp" Target="../ctrlProps/ctrlProp549.xml"/><Relationship Id="rId222" Type="http://schemas.openxmlformats.org/officeDocument/2006/relationships/ctrlProp" Target="../ctrlProps/ctrlProp146.xml"/><Relationship Id="rId264" Type="http://schemas.openxmlformats.org/officeDocument/2006/relationships/ctrlProp" Target="../ctrlProps/ctrlProp188.xml"/><Relationship Id="rId471" Type="http://schemas.openxmlformats.org/officeDocument/2006/relationships/ctrlProp" Target="../ctrlProps/ctrlProp395.xml"/><Relationship Id="rId667" Type="http://schemas.openxmlformats.org/officeDocument/2006/relationships/ctrlProp" Target="../ctrlProps/ctrlProp591.xml"/><Relationship Id="rId17" Type="http://schemas.openxmlformats.org/officeDocument/2006/relationships/control" Target="../activeX/activeX4.xml"/><Relationship Id="rId59" Type="http://schemas.openxmlformats.org/officeDocument/2006/relationships/control" Target="../activeX/activeX27.xml"/><Relationship Id="rId124" Type="http://schemas.openxmlformats.org/officeDocument/2006/relationships/ctrlProp" Target="../ctrlProps/ctrlProp48.xml"/><Relationship Id="rId527" Type="http://schemas.openxmlformats.org/officeDocument/2006/relationships/ctrlProp" Target="../ctrlProps/ctrlProp451.xml"/><Relationship Id="rId569" Type="http://schemas.openxmlformats.org/officeDocument/2006/relationships/ctrlProp" Target="../ctrlProps/ctrlProp493.xml"/><Relationship Id="rId734" Type="http://schemas.openxmlformats.org/officeDocument/2006/relationships/ctrlProp" Target="../ctrlProps/ctrlProp658.xml"/><Relationship Id="rId70" Type="http://schemas.openxmlformats.org/officeDocument/2006/relationships/image" Target="../media/image39.emf"/><Relationship Id="rId166" Type="http://schemas.openxmlformats.org/officeDocument/2006/relationships/ctrlProp" Target="../ctrlProps/ctrlProp90.xml"/><Relationship Id="rId331" Type="http://schemas.openxmlformats.org/officeDocument/2006/relationships/ctrlProp" Target="../ctrlProps/ctrlProp255.xml"/><Relationship Id="rId373" Type="http://schemas.openxmlformats.org/officeDocument/2006/relationships/ctrlProp" Target="../ctrlProps/ctrlProp297.xml"/><Relationship Id="rId429" Type="http://schemas.openxmlformats.org/officeDocument/2006/relationships/ctrlProp" Target="../ctrlProps/ctrlProp353.xml"/><Relationship Id="rId580" Type="http://schemas.openxmlformats.org/officeDocument/2006/relationships/ctrlProp" Target="../ctrlProps/ctrlProp504.xml"/><Relationship Id="rId636" Type="http://schemas.openxmlformats.org/officeDocument/2006/relationships/ctrlProp" Target="../ctrlProps/ctrlProp560.xml"/><Relationship Id="rId1" Type="http://schemas.openxmlformats.org/officeDocument/2006/relationships/hyperlink" Target="http://purchasing.bosch.com/de/start/Allgemeines/Download/index.htm" TargetMode="External"/><Relationship Id="rId233" Type="http://schemas.openxmlformats.org/officeDocument/2006/relationships/ctrlProp" Target="../ctrlProps/ctrlProp157.xml"/><Relationship Id="rId440" Type="http://schemas.openxmlformats.org/officeDocument/2006/relationships/ctrlProp" Target="../ctrlProps/ctrlProp364.xml"/><Relationship Id="rId678" Type="http://schemas.openxmlformats.org/officeDocument/2006/relationships/ctrlProp" Target="../ctrlProps/ctrlProp602.xml"/><Relationship Id="rId28" Type="http://schemas.openxmlformats.org/officeDocument/2006/relationships/image" Target="../media/image19.emf"/><Relationship Id="rId275" Type="http://schemas.openxmlformats.org/officeDocument/2006/relationships/ctrlProp" Target="../ctrlProps/ctrlProp199.xml"/><Relationship Id="rId300" Type="http://schemas.openxmlformats.org/officeDocument/2006/relationships/ctrlProp" Target="../ctrlProps/ctrlProp224.xml"/><Relationship Id="rId482" Type="http://schemas.openxmlformats.org/officeDocument/2006/relationships/ctrlProp" Target="../ctrlProps/ctrlProp406.xml"/><Relationship Id="rId538" Type="http://schemas.openxmlformats.org/officeDocument/2006/relationships/ctrlProp" Target="../ctrlProps/ctrlProp462.xml"/><Relationship Id="rId703" Type="http://schemas.openxmlformats.org/officeDocument/2006/relationships/ctrlProp" Target="../ctrlProps/ctrlProp627.xml"/><Relationship Id="rId745" Type="http://schemas.openxmlformats.org/officeDocument/2006/relationships/ctrlProp" Target="../ctrlProps/ctrlProp669.xml"/><Relationship Id="rId81" Type="http://schemas.openxmlformats.org/officeDocument/2006/relationships/ctrlProp" Target="../ctrlProps/ctrlProp5.xml"/><Relationship Id="rId135" Type="http://schemas.openxmlformats.org/officeDocument/2006/relationships/ctrlProp" Target="../ctrlProps/ctrlProp59.xml"/><Relationship Id="rId177" Type="http://schemas.openxmlformats.org/officeDocument/2006/relationships/ctrlProp" Target="../ctrlProps/ctrlProp101.xml"/><Relationship Id="rId342" Type="http://schemas.openxmlformats.org/officeDocument/2006/relationships/ctrlProp" Target="../ctrlProps/ctrlProp266.xml"/><Relationship Id="rId384" Type="http://schemas.openxmlformats.org/officeDocument/2006/relationships/ctrlProp" Target="../ctrlProps/ctrlProp308.xml"/><Relationship Id="rId591" Type="http://schemas.openxmlformats.org/officeDocument/2006/relationships/ctrlProp" Target="../ctrlProps/ctrlProp515.xml"/><Relationship Id="rId605" Type="http://schemas.openxmlformats.org/officeDocument/2006/relationships/ctrlProp" Target="../ctrlProps/ctrlProp529.xml"/><Relationship Id="rId202" Type="http://schemas.openxmlformats.org/officeDocument/2006/relationships/ctrlProp" Target="../ctrlProps/ctrlProp126.xml"/><Relationship Id="rId244" Type="http://schemas.openxmlformats.org/officeDocument/2006/relationships/ctrlProp" Target="../ctrlProps/ctrlProp168.xml"/><Relationship Id="rId647" Type="http://schemas.openxmlformats.org/officeDocument/2006/relationships/ctrlProp" Target="../ctrlProps/ctrlProp571.xml"/><Relationship Id="rId689" Type="http://schemas.openxmlformats.org/officeDocument/2006/relationships/ctrlProp" Target="../ctrlProps/ctrlProp613.xml"/><Relationship Id="rId39" Type="http://schemas.openxmlformats.org/officeDocument/2006/relationships/control" Target="../activeX/activeX17.xml"/><Relationship Id="rId286" Type="http://schemas.openxmlformats.org/officeDocument/2006/relationships/ctrlProp" Target="../ctrlProps/ctrlProp210.xml"/><Relationship Id="rId451" Type="http://schemas.openxmlformats.org/officeDocument/2006/relationships/ctrlProp" Target="../ctrlProps/ctrlProp375.xml"/><Relationship Id="rId493" Type="http://schemas.openxmlformats.org/officeDocument/2006/relationships/ctrlProp" Target="../ctrlProps/ctrlProp417.xml"/><Relationship Id="rId507" Type="http://schemas.openxmlformats.org/officeDocument/2006/relationships/ctrlProp" Target="../ctrlProps/ctrlProp431.xml"/><Relationship Id="rId549" Type="http://schemas.openxmlformats.org/officeDocument/2006/relationships/ctrlProp" Target="../ctrlProps/ctrlProp473.xml"/><Relationship Id="rId714" Type="http://schemas.openxmlformats.org/officeDocument/2006/relationships/ctrlProp" Target="../ctrlProps/ctrlProp638.xml"/><Relationship Id="rId756" Type="http://schemas.openxmlformats.org/officeDocument/2006/relationships/ctrlProp" Target="../ctrlProps/ctrlProp680.xml"/><Relationship Id="rId50" Type="http://schemas.openxmlformats.org/officeDocument/2006/relationships/image" Target="../media/image30.emf"/><Relationship Id="rId104" Type="http://schemas.openxmlformats.org/officeDocument/2006/relationships/ctrlProp" Target="../ctrlProps/ctrlProp28.xml"/><Relationship Id="rId146" Type="http://schemas.openxmlformats.org/officeDocument/2006/relationships/ctrlProp" Target="../ctrlProps/ctrlProp70.xml"/><Relationship Id="rId188" Type="http://schemas.openxmlformats.org/officeDocument/2006/relationships/ctrlProp" Target="../ctrlProps/ctrlProp112.xml"/><Relationship Id="rId311" Type="http://schemas.openxmlformats.org/officeDocument/2006/relationships/ctrlProp" Target="../ctrlProps/ctrlProp235.xml"/><Relationship Id="rId353" Type="http://schemas.openxmlformats.org/officeDocument/2006/relationships/ctrlProp" Target="../ctrlProps/ctrlProp277.xml"/><Relationship Id="rId395" Type="http://schemas.openxmlformats.org/officeDocument/2006/relationships/ctrlProp" Target="../ctrlProps/ctrlProp319.xml"/><Relationship Id="rId409" Type="http://schemas.openxmlformats.org/officeDocument/2006/relationships/ctrlProp" Target="../ctrlProps/ctrlProp333.xml"/><Relationship Id="rId560" Type="http://schemas.openxmlformats.org/officeDocument/2006/relationships/ctrlProp" Target="../ctrlProps/ctrlProp484.xml"/><Relationship Id="rId92" Type="http://schemas.openxmlformats.org/officeDocument/2006/relationships/ctrlProp" Target="../ctrlProps/ctrlProp16.xml"/><Relationship Id="rId213" Type="http://schemas.openxmlformats.org/officeDocument/2006/relationships/ctrlProp" Target="../ctrlProps/ctrlProp137.xml"/><Relationship Id="rId420" Type="http://schemas.openxmlformats.org/officeDocument/2006/relationships/ctrlProp" Target="../ctrlProps/ctrlProp344.xml"/><Relationship Id="rId616" Type="http://schemas.openxmlformats.org/officeDocument/2006/relationships/ctrlProp" Target="../ctrlProps/ctrlProp540.xml"/><Relationship Id="rId658" Type="http://schemas.openxmlformats.org/officeDocument/2006/relationships/ctrlProp" Target="../ctrlProps/ctrlProp582.xml"/><Relationship Id="rId255" Type="http://schemas.openxmlformats.org/officeDocument/2006/relationships/ctrlProp" Target="../ctrlProps/ctrlProp179.xml"/><Relationship Id="rId297" Type="http://schemas.openxmlformats.org/officeDocument/2006/relationships/ctrlProp" Target="../ctrlProps/ctrlProp221.xml"/><Relationship Id="rId462" Type="http://schemas.openxmlformats.org/officeDocument/2006/relationships/ctrlProp" Target="../ctrlProps/ctrlProp386.xml"/><Relationship Id="rId518" Type="http://schemas.openxmlformats.org/officeDocument/2006/relationships/ctrlProp" Target="../ctrlProps/ctrlProp442.xml"/><Relationship Id="rId725" Type="http://schemas.openxmlformats.org/officeDocument/2006/relationships/ctrlProp" Target="../ctrlProps/ctrlProp649.xml"/><Relationship Id="rId115" Type="http://schemas.openxmlformats.org/officeDocument/2006/relationships/ctrlProp" Target="../ctrlProps/ctrlProp39.xml"/><Relationship Id="rId157" Type="http://schemas.openxmlformats.org/officeDocument/2006/relationships/ctrlProp" Target="../ctrlProps/ctrlProp81.xml"/><Relationship Id="rId322" Type="http://schemas.openxmlformats.org/officeDocument/2006/relationships/ctrlProp" Target="../ctrlProps/ctrlProp246.xml"/><Relationship Id="rId364" Type="http://schemas.openxmlformats.org/officeDocument/2006/relationships/ctrlProp" Target="../ctrlProps/ctrlProp288.xml"/><Relationship Id="rId61" Type="http://schemas.openxmlformats.org/officeDocument/2006/relationships/control" Target="../activeX/activeX28.xml"/><Relationship Id="rId199" Type="http://schemas.openxmlformats.org/officeDocument/2006/relationships/ctrlProp" Target="../ctrlProps/ctrlProp123.xml"/><Relationship Id="rId571" Type="http://schemas.openxmlformats.org/officeDocument/2006/relationships/ctrlProp" Target="../ctrlProps/ctrlProp495.xml"/><Relationship Id="rId627" Type="http://schemas.openxmlformats.org/officeDocument/2006/relationships/ctrlProp" Target="../ctrlProps/ctrlProp551.xml"/><Relationship Id="rId669" Type="http://schemas.openxmlformats.org/officeDocument/2006/relationships/ctrlProp" Target="../ctrlProps/ctrlProp593.xml"/><Relationship Id="rId19" Type="http://schemas.openxmlformats.org/officeDocument/2006/relationships/control" Target="../activeX/activeX6.xml"/><Relationship Id="rId224" Type="http://schemas.openxmlformats.org/officeDocument/2006/relationships/ctrlProp" Target="../ctrlProps/ctrlProp148.xml"/><Relationship Id="rId266" Type="http://schemas.openxmlformats.org/officeDocument/2006/relationships/ctrlProp" Target="../ctrlProps/ctrlProp190.xml"/><Relationship Id="rId431" Type="http://schemas.openxmlformats.org/officeDocument/2006/relationships/ctrlProp" Target="../ctrlProps/ctrlProp355.xml"/><Relationship Id="rId473" Type="http://schemas.openxmlformats.org/officeDocument/2006/relationships/ctrlProp" Target="../ctrlProps/ctrlProp397.xml"/><Relationship Id="rId529" Type="http://schemas.openxmlformats.org/officeDocument/2006/relationships/ctrlProp" Target="../ctrlProps/ctrlProp453.xml"/><Relationship Id="rId680" Type="http://schemas.openxmlformats.org/officeDocument/2006/relationships/ctrlProp" Target="../ctrlProps/ctrlProp604.xml"/><Relationship Id="rId736" Type="http://schemas.openxmlformats.org/officeDocument/2006/relationships/ctrlProp" Target="../ctrlProps/ctrlProp660.xml"/><Relationship Id="rId30" Type="http://schemas.openxmlformats.org/officeDocument/2006/relationships/image" Target="../media/image20.emf"/><Relationship Id="rId126" Type="http://schemas.openxmlformats.org/officeDocument/2006/relationships/ctrlProp" Target="../ctrlProps/ctrlProp50.xml"/><Relationship Id="rId168" Type="http://schemas.openxmlformats.org/officeDocument/2006/relationships/ctrlProp" Target="../ctrlProps/ctrlProp92.xml"/><Relationship Id="rId333" Type="http://schemas.openxmlformats.org/officeDocument/2006/relationships/ctrlProp" Target="../ctrlProps/ctrlProp257.xml"/><Relationship Id="rId540" Type="http://schemas.openxmlformats.org/officeDocument/2006/relationships/ctrlProp" Target="../ctrlProps/ctrlProp464.xml"/><Relationship Id="rId72" Type="http://schemas.openxmlformats.org/officeDocument/2006/relationships/image" Target="../media/image40.emf"/><Relationship Id="rId375" Type="http://schemas.openxmlformats.org/officeDocument/2006/relationships/ctrlProp" Target="../ctrlProps/ctrlProp299.xml"/><Relationship Id="rId582" Type="http://schemas.openxmlformats.org/officeDocument/2006/relationships/ctrlProp" Target="../ctrlProps/ctrlProp506.xml"/><Relationship Id="rId638" Type="http://schemas.openxmlformats.org/officeDocument/2006/relationships/ctrlProp" Target="../ctrlProps/ctrlProp562.xml"/><Relationship Id="rId3" Type="http://schemas.openxmlformats.org/officeDocument/2006/relationships/hyperlink" Target="http://eur-lex.europa.eu/LexUriServ/LexUriServ.do?uri=CELEX:31967L0548:DE:NOT" TargetMode="External"/><Relationship Id="rId235" Type="http://schemas.openxmlformats.org/officeDocument/2006/relationships/ctrlProp" Target="../ctrlProps/ctrlProp159.xml"/><Relationship Id="rId277" Type="http://schemas.openxmlformats.org/officeDocument/2006/relationships/ctrlProp" Target="../ctrlProps/ctrlProp201.xml"/><Relationship Id="rId400" Type="http://schemas.openxmlformats.org/officeDocument/2006/relationships/ctrlProp" Target="../ctrlProps/ctrlProp324.xml"/><Relationship Id="rId442" Type="http://schemas.openxmlformats.org/officeDocument/2006/relationships/ctrlProp" Target="../ctrlProps/ctrlProp366.xml"/><Relationship Id="rId484" Type="http://schemas.openxmlformats.org/officeDocument/2006/relationships/ctrlProp" Target="../ctrlProps/ctrlProp408.xml"/><Relationship Id="rId705" Type="http://schemas.openxmlformats.org/officeDocument/2006/relationships/ctrlProp" Target="../ctrlProps/ctrlProp629.xml"/><Relationship Id="rId137" Type="http://schemas.openxmlformats.org/officeDocument/2006/relationships/ctrlProp" Target="../ctrlProps/ctrlProp61.xml"/><Relationship Id="rId302" Type="http://schemas.openxmlformats.org/officeDocument/2006/relationships/ctrlProp" Target="../ctrlProps/ctrlProp226.xml"/><Relationship Id="rId344" Type="http://schemas.openxmlformats.org/officeDocument/2006/relationships/ctrlProp" Target="../ctrlProps/ctrlProp268.xml"/><Relationship Id="rId691" Type="http://schemas.openxmlformats.org/officeDocument/2006/relationships/ctrlProp" Target="../ctrlProps/ctrlProp615.xml"/><Relationship Id="rId747" Type="http://schemas.openxmlformats.org/officeDocument/2006/relationships/ctrlProp" Target="../ctrlProps/ctrlProp671.xml"/><Relationship Id="rId41" Type="http://schemas.openxmlformats.org/officeDocument/2006/relationships/control" Target="../activeX/activeX18.xml"/><Relationship Id="rId83" Type="http://schemas.openxmlformats.org/officeDocument/2006/relationships/ctrlProp" Target="../ctrlProps/ctrlProp7.xml"/><Relationship Id="rId179" Type="http://schemas.openxmlformats.org/officeDocument/2006/relationships/ctrlProp" Target="../ctrlProps/ctrlProp103.xml"/><Relationship Id="rId386" Type="http://schemas.openxmlformats.org/officeDocument/2006/relationships/ctrlProp" Target="../ctrlProps/ctrlProp310.xml"/><Relationship Id="rId551" Type="http://schemas.openxmlformats.org/officeDocument/2006/relationships/ctrlProp" Target="../ctrlProps/ctrlProp475.xml"/><Relationship Id="rId593" Type="http://schemas.openxmlformats.org/officeDocument/2006/relationships/ctrlProp" Target="../ctrlProps/ctrlProp517.xml"/><Relationship Id="rId607" Type="http://schemas.openxmlformats.org/officeDocument/2006/relationships/ctrlProp" Target="../ctrlProps/ctrlProp531.xml"/><Relationship Id="rId649" Type="http://schemas.openxmlformats.org/officeDocument/2006/relationships/ctrlProp" Target="../ctrlProps/ctrlProp573.xml"/><Relationship Id="rId190" Type="http://schemas.openxmlformats.org/officeDocument/2006/relationships/ctrlProp" Target="../ctrlProps/ctrlProp114.xml"/><Relationship Id="rId204" Type="http://schemas.openxmlformats.org/officeDocument/2006/relationships/ctrlProp" Target="../ctrlProps/ctrlProp128.xml"/><Relationship Id="rId246" Type="http://schemas.openxmlformats.org/officeDocument/2006/relationships/ctrlProp" Target="../ctrlProps/ctrlProp170.xml"/><Relationship Id="rId288" Type="http://schemas.openxmlformats.org/officeDocument/2006/relationships/ctrlProp" Target="../ctrlProps/ctrlProp212.xml"/><Relationship Id="rId411" Type="http://schemas.openxmlformats.org/officeDocument/2006/relationships/ctrlProp" Target="../ctrlProps/ctrlProp335.xml"/><Relationship Id="rId453" Type="http://schemas.openxmlformats.org/officeDocument/2006/relationships/ctrlProp" Target="../ctrlProps/ctrlProp377.xml"/><Relationship Id="rId509" Type="http://schemas.openxmlformats.org/officeDocument/2006/relationships/ctrlProp" Target="../ctrlProps/ctrlProp433.xml"/><Relationship Id="rId660" Type="http://schemas.openxmlformats.org/officeDocument/2006/relationships/ctrlProp" Target="../ctrlProps/ctrlProp584.xml"/><Relationship Id="rId106" Type="http://schemas.openxmlformats.org/officeDocument/2006/relationships/ctrlProp" Target="../ctrlProps/ctrlProp30.xml"/><Relationship Id="rId313" Type="http://schemas.openxmlformats.org/officeDocument/2006/relationships/ctrlProp" Target="../ctrlProps/ctrlProp237.xml"/><Relationship Id="rId495" Type="http://schemas.openxmlformats.org/officeDocument/2006/relationships/ctrlProp" Target="../ctrlProps/ctrlProp419.xml"/><Relationship Id="rId716" Type="http://schemas.openxmlformats.org/officeDocument/2006/relationships/ctrlProp" Target="../ctrlProps/ctrlProp640.xml"/><Relationship Id="rId758" Type="http://schemas.openxmlformats.org/officeDocument/2006/relationships/ctrlProp" Target="../ctrlProps/ctrlProp682.xml"/><Relationship Id="rId10" Type="http://schemas.openxmlformats.org/officeDocument/2006/relationships/image" Target="../media/image13.emf"/><Relationship Id="rId52" Type="http://schemas.openxmlformats.org/officeDocument/2006/relationships/image" Target="../media/image31.emf"/><Relationship Id="rId94" Type="http://schemas.openxmlformats.org/officeDocument/2006/relationships/ctrlProp" Target="../ctrlProps/ctrlProp18.xml"/><Relationship Id="rId148" Type="http://schemas.openxmlformats.org/officeDocument/2006/relationships/ctrlProp" Target="../ctrlProps/ctrlProp72.xml"/><Relationship Id="rId355" Type="http://schemas.openxmlformats.org/officeDocument/2006/relationships/ctrlProp" Target="../ctrlProps/ctrlProp279.xml"/><Relationship Id="rId397" Type="http://schemas.openxmlformats.org/officeDocument/2006/relationships/ctrlProp" Target="../ctrlProps/ctrlProp321.xml"/><Relationship Id="rId520" Type="http://schemas.openxmlformats.org/officeDocument/2006/relationships/ctrlProp" Target="../ctrlProps/ctrlProp444.xml"/><Relationship Id="rId562" Type="http://schemas.openxmlformats.org/officeDocument/2006/relationships/ctrlProp" Target="../ctrlProps/ctrlProp486.xml"/><Relationship Id="rId618" Type="http://schemas.openxmlformats.org/officeDocument/2006/relationships/ctrlProp" Target="../ctrlProps/ctrlProp542.xml"/><Relationship Id="rId215" Type="http://schemas.openxmlformats.org/officeDocument/2006/relationships/ctrlProp" Target="../ctrlProps/ctrlProp139.xml"/><Relationship Id="rId257" Type="http://schemas.openxmlformats.org/officeDocument/2006/relationships/ctrlProp" Target="../ctrlProps/ctrlProp181.xml"/><Relationship Id="rId422" Type="http://schemas.openxmlformats.org/officeDocument/2006/relationships/ctrlProp" Target="../ctrlProps/ctrlProp346.xml"/><Relationship Id="rId464" Type="http://schemas.openxmlformats.org/officeDocument/2006/relationships/ctrlProp" Target="../ctrlProps/ctrlProp38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ver">
    <pageSetUpPr fitToPage="1"/>
  </sheetPr>
  <dimension ref="A1:AE61"/>
  <sheetViews>
    <sheetView showGridLines="0" tabSelected="1" zoomScale="70" zoomScaleNormal="70" workbookViewId="0">
      <selection activeCell="M31" sqref="M31:O31"/>
    </sheetView>
  </sheetViews>
  <sheetFormatPr baseColWidth="10" defaultColWidth="0" defaultRowHeight="0" customHeight="1" zeroHeight="1" x14ac:dyDescent="0.2"/>
  <cols>
    <col min="1" max="1" width="1" style="22" customWidth="1"/>
    <col min="2" max="2" width="5.42578125" style="22" customWidth="1"/>
    <col min="3" max="3" width="11.42578125" style="22" customWidth="1"/>
    <col min="4" max="4" width="5.7109375" style="22" customWidth="1"/>
    <col min="5" max="7" width="11.42578125" style="22" customWidth="1"/>
    <col min="8" max="8" width="15.7109375" style="22" bestFit="1" customWidth="1"/>
    <col min="9" max="12" width="11.42578125" style="22" customWidth="1"/>
    <col min="13" max="13" width="17" style="22" customWidth="1"/>
    <col min="14" max="14" width="11.42578125" style="22" customWidth="1"/>
    <col min="15" max="15" width="20.140625" style="22" customWidth="1"/>
    <col min="16" max="16" width="2.28515625" style="22" customWidth="1"/>
    <col min="17" max="17" width="2.7109375" style="22" customWidth="1"/>
    <col min="18" max="18" width="17.7109375" style="22" customWidth="1"/>
    <col min="19" max="16384" width="0" style="22" hidden="1"/>
  </cols>
  <sheetData>
    <row r="1" spans="1:18" ht="6.75" customHeight="1" x14ac:dyDescent="0.2">
      <c r="A1" s="21"/>
    </row>
    <row r="2" spans="1:18" ht="4.5" customHeight="1" x14ac:dyDescent="0.2">
      <c r="A2" s="21"/>
    </row>
    <row r="3" spans="1:18" ht="21" customHeight="1" x14ac:dyDescent="0.35">
      <c r="A3" s="21"/>
      <c r="B3" s="21"/>
      <c r="C3" s="21"/>
      <c r="H3" s="353"/>
      <c r="I3" s="353"/>
      <c r="J3" s="353"/>
      <c r="K3" s="353"/>
      <c r="L3" s="353"/>
      <c r="M3" s="353"/>
      <c r="N3" s="353"/>
      <c r="O3" s="353"/>
      <c r="P3" s="353"/>
    </row>
    <row r="4" spans="1:18" ht="21" x14ac:dyDescent="0.35">
      <c r="A4" s="21"/>
      <c r="H4" s="353"/>
      <c r="I4" s="353"/>
      <c r="J4" s="353"/>
      <c r="K4" s="353"/>
      <c r="L4" s="353"/>
      <c r="M4" s="353"/>
      <c r="N4" s="353"/>
      <c r="O4" s="353"/>
      <c r="P4" s="353"/>
    </row>
    <row r="5" spans="1:18" ht="12.75" x14ac:dyDescent="0.2">
      <c r="A5" s="21"/>
    </row>
    <row r="6" spans="1:18" ht="12.75" x14ac:dyDescent="0.2">
      <c r="A6" s="21"/>
    </row>
    <row r="7" spans="1:18" ht="12.75" x14ac:dyDescent="0.2">
      <c r="A7" s="21"/>
    </row>
    <row r="8" spans="1:18" ht="12.75" x14ac:dyDescent="0.2">
      <c r="A8" s="21"/>
    </row>
    <row r="9" spans="1:18" ht="23.25" customHeight="1" x14ac:dyDescent="0.35">
      <c r="A9" s="21"/>
      <c r="E9" s="354"/>
      <c r="F9" s="354"/>
      <c r="G9" s="354"/>
      <c r="H9" s="354"/>
      <c r="I9" s="354"/>
      <c r="J9" s="354"/>
      <c r="K9" s="354"/>
      <c r="L9" s="27"/>
      <c r="M9" s="27"/>
      <c r="N9" s="27"/>
      <c r="O9" s="27"/>
    </row>
    <row r="10" spans="1:18" ht="22.5" customHeight="1" x14ac:dyDescent="0.35">
      <c r="C10" s="23"/>
      <c r="D10" s="53" t="s">
        <v>419</v>
      </c>
      <c r="E10" s="24"/>
      <c r="F10" s="25"/>
      <c r="G10" s="25"/>
      <c r="H10" s="25"/>
      <c r="I10" s="25"/>
      <c r="J10" s="25"/>
      <c r="K10" s="26"/>
      <c r="L10" s="27"/>
      <c r="M10" s="27"/>
      <c r="N10" s="27"/>
      <c r="O10" s="27"/>
      <c r="P10" s="28"/>
      <c r="Q10" s="28"/>
    </row>
    <row r="11" spans="1:18" ht="4.5" customHeight="1" thickBot="1" x14ac:dyDescent="0.3">
      <c r="B11" s="29"/>
      <c r="C11" s="29"/>
      <c r="D11" s="29"/>
      <c r="E11" s="29"/>
      <c r="F11" s="29"/>
      <c r="G11" s="29"/>
      <c r="H11" s="29"/>
      <c r="I11" s="29"/>
      <c r="J11" s="29"/>
      <c r="L11" s="27"/>
      <c r="M11" s="28"/>
      <c r="N11" s="28"/>
      <c r="O11" s="28"/>
      <c r="P11" s="28"/>
      <c r="Q11" s="28"/>
    </row>
    <row r="12" spans="1:18" ht="29.25" customHeight="1" x14ac:dyDescent="0.35">
      <c r="C12" s="355" t="s">
        <v>420</v>
      </c>
      <c r="D12" s="355"/>
      <c r="E12" s="355"/>
      <c r="F12" s="343" t="s">
        <v>421</v>
      </c>
      <c r="G12" s="343"/>
      <c r="H12" s="343"/>
      <c r="I12" s="343"/>
      <c r="J12" s="343"/>
      <c r="K12" s="343"/>
      <c r="L12" s="344"/>
      <c r="M12" s="348" t="str">
        <f>IF(L="EN","Zones need to be filled from the autor","Zonen müssen vom Autor gefüllt werden")</f>
        <v>Zones need to be filled from the autor</v>
      </c>
      <c r="N12" s="343"/>
      <c r="O12" s="343"/>
      <c r="P12" s="31"/>
      <c r="Q12" s="31"/>
    </row>
    <row r="13" spans="1:18" ht="29.25" customHeight="1" x14ac:dyDescent="0.35">
      <c r="C13" s="356" t="s">
        <v>422</v>
      </c>
      <c r="D13" s="356"/>
      <c r="E13" s="356"/>
      <c r="F13" s="30" t="s">
        <v>431</v>
      </c>
      <c r="L13" s="345"/>
      <c r="M13" s="348" t="str">
        <f>IF(L="EN","Do not change yellow fields!","Gelbe Felder nicht ändern!")</f>
        <v>Do not change yellow fields!</v>
      </c>
      <c r="N13" s="343"/>
      <c r="O13" s="343"/>
      <c r="P13" s="31"/>
      <c r="Q13" s="31"/>
    </row>
    <row r="14" spans="1:18" ht="15" customHeight="1" x14ac:dyDescent="0.2">
      <c r="E14" s="32"/>
      <c r="F14" s="32"/>
      <c r="K14" s="357" t="str">
        <f>IF(L="EN","To change the format, it is necessary to switch to the design mode","Um das Format zu ändern,ist es notwendig in den Entwurfsmodus zu wechseln")</f>
        <v>To change the format, it is necessary to switch to the design mode</v>
      </c>
      <c r="L14" s="357"/>
      <c r="M14" s="357"/>
      <c r="N14" s="357"/>
      <c r="O14" s="357"/>
      <c r="P14" s="357"/>
      <c r="Q14" s="357"/>
      <c r="R14" s="357"/>
    </row>
    <row r="15" spans="1:18" ht="14.25" customHeight="1" x14ac:dyDescent="0.2">
      <c r="J15" s="347"/>
      <c r="K15" s="357"/>
      <c r="L15" s="357"/>
      <c r="M15" s="357"/>
      <c r="N15" s="357"/>
      <c r="O15" s="357"/>
      <c r="P15" s="357"/>
      <c r="Q15" s="357"/>
      <c r="R15" s="357"/>
    </row>
    <row r="16" spans="1:18" ht="14.25" customHeight="1" x14ac:dyDescent="0.2">
      <c r="K16" s="349"/>
      <c r="L16" s="349"/>
      <c r="M16" s="349"/>
      <c r="N16" s="349"/>
      <c r="O16" s="349"/>
      <c r="P16" s="349"/>
      <c r="Q16" s="349"/>
      <c r="R16" s="349"/>
    </row>
    <row r="17" spans="6:31" ht="14.25" customHeight="1" x14ac:dyDescent="0.2">
      <c r="L17" s="346"/>
      <c r="M17" s="346"/>
      <c r="N17" s="346"/>
      <c r="O17" s="346"/>
      <c r="P17" s="346"/>
      <c r="Q17" s="346"/>
    </row>
    <row r="18" spans="6:31" ht="14.25" x14ac:dyDescent="0.2">
      <c r="L18" s="33"/>
      <c r="M18" s="31"/>
      <c r="N18" s="31"/>
      <c r="O18" s="31"/>
      <c r="P18" s="31"/>
      <c r="Q18" s="31"/>
    </row>
    <row r="19" spans="6:31" ht="14.25" x14ac:dyDescent="0.2">
      <c r="L19" s="33"/>
      <c r="M19" s="31"/>
      <c r="N19" s="31"/>
      <c r="O19" s="31"/>
      <c r="P19" s="31"/>
      <c r="Q19" s="31"/>
    </row>
    <row r="20" spans="6:31" ht="14.25" x14ac:dyDescent="0.2">
      <c r="L20" s="33"/>
      <c r="M20" s="31"/>
      <c r="N20" s="31"/>
      <c r="O20" s="31"/>
      <c r="P20" s="31"/>
      <c r="Q20" s="31"/>
    </row>
    <row r="21" spans="6:31" ht="12.75" x14ac:dyDescent="0.2">
      <c r="M21" s="34"/>
      <c r="N21" s="34"/>
      <c r="O21" s="35"/>
      <c r="P21" s="34"/>
      <c r="Q21" s="34"/>
    </row>
    <row r="22" spans="6:31" ht="12.75" x14ac:dyDescent="0.2">
      <c r="N22" s="23"/>
    </row>
    <row r="23" spans="6:31" ht="22.5" x14ac:dyDescent="0.35">
      <c r="G23" s="37"/>
      <c r="H23" s="38"/>
      <c r="P23" s="36"/>
      <c r="Q23" s="36"/>
      <c r="R23" s="36"/>
      <c r="S23" s="36"/>
      <c r="T23" s="36"/>
      <c r="U23" s="36"/>
      <c r="V23" s="36"/>
      <c r="W23" s="36"/>
      <c r="X23" s="36"/>
      <c r="Y23" s="36"/>
      <c r="Z23" s="36"/>
      <c r="AA23" s="36"/>
      <c r="AB23" s="36"/>
      <c r="AC23" s="36"/>
      <c r="AD23" s="36"/>
      <c r="AE23" s="36"/>
    </row>
    <row r="24" spans="6:31" ht="21" x14ac:dyDescent="0.35">
      <c r="F24" s="37"/>
      <c r="G24" s="37"/>
      <c r="H24" s="38"/>
      <c r="N24" s="23"/>
      <c r="P24" s="39"/>
      <c r="Q24" s="39"/>
      <c r="R24" s="39"/>
      <c r="S24" s="39"/>
      <c r="T24" s="39"/>
      <c r="U24" s="39"/>
      <c r="V24" s="39"/>
      <c r="W24" s="39"/>
      <c r="X24" s="39"/>
      <c r="Y24" s="39"/>
      <c r="Z24" s="39"/>
      <c r="AA24" s="39"/>
      <c r="AB24" s="39"/>
      <c r="AC24" s="39"/>
      <c r="AD24" s="39"/>
      <c r="AE24" s="39"/>
    </row>
    <row r="25" spans="6:31" ht="21" x14ac:dyDescent="0.35">
      <c r="F25" s="37"/>
      <c r="Q25" s="39"/>
      <c r="R25" s="39"/>
      <c r="S25" s="39"/>
      <c r="T25" s="39"/>
      <c r="U25" s="39"/>
      <c r="V25" s="39"/>
      <c r="W25" s="39"/>
      <c r="X25" s="39"/>
      <c r="Y25" s="39"/>
      <c r="Z25" s="39"/>
      <c r="AA25" s="39"/>
      <c r="AB25" s="39"/>
      <c r="AC25" s="39"/>
      <c r="AD25" s="39"/>
      <c r="AE25" s="39"/>
    </row>
    <row r="26" spans="6:31" ht="12.75" x14ac:dyDescent="0.2">
      <c r="P26" s="39"/>
      <c r="Q26" s="39"/>
      <c r="R26" s="39"/>
      <c r="S26" s="39"/>
      <c r="T26" s="39"/>
      <c r="U26" s="39"/>
      <c r="V26" s="39"/>
      <c r="W26" s="39"/>
      <c r="X26" s="39"/>
      <c r="Y26" s="39"/>
      <c r="Z26" s="39"/>
      <c r="AA26" s="39"/>
      <c r="AB26" s="39"/>
      <c r="AC26" s="39"/>
      <c r="AD26" s="39"/>
      <c r="AE26" s="39"/>
    </row>
    <row r="27" spans="6:31" ht="18.75" customHeight="1" x14ac:dyDescent="0.2">
      <c r="P27" s="40"/>
      <c r="Q27" s="41"/>
      <c r="R27" s="41"/>
      <c r="S27" s="41"/>
      <c r="T27" s="41"/>
      <c r="U27" s="41"/>
      <c r="V27" s="41"/>
      <c r="W27" s="39"/>
      <c r="X27" s="39"/>
      <c r="Y27" s="39"/>
      <c r="Z27" s="39"/>
      <c r="AA27" s="39"/>
      <c r="AB27" s="39"/>
      <c r="AC27" s="39"/>
      <c r="AD27" s="39"/>
      <c r="AE27" s="39"/>
    </row>
    <row r="28" spans="6:31" ht="12.75" customHeight="1" x14ac:dyDescent="0.2">
      <c r="P28" s="40"/>
      <c r="Q28" s="41"/>
      <c r="R28" s="39"/>
      <c r="S28" s="39"/>
      <c r="T28" s="39"/>
      <c r="U28" s="39"/>
      <c r="V28" s="39"/>
      <c r="W28" s="39"/>
      <c r="X28" s="39"/>
      <c r="Y28" s="39"/>
      <c r="Z28" s="39"/>
      <c r="AA28" s="39"/>
      <c r="AB28" s="39"/>
      <c r="AC28" s="39"/>
      <c r="AD28" s="39"/>
      <c r="AE28" s="39"/>
    </row>
    <row r="29" spans="6:31" ht="21" customHeight="1" x14ac:dyDescent="0.35">
      <c r="M29" s="54" t="s">
        <v>428</v>
      </c>
      <c r="N29" s="36"/>
      <c r="O29" s="36"/>
      <c r="Q29" s="41"/>
      <c r="R29" s="41"/>
      <c r="S29" s="39"/>
      <c r="T29" s="39"/>
      <c r="U29" s="39"/>
      <c r="V29" s="39"/>
      <c r="W29" s="39"/>
      <c r="X29" s="39"/>
      <c r="Y29" s="39"/>
      <c r="Z29" s="39"/>
      <c r="AA29" s="39"/>
      <c r="AB29" s="39"/>
      <c r="AC29" s="39"/>
      <c r="AD29" s="39"/>
      <c r="AE29" s="39"/>
    </row>
    <row r="30" spans="6:31" ht="12.75" customHeight="1" x14ac:dyDescent="0.35">
      <c r="M30" s="39"/>
      <c r="N30" s="39"/>
      <c r="O30" s="39"/>
      <c r="P30" s="42"/>
    </row>
    <row r="31" spans="6:31" ht="12.75" x14ac:dyDescent="0.2">
      <c r="M31" s="351" t="s">
        <v>240</v>
      </c>
      <c r="N31" s="351"/>
      <c r="O31" s="351"/>
      <c r="P31" s="43" t="str">
        <f>HYPERLINK("#"&amp;ADDRESS(ROW(),COLUMN()-1),CHAR(128))</f>
        <v>€</v>
      </c>
      <c r="Q31" s="44"/>
    </row>
    <row r="32" spans="6:31" ht="12.75" x14ac:dyDescent="0.2"/>
    <row r="33" spans="13:17" ht="12.75" x14ac:dyDescent="0.2">
      <c r="M33" s="55" t="s">
        <v>423</v>
      </c>
      <c r="N33" s="45" t="s">
        <v>435</v>
      </c>
      <c r="O33" s="46"/>
      <c r="P33" s="47"/>
    </row>
    <row r="34" spans="13:17" ht="12.75" customHeight="1" x14ac:dyDescent="0.2">
      <c r="M34" s="55" t="s">
        <v>424</v>
      </c>
      <c r="N34" s="48" t="s">
        <v>434</v>
      </c>
      <c r="O34" s="49"/>
    </row>
    <row r="35" spans="13:17" ht="12" customHeight="1" x14ac:dyDescent="0.2">
      <c r="P35" s="352"/>
      <c r="Q35" s="352"/>
    </row>
    <row r="36" spans="13:17" ht="12.75" x14ac:dyDescent="0.2">
      <c r="P36" s="50"/>
    </row>
    <row r="37" spans="13:17" ht="12.75" x14ac:dyDescent="0.2"/>
    <row r="38" spans="13:17" ht="12.75" x14ac:dyDescent="0.2">
      <c r="O38" s="51"/>
    </row>
    <row r="39" spans="13:17" ht="12.75" x14ac:dyDescent="0.2"/>
    <row r="40" spans="13:17" ht="12.75" x14ac:dyDescent="0.2"/>
    <row r="41" spans="13:17" ht="12.75" x14ac:dyDescent="0.2"/>
    <row r="42" spans="13:17" ht="12.75" x14ac:dyDescent="0.2"/>
    <row r="43" spans="13:17" ht="12.75" x14ac:dyDescent="0.2"/>
    <row r="44" spans="13:17" ht="12.75" x14ac:dyDescent="0.2"/>
    <row r="45" spans="13:17" ht="12.75" x14ac:dyDescent="0.2"/>
    <row r="46" spans="13:17" ht="12.75" x14ac:dyDescent="0.2"/>
    <row r="47" spans="13:17" ht="12.75" hidden="1" customHeight="1" x14ac:dyDescent="0.2"/>
    <row r="48" spans="13:17" ht="12.75" hidden="1" customHeight="1" x14ac:dyDescent="0.2"/>
    <row r="49" spans="31:31" ht="12.75" hidden="1" customHeight="1" x14ac:dyDescent="0.2"/>
    <row r="50" spans="31:31" ht="12.75" hidden="1" customHeight="1" x14ac:dyDescent="0.2"/>
    <row r="51" spans="31:31" ht="12.75" hidden="1" customHeight="1" x14ac:dyDescent="0.2"/>
    <row r="52" spans="31:31" ht="12.75" hidden="1" customHeight="1" x14ac:dyDescent="0.2"/>
    <row r="53" spans="31:31" ht="12.75" hidden="1" customHeight="1" x14ac:dyDescent="0.2"/>
    <row r="54" spans="31:31" ht="12.75" hidden="1" customHeight="1" x14ac:dyDescent="0.2"/>
    <row r="55" spans="31:31" ht="12.75" hidden="1" customHeight="1" x14ac:dyDescent="0.2"/>
    <row r="56" spans="31:31" ht="12.75" hidden="1" customHeight="1" x14ac:dyDescent="0.2"/>
    <row r="57" spans="31:31" ht="12.75" hidden="1" customHeight="1" x14ac:dyDescent="0.2">
      <c r="AE57" s="52"/>
    </row>
    <row r="58" spans="31:31" ht="12.75" hidden="1" customHeight="1" x14ac:dyDescent="0.2"/>
    <row r="59" spans="31:31" ht="12.75" hidden="1" customHeight="1" x14ac:dyDescent="0.2"/>
    <row r="60" spans="31:31" ht="12.75" hidden="1" customHeight="1" x14ac:dyDescent="0.2"/>
    <row r="61" spans="31:31" ht="12.75" hidden="1" customHeight="1" x14ac:dyDescent="0.2"/>
  </sheetData>
  <mergeCells count="8">
    <mergeCell ref="M31:O31"/>
    <mergeCell ref="P35:Q35"/>
    <mergeCell ref="H3:P3"/>
    <mergeCell ref="H4:P4"/>
    <mergeCell ref="E9:K9"/>
    <mergeCell ref="C12:E12"/>
    <mergeCell ref="C13:E13"/>
    <mergeCell ref="K14:R15"/>
  </mergeCells>
  <dataValidations count="2">
    <dataValidation type="list" allowBlank="1" showInputMessage="1" showErrorMessage="1" sqref="M31:O31">
      <formula1>"C/MPE,Extern,C/MPE Project Management,C/MPE BPS and Planning Guideline, C/MPE Training,C/MPE Simultaneous Engineering,C/MPE Process Optimization, C/MPE Manufacturing and Logistics Planning,C/MPE Connected Industry I4.0"</formula1>
    </dataValidation>
    <dataValidation type="list" allowBlank="1" showInputMessage="1" showErrorMessage="1" sqref="F13">
      <formula1>"EN,DE"</formula1>
    </dataValidation>
  </dataValidations>
  <pageMargins left="0.70866141732283472" right="0.70866141732283472" top="0.78740157480314965" bottom="0.78740157480314965" header="0.31496062992125984" footer="0.31496062992125984"/>
  <pageSetup paperSize="9" scale="7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49"/>
  <sheetViews>
    <sheetView showGridLines="0" view="pageBreakPreview" zoomScaleNormal="100" zoomScaleSheetLayoutView="100" workbookViewId="0">
      <selection activeCell="A47" sqref="A47"/>
    </sheetView>
  </sheetViews>
  <sheetFormatPr baseColWidth="10" defaultColWidth="11.42578125" defaultRowHeight="12.75" x14ac:dyDescent="0.2"/>
  <cols>
    <col min="1" max="1" width="20.28515625" style="58" customWidth="1"/>
    <col min="2" max="2" width="20.85546875" style="133" customWidth="1"/>
    <col min="3" max="3" width="3.5703125" style="133" customWidth="1"/>
    <col min="4" max="4" width="19.85546875" style="134" customWidth="1"/>
    <col min="5" max="5" width="3.5703125" style="134" customWidth="1"/>
    <col min="6" max="6" width="20.42578125" style="135" customWidth="1"/>
    <col min="7" max="7" width="3.5703125" style="58" customWidth="1"/>
    <col min="8" max="8" width="19.42578125" style="58" customWidth="1"/>
    <col min="9" max="16384" width="11.42578125" style="58"/>
  </cols>
  <sheetData>
    <row r="1" spans="1:15" ht="19.5" customHeight="1" x14ac:dyDescent="0.2">
      <c r="A1" s="402"/>
      <c r="B1" s="404" t="str">
        <f>IF(L="EN","Cover
Pre-Acceptance Report","Decktblatt                                                                                                                 Vorabnahmeprotokoll ")</f>
        <v>Cover
Pre-Acceptance Report</v>
      </c>
      <c r="C1" s="405"/>
      <c r="D1" s="405"/>
      <c r="E1" s="406"/>
      <c r="F1" s="385" t="str">
        <f>IF(L="EN","Issue:","Ausgabe")</f>
        <v>Issue:</v>
      </c>
      <c r="G1" s="386"/>
      <c r="H1" s="410"/>
      <c r="I1" s="411"/>
      <c r="J1" s="412"/>
      <c r="K1" s="412"/>
      <c r="L1" s="412"/>
      <c r="M1" s="56"/>
      <c r="N1" s="57"/>
      <c r="O1" s="57"/>
    </row>
    <row r="2" spans="1:15" ht="19.5" customHeight="1" thickBot="1" x14ac:dyDescent="0.25">
      <c r="A2" s="403"/>
      <c r="B2" s="407"/>
      <c r="C2" s="408"/>
      <c r="D2" s="408"/>
      <c r="E2" s="409"/>
      <c r="F2" s="413" t="s">
        <v>393</v>
      </c>
      <c r="G2" s="414"/>
      <c r="H2" s="410"/>
      <c r="I2" s="412"/>
      <c r="J2" s="412"/>
      <c r="K2" s="412"/>
      <c r="L2" s="412"/>
      <c r="M2" s="59"/>
      <c r="N2" s="57"/>
      <c r="O2" s="57"/>
    </row>
    <row r="3" spans="1:15" ht="12.75" customHeight="1" x14ac:dyDescent="0.2">
      <c r="A3" s="381" t="str">
        <f>IF(L="EN","  Department 
   C/MPE","  Abteilung  C/MPE")</f>
        <v xml:space="preserve">  Department 
   C/MPE</v>
      </c>
      <c r="B3" s="383" t="s">
        <v>0</v>
      </c>
      <c r="C3" s="384"/>
      <c r="D3" s="384"/>
      <c r="E3" s="384"/>
      <c r="F3" s="385" t="str">
        <f>IF(L="EN","Editor: C/MPE-","Verfasser:  C/MPE -")</f>
        <v>Editor: C/MPE-</v>
      </c>
      <c r="G3" s="386"/>
      <c r="H3" s="387"/>
      <c r="I3" s="388"/>
      <c r="J3" s="388"/>
      <c r="K3" s="388"/>
      <c r="L3" s="388"/>
      <c r="M3" s="56"/>
      <c r="N3" s="57"/>
      <c r="O3" s="57"/>
    </row>
    <row r="4" spans="1:15" ht="21" customHeight="1" thickBot="1" x14ac:dyDescent="0.25">
      <c r="A4" s="382"/>
      <c r="B4" s="389"/>
      <c r="C4" s="390"/>
      <c r="D4" s="390"/>
      <c r="E4" s="390"/>
      <c r="F4" s="391"/>
      <c r="G4" s="392"/>
      <c r="H4" s="387"/>
      <c r="I4" s="393"/>
      <c r="J4" s="393"/>
      <c r="K4" s="393"/>
      <c r="L4" s="393"/>
      <c r="M4" s="60"/>
      <c r="N4" s="57"/>
      <c r="O4" s="57"/>
    </row>
    <row r="5" spans="1:15" ht="12" customHeight="1" x14ac:dyDescent="0.2">
      <c r="A5" s="61"/>
      <c r="B5" s="62"/>
      <c r="C5" s="63"/>
      <c r="D5" s="63"/>
      <c r="E5" s="63"/>
      <c r="F5" s="63"/>
      <c r="G5" s="64"/>
      <c r="H5" s="65"/>
      <c r="I5" s="66"/>
      <c r="J5" s="66"/>
      <c r="K5" s="66"/>
      <c r="L5" s="66"/>
      <c r="M5" s="67"/>
      <c r="N5" s="57"/>
      <c r="O5" s="57"/>
    </row>
    <row r="6" spans="1:15" s="71" customFormat="1" ht="12" customHeight="1" x14ac:dyDescent="0.2">
      <c r="A6" s="394" t="str">
        <f>IF(L="EN","Description of the machine or the tool","Maschinenart oder Werkzeug")</f>
        <v>Description of the machine or the tool</v>
      </c>
      <c r="B6" s="395"/>
      <c r="C6" s="68"/>
      <c r="D6" s="68"/>
      <c r="E6" s="68"/>
      <c r="F6" s="68"/>
      <c r="G6" s="69"/>
      <c r="H6" s="395"/>
      <c r="I6" s="395"/>
      <c r="J6" s="396"/>
      <c r="K6" s="396"/>
      <c r="L6" s="396"/>
      <c r="M6" s="396"/>
      <c r="N6" s="70"/>
      <c r="O6" s="70"/>
    </row>
    <row r="7" spans="1:15" s="71" customFormat="1" ht="15" customHeight="1" x14ac:dyDescent="0.2">
      <c r="A7" s="72"/>
      <c r="B7" s="73"/>
      <c r="C7" s="70"/>
      <c r="D7" s="70"/>
      <c r="E7" s="70"/>
      <c r="F7" s="70"/>
      <c r="G7" s="69"/>
      <c r="H7" s="70"/>
      <c r="I7" s="73"/>
      <c r="J7" s="73"/>
      <c r="K7" s="74"/>
      <c r="L7" s="74"/>
      <c r="M7" s="70"/>
      <c r="N7" s="70"/>
      <c r="O7" s="70"/>
    </row>
    <row r="8" spans="1:15" s="71" customFormat="1" ht="18" customHeight="1" x14ac:dyDescent="0.2">
      <c r="A8" s="75" t="str">
        <f>IF(L="EN","Type of the machine:","Maschinen-Typ:")</f>
        <v>Type of the machine:</v>
      </c>
      <c r="B8" s="76"/>
      <c r="C8" s="73"/>
      <c r="D8" s="77" t="str">
        <f>IF(L="EN","Customer  (RG,GU,LN):","Kunde (RG; GU;LN).:")</f>
        <v>Customer  (RG,GU,LN):</v>
      </c>
      <c r="E8" s="77"/>
      <c r="F8" s="78"/>
      <c r="G8" s="69"/>
      <c r="H8" s="79"/>
      <c r="I8" s="80"/>
      <c r="J8" s="73"/>
      <c r="K8" s="77"/>
      <c r="L8" s="77"/>
      <c r="M8" s="68"/>
      <c r="N8" s="70"/>
      <c r="O8" s="70"/>
    </row>
    <row r="9" spans="1:15" s="71" customFormat="1" ht="18" customHeight="1" x14ac:dyDescent="0.2">
      <c r="A9" s="75" t="str">
        <f>IF(L="EN","Machine-Nr.:","Machinen-Nr.:")</f>
        <v>Machine-Nr.:</v>
      </c>
      <c r="B9" s="81"/>
      <c r="C9" s="73"/>
      <c r="D9" s="77" t="str">
        <f>IF(L="EN","Customer Order Nr.:","Kunderauftrags-Nr.:")</f>
        <v>Customer Order Nr.:</v>
      </c>
      <c r="E9" s="77"/>
      <c r="F9" s="78"/>
      <c r="G9" s="69"/>
      <c r="H9" s="79"/>
      <c r="I9" s="80"/>
      <c r="J9" s="73"/>
      <c r="K9" s="77"/>
      <c r="L9" s="77"/>
      <c r="M9" s="68"/>
      <c r="N9" s="70"/>
      <c r="O9" s="70"/>
    </row>
    <row r="10" spans="1:15" s="71" customFormat="1" ht="18" customHeight="1" x14ac:dyDescent="0.2">
      <c r="A10" s="75" t="str">
        <f>IF(L="EN","Purchase Order Nr.:","Bestell-Nr.:")</f>
        <v>Purchase Order Nr.:</v>
      </c>
      <c r="B10" s="81"/>
      <c r="C10" s="73"/>
      <c r="D10" s="77" t="str">
        <f>IF(L="EN","Responsible C/MPE-PL:","Verantwortl.C/MPR-PL.:")</f>
        <v>Responsible C/MPE-PL:</v>
      </c>
      <c r="E10" s="77"/>
      <c r="F10" s="78"/>
      <c r="G10" s="69"/>
      <c r="H10" s="79"/>
      <c r="I10" s="80"/>
      <c r="J10" s="73"/>
      <c r="K10" s="77"/>
      <c r="L10" s="77"/>
      <c r="M10" s="68"/>
      <c r="N10" s="70"/>
      <c r="O10" s="70"/>
    </row>
    <row r="11" spans="1:15" s="71" customFormat="1" ht="18" customHeight="1" x14ac:dyDescent="0.2">
      <c r="A11" s="75" t="str">
        <f>IF(L="EN","Supplier:","Hersteller:")</f>
        <v>Supplier:</v>
      </c>
      <c r="B11" s="81"/>
      <c r="C11" s="73"/>
      <c r="D11" s="77" t="str">
        <f>IF(L="EN","Signature:","Unterschrift:")</f>
        <v>Signature:</v>
      </c>
      <c r="E11" s="77"/>
      <c r="F11" s="78"/>
      <c r="G11" s="69"/>
      <c r="H11" s="79"/>
      <c r="I11" s="80"/>
      <c r="J11" s="73"/>
      <c r="K11" s="79"/>
      <c r="L11" s="77"/>
      <c r="M11" s="68"/>
      <c r="N11" s="70"/>
      <c r="O11" s="70"/>
    </row>
    <row r="12" spans="1:15" s="71" customFormat="1" ht="18" customHeight="1" x14ac:dyDescent="0.2">
      <c r="A12" s="75" t="str">
        <f>IF(L="EN","Location of Pre-Acc.:","Vorabnahmeort:")</f>
        <v>Location of Pre-Acc.:</v>
      </c>
      <c r="B12" s="81"/>
      <c r="C12" s="73"/>
      <c r="D12" s="77" t="str">
        <f>IF(L="EN","Responsible C/MPE-DM:","Verantwortl.C/MPE-AL:")</f>
        <v>Responsible C/MPE-DM:</v>
      </c>
      <c r="E12" s="77"/>
      <c r="F12" s="78"/>
      <c r="G12" s="69"/>
      <c r="H12" s="79"/>
      <c r="I12" s="80"/>
      <c r="J12" s="73"/>
      <c r="K12" s="77"/>
      <c r="L12" s="77"/>
      <c r="M12" s="68"/>
      <c r="N12" s="70"/>
      <c r="O12" s="70"/>
    </row>
    <row r="13" spans="1:15" s="71" customFormat="1" ht="18" customHeight="1" x14ac:dyDescent="0.2">
      <c r="A13" s="75" t="str">
        <f>IF(L="EN","Date:","Datum:")</f>
        <v>Date:</v>
      </c>
      <c r="B13" s="81"/>
      <c r="C13" s="73"/>
      <c r="D13" s="77" t="str">
        <f>IF(L="EN","Signature:","Unterschrift:")</f>
        <v>Signature:</v>
      </c>
      <c r="E13" s="74"/>
      <c r="F13" s="78"/>
      <c r="G13" s="69"/>
      <c r="H13" s="79"/>
      <c r="I13" s="80"/>
      <c r="J13" s="73"/>
      <c r="K13" s="77"/>
      <c r="L13" s="74"/>
      <c r="M13" s="68"/>
      <c r="N13" s="70"/>
      <c r="O13" s="70"/>
    </row>
    <row r="14" spans="1:15" s="71" customFormat="1" ht="18" customHeight="1" x14ac:dyDescent="0.2">
      <c r="A14" s="75" t="str">
        <f>IF(L="EN","Participants:","Abnahmeteilnehmer:")</f>
        <v>Participants:</v>
      </c>
      <c r="B14" s="73"/>
      <c r="C14" s="73"/>
      <c r="D14" s="74"/>
      <c r="E14" s="74"/>
      <c r="F14" s="74"/>
      <c r="G14" s="69"/>
      <c r="H14" s="77"/>
      <c r="I14" s="73"/>
      <c r="J14" s="73"/>
      <c r="K14" s="74"/>
      <c r="L14" s="74"/>
      <c r="M14" s="74"/>
      <c r="N14" s="70"/>
      <c r="O14" s="70"/>
    </row>
    <row r="15" spans="1:15" s="71" customFormat="1" ht="12.75" customHeight="1" x14ac:dyDescent="0.2">
      <c r="A15" s="397"/>
      <c r="B15" s="368"/>
      <c r="C15" s="368"/>
      <c r="D15" s="368"/>
      <c r="E15" s="368"/>
      <c r="F15" s="368"/>
      <c r="G15" s="398"/>
      <c r="H15" s="363"/>
      <c r="I15" s="363"/>
      <c r="J15" s="363"/>
      <c r="K15" s="363"/>
      <c r="L15" s="363"/>
      <c r="M15" s="363"/>
      <c r="N15" s="70"/>
      <c r="O15" s="70"/>
    </row>
    <row r="16" spans="1:15" s="71" customFormat="1" ht="12.75" customHeight="1" x14ac:dyDescent="0.2">
      <c r="A16" s="399"/>
      <c r="B16" s="400"/>
      <c r="C16" s="400"/>
      <c r="D16" s="400"/>
      <c r="E16" s="400"/>
      <c r="F16" s="400"/>
      <c r="G16" s="401"/>
      <c r="H16" s="363"/>
      <c r="I16" s="363"/>
      <c r="J16" s="363"/>
      <c r="K16" s="363"/>
      <c r="L16" s="363"/>
      <c r="M16" s="363"/>
      <c r="N16" s="70"/>
      <c r="O16" s="70"/>
    </row>
    <row r="17" spans="1:15" s="71" customFormat="1" ht="15.75" customHeight="1" x14ac:dyDescent="0.2">
      <c r="A17" s="82" t="str">
        <f>IF(L="EN","1. Quality","1.Qualität")</f>
        <v>1. Quality</v>
      </c>
      <c r="B17" s="83" t="str">
        <f>IF(L="EN","Capabilities according","Fähigkeiten")</f>
        <v>Capabilities according</v>
      </c>
      <c r="C17" s="84"/>
      <c r="D17" s="85" t="str">
        <f>IF(L="EN","o.k.","i.O.")</f>
        <v>o.k.</v>
      </c>
      <c r="E17" s="84" t="s">
        <v>416</v>
      </c>
      <c r="F17" s="86" t="str">
        <f>IF(L="EN","not o.k.","nicht i.O.")</f>
        <v>not o.k.</v>
      </c>
      <c r="G17" s="69"/>
      <c r="H17" s="87"/>
      <c r="I17" s="73"/>
      <c r="J17" s="88"/>
      <c r="K17" s="74"/>
      <c r="L17" s="88"/>
      <c r="M17" s="70"/>
      <c r="N17" s="70"/>
      <c r="O17" s="70"/>
    </row>
    <row r="18" spans="1:15" s="71" customFormat="1" ht="15.95" customHeight="1" x14ac:dyDescent="0.2">
      <c r="A18" s="89"/>
      <c r="B18" s="90" t="str">
        <f>IF(L="EN","to order:","Bestellung:")</f>
        <v>to order:</v>
      </c>
      <c r="C18" s="364"/>
      <c r="D18" s="364"/>
      <c r="E18" s="364"/>
      <c r="F18" s="364"/>
      <c r="G18" s="365"/>
      <c r="H18" s="87"/>
      <c r="I18" s="90"/>
      <c r="J18" s="364"/>
      <c r="K18" s="364"/>
      <c r="L18" s="364"/>
      <c r="M18" s="364"/>
      <c r="N18" s="70"/>
      <c r="O18" s="70"/>
    </row>
    <row r="19" spans="1:15" s="71" customFormat="1" ht="12" customHeight="1" x14ac:dyDescent="0.2">
      <c r="A19" s="91"/>
      <c r="B19" s="92"/>
      <c r="C19" s="366"/>
      <c r="D19" s="366"/>
      <c r="E19" s="366"/>
      <c r="F19" s="366"/>
      <c r="G19" s="367"/>
      <c r="H19" s="87"/>
      <c r="I19" s="90"/>
      <c r="J19" s="364"/>
      <c r="K19" s="364"/>
      <c r="L19" s="364"/>
      <c r="M19" s="364"/>
      <c r="N19" s="70"/>
      <c r="O19" s="70"/>
    </row>
    <row r="20" spans="1:15" s="71" customFormat="1" ht="15.95" customHeight="1" x14ac:dyDescent="0.2">
      <c r="A20" s="82" t="str">
        <f>IF(L="EN","2. Cycle time","2.Zykluzeit")</f>
        <v>2. Cycle time</v>
      </c>
      <c r="B20" s="83" t="str">
        <f>IF(L="EN","Result:","Ergebnis")</f>
        <v>Result:</v>
      </c>
      <c r="C20" s="93" t="str">
        <f>'Acceptance Protocoll'!D133</f>
        <v/>
      </c>
      <c r="D20" s="85" t="str">
        <f>IF(L="EN","o.k.","i.O.")</f>
        <v>o.k.</v>
      </c>
      <c r="E20" s="93" t="str">
        <f>'Acceptance Protocoll'!E133</f>
        <v/>
      </c>
      <c r="F20" s="86" t="str">
        <f>IF(L="EN","not o.k.","nicht i.O.")</f>
        <v>not o.k.</v>
      </c>
      <c r="G20" s="69"/>
      <c r="H20" s="87"/>
      <c r="I20" s="73"/>
      <c r="J20" s="94"/>
      <c r="K20" s="74"/>
      <c r="L20" s="94"/>
      <c r="M20" s="70"/>
      <c r="N20" s="70"/>
      <c r="O20" s="70"/>
    </row>
    <row r="21" spans="1:15" s="71" customFormat="1" ht="15.95" customHeight="1" x14ac:dyDescent="0.2">
      <c r="A21" s="89"/>
      <c r="B21" s="364"/>
      <c r="C21" s="364"/>
      <c r="D21" s="364"/>
      <c r="E21" s="364"/>
      <c r="F21" s="364"/>
      <c r="G21" s="365"/>
      <c r="H21" s="87"/>
      <c r="I21" s="363"/>
      <c r="J21" s="363"/>
      <c r="K21" s="363"/>
      <c r="L21" s="363"/>
      <c r="M21" s="363"/>
      <c r="N21" s="70"/>
      <c r="O21" s="70"/>
    </row>
    <row r="22" spans="1:15" s="71" customFormat="1" ht="13.5" customHeight="1" x14ac:dyDescent="0.2">
      <c r="A22" s="91"/>
      <c r="B22" s="366"/>
      <c r="C22" s="366"/>
      <c r="D22" s="366"/>
      <c r="E22" s="366"/>
      <c r="F22" s="366"/>
      <c r="G22" s="367"/>
      <c r="H22" s="87"/>
      <c r="I22" s="363"/>
      <c r="J22" s="363"/>
      <c r="K22" s="363"/>
      <c r="L22" s="363"/>
      <c r="M22" s="363"/>
      <c r="N22" s="70"/>
      <c r="O22" s="70"/>
    </row>
    <row r="23" spans="1:15" s="71" customFormat="1" ht="15.95" customHeight="1" x14ac:dyDescent="0.2">
      <c r="A23" s="82" t="str">
        <f>IF(L="EN","3. Technical","3.Technische")</f>
        <v>3. Technical</v>
      </c>
      <c r="B23" s="83" t="str">
        <f>IF(L="EN","Result:","Ergebnis")</f>
        <v>Result:</v>
      </c>
      <c r="C23" s="93" t="str">
        <f>'Acceptance Protocoll'!D134</f>
        <v/>
      </c>
      <c r="D23" s="85" t="str">
        <f>IF(L="EN","o.k.","i.O.")</f>
        <v>o.k.</v>
      </c>
      <c r="E23" s="93" t="str">
        <f>'Acceptance Protocoll'!E134</f>
        <v/>
      </c>
      <c r="F23" s="86" t="str">
        <f>IF(L="EN","not o.k.","nicht i.O.")</f>
        <v>not o.k.</v>
      </c>
      <c r="G23" s="69"/>
      <c r="H23" s="87"/>
      <c r="I23" s="73"/>
      <c r="J23" s="94"/>
      <c r="K23" s="74"/>
      <c r="L23" s="94"/>
      <c r="M23" s="70"/>
      <c r="N23" s="70"/>
      <c r="O23" s="70"/>
    </row>
    <row r="24" spans="1:15" s="71" customFormat="1" ht="15.95" customHeight="1" x14ac:dyDescent="0.2">
      <c r="A24" s="89" t="str">
        <f>IF(L="EN","   Availability","   Verfügbarkeit")</f>
        <v xml:space="preserve">   Availability</v>
      </c>
      <c r="B24" s="364"/>
      <c r="C24" s="364"/>
      <c r="D24" s="364"/>
      <c r="E24" s="364"/>
      <c r="F24" s="364"/>
      <c r="G24" s="365"/>
      <c r="H24" s="87"/>
      <c r="I24" s="363"/>
      <c r="J24" s="363"/>
      <c r="K24" s="363"/>
      <c r="L24" s="363"/>
      <c r="M24" s="363"/>
      <c r="N24" s="70"/>
      <c r="O24" s="70"/>
    </row>
    <row r="25" spans="1:15" s="71" customFormat="1" ht="13.5" customHeight="1" x14ac:dyDescent="0.2">
      <c r="A25" s="91"/>
      <c r="B25" s="366"/>
      <c r="C25" s="366"/>
      <c r="D25" s="366"/>
      <c r="E25" s="366"/>
      <c r="F25" s="366"/>
      <c r="G25" s="367"/>
      <c r="H25" s="87"/>
      <c r="I25" s="363"/>
      <c r="J25" s="363"/>
      <c r="K25" s="363"/>
      <c r="L25" s="363"/>
      <c r="M25" s="363"/>
      <c r="N25" s="70"/>
      <c r="O25" s="70"/>
    </row>
    <row r="26" spans="1:15" s="71" customFormat="1" ht="15.95" customHeight="1" x14ac:dyDescent="0.2">
      <c r="A26" s="82" t="str">
        <f>IF(L="EN","4. Open Points","4. Offene Punkte")</f>
        <v>4. Open Points</v>
      </c>
      <c r="B26" s="95" t="str">
        <f>IF(L="EN","see OPL from:","Offene Punkte siehe OPL vom:")</f>
        <v>see OPL from:</v>
      </c>
      <c r="C26" s="73"/>
      <c r="D26" s="74"/>
      <c r="E26" s="371"/>
      <c r="F26" s="371"/>
      <c r="G26" s="372"/>
      <c r="H26" s="87"/>
      <c r="I26" s="95"/>
      <c r="J26" s="73"/>
      <c r="K26" s="74"/>
      <c r="L26" s="368"/>
      <c r="M26" s="368"/>
      <c r="N26" s="70"/>
      <c r="O26" s="70"/>
    </row>
    <row r="27" spans="1:15" s="71" customFormat="1" ht="5.25" customHeight="1" x14ac:dyDescent="0.2">
      <c r="A27" s="91"/>
      <c r="B27" s="96"/>
      <c r="C27" s="97"/>
      <c r="D27" s="96"/>
      <c r="E27" s="96"/>
      <c r="F27" s="98"/>
      <c r="G27" s="99"/>
      <c r="H27" s="87"/>
      <c r="I27" s="74"/>
      <c r="J27" s="73"/>
      <c r="K27" s="74"/>
      <c r="L27" s="74"/>
      <c r="M27" s="100"/>
      <c r="N27" s="70"/>
      <c r="O27" s="70"/>
    </row>
    <row r="28" spans="1:15" s="71" customFormat="1" ht="15.95" customHeight="1" x14ac:dyDescent="0.2">
      <c r="A28" s="82" t="str">
        <f>IF(L="EN","5. Scope of Delivery","Lieferumfang")</f>
        <v>5. Scope of Delivery</v>
      </c>
      <c r="B28" s="83" t="str">
        <f>IF(L="EN","Status:","Status Lieferumfang:")</f>
        <v>Status:</v>
      </c>
      <c r="C28" s="84"/>
      <c r="D28" s="85" t="str">
        <f>IF(L="EN","complete","vollständig")</f>
        <v>complete</v>
      </c>
      <c r="E28" s="101"/>
      <c r="F28" s="86" t="str">
        <f>IF(L="EN","incomplete","nicht vollständig")</f>
        <v>incomplete</v>
      </c>
      <c r="G28" s="69"/>
      <c r="H28" s="87"/>
      <c r="I28" s="73"/>
      <c r="J28" s="88"/>
      <c r="K28" s="74"/>
      <c r="L28" s="102"/>
      <c r="M28" s="70"/>
      <c r="N28" s="70"/>
      <c r="O28" s="70"/>
    </row>
    <row r="29" spans="1:15" s="71" customFormat="1" ht="15.95" customHeight="1" x14ac:dyDescent="0.2">
      <c r="A29" s="89"/>
      <c r="B29" s="363"/>
      <c r="C29" s="363"/>
      <c r="D29" s="363"/>
      <c r="E29" s="363"/>
      <c r="F29" s="363"/>
      <c r="G29" s="373"/>
      <c r="H29" s="87"/>
      <c r="I29" s="363"/>
      <c r="J29" s="363"/>
      <c r="K29" s="363"/>
      <c r="L29" s="363"/>
      <c r="M29" s="363"/>
      <c r="N29" s="70"/>
      <c r="O29" s="70"/>
    </row>
    <row r="30" spans="1:15" s="71" customFormat="1" ht="11.25" customHeight="1" x14ac:dyDescent="0.2">
      <c r="A30" s="89"/>
      <c r="B30" s="374"/>
      <c r="C30" s="374"/>
      <c r="D30" s="374"/>
      <c r="E30" s="374"/>
      <c r="F30" s="374"/>
      <c r="G30" s="375"/>
      <c r="H30" s="87"/>
      <c r="I30" s="363"/>
      <c r="J30" s="363"/>
      <c r="K30" s="363"/>
      <c r="L30" s="363"/>
      <c r="M30" s="363"/>
      <c r="N30" s="70"/>
      <c r="O30" s="70"/>
    </row>
    <row r="31" spans="1:15" s="71" customFormat="1" ht="12" customHeight="1" x14ac:dyDescent="0.2">
      <c r="A31" s="103" t="str">
        <f>IF(L="EN","6. Status of","Vorabnahmestatus")</f>
        <v>6. Status of</v>
      </c>
      <c r="B31" s="369" t="str">
        <f>IF(L="EN","Pre-acceptance of the machine on:","Die Anlage ist vorabgenommen am:")</f>
        <v>Pre-acceptance of the machine on:</v>
      </c>
      <c r="C31" s="369"/>
      <c r="D31" s="369"/>
      <c r="E31" s="104"/>
      <c r="F31" s="105"/>
      <c r="G31" s="69"/>
      <c r="H31" s="87"/>
      <c r="I31" s="370"/>
      <c r="J31" s="370"/>
      <c r="K31" s="370"/>
      <c r="L31" s="106"/>
      <c r="M31" s="68"/>
      <c r="N31" s="70"/>
      <c r="O31" s="70"/>
    </row>
    <row r="32" spans="1:15" s="71" customFormat="1" ht="15.95" customHeight="1" x14ac:dyDescent="0.2">
      <c r="A32" s="107" t="str">
        <f>IF(L="EN"," pre-acceptance"," ")</f>
        <v xml:space="preserve"> pre-acceptance</v>
      </c>
      <c r="B32" s="370" t="str">
        <f>IF(L="EN","Shipment (ex supplier) on:","Lieferung (ex Lieferant) am:")</f>
        <v>Shipment (ex supplier) on:</v>
      </c>
      <c r="C32" s="370"/>
      <c r="D32" s="370"/>
      <c r="E32" s="106"/>
      <c r="F32" s="78"/>
      <c r="G32" s="69"/>
      <c r="H32" s="108"/>
      <c r="I32" s="70"/>
      <c r="J32" s="70"/>
      <c r="K32" s="70"/>
      <c r="L32" s="70"/>
      <c r="M32" s="68"/>
      <c r="N32" s="70"/>
      <c r="O32" s="70"/>
    </row>
    <row r="33" spans="1:15" s="71" customFormat="1" ht="13.5" customHeight="1" x14ac:dyDescent="0.2">
      <c r="A33" s="378"/>
      <c r="B33" s="370" t="str">
        <f>IF(L="EN","est. Delivery date (receiving plant):","vor. Liefertermin (Anlieferung Werk):")</f>
        <v>est. Delivery date (receiving plant):</v>
      </c>
      <c r="C33" s="370"/>
      <c r="D33" s="370"/>
      <c r="E33" s="73"/>
      <c r="F33" s="78"/>
      <c r="G33" s="69"/>
      <c r="H33" s="108"/>
      <c r="I33" s="70"/>
      <c r="J33" s="70"/>
      <c r="K33" s="70"/>
      <c r="L33" s="70"/>
      <c r="M33" s="68"/>
      <c r="N33" s="70"/>
      <c r="O33" s="70"/>
    </row>
    <row r="34" spans="1:15" s="71" customFormat="1" ht="13.5" customHeight="1" x14ac:dyDescent="0.2">
      <c r="A34" s="378"/>
      <c r="B34" s="379" t="str">
        <f>IF(L="EN","est. Date of launching:","vor.Termin IB:")</f>
        <v>est. Date of launching:</v>
      </c>
      <c r="C34" s="379"/>
      <c r="D34" s="379"/>
      <c r="E34" s="106"/>
      <c r="F34" s="78"/>
      <c r="G34" s="69"/>
      <c r="H34" s="108"/>
      <c r="I34" s="70"/>
      <c r="J34" s="70"/>
      <c r="K34" s="70"/>
      <c r="L34" s="70"/>
      <c r="M34" s="68"/>
      <c r="N34" s="70"/>
      <c r="O34" s="70"/>
    </row>
    <row r="35" spans="1:15" s="71" customFormat="1" ht="12.75" customHeight="1" thickBot="1" x14ac:dyDescent="0.25">
      <c r="A35" s="378"/>
      <c r="B35" s="370" t="str">
        <f>IF(L="EN","Estimated date of Final-Acceptance:","vor. Termin Endabnahme:")</f>
        <v>Estimated date of Final-Acceptance:</v>
      </c>
      <c r="C35" s="370"/>
      <c r="D35" s="370"/>
      <c r="E35" s="106"/>
      <c r="F35" s="81"/>
      <c r="G35" s="69"/>
      <c r="H35" s="380"/>
      <c r="I35" s="370"/>
      <c r="J35" s="370"/>
      <c r="K35" s="370"/>
      <c r="L35" s="70"/>
      <c r="M35" s="68"/>
      <c r="N35" s="70"/>
      <c r="O35" s="70"/>
    </row>
    <row r="36" spans="1:15" s="71" customFormat="1" ht="12" customHeight="1" x14ac:dyDescent="0.2">
      <c r="A36" s="109" t="str">
        <f>IF(L="EN","Signature","Unterschrift")</f>
        <v>Signature</v>
      </c>
      <c r="B36" s="110" t="str">
        <f>IF(L="EN","Plant","Werk")</f>
        <v>Plant</v>
      </c>
      <c r="C36" s="110"/>
      <c r="D36" s="111" t="str">
        <f>IF(L="EN","Supplier","Lieferant")</f>
        <v>Supplier</v>
      </c>
      <c r="E36" s="111"/>
      <c r="F36" s="111" t="s">
        <v>240</v>
      </c>
      <c r="G36" s="64"/>
      <c r="H36" s="380"/>
      <c r="I36" s="74"/>
      <c r="J36" s="106"/>
      <c r="K36" s="106"/>
      <c r="L36" s="106"/>
      <c r="M36" s="80"/>
      <c r="N36" s="70"/>
      <c r="O36" s="70"/>
    </row>
    <row r="37" spans="1:15" s="71" customFormat="1" ht="18" customHeight="1" x14ac:dyDescent="0.2">
      <c r="A37" s="112" t="s">
        <v>241</v>
      </c>
      <c r="B37" s="113"/>
      <c r="C37" s="73"/>
      <c r="D37" s="114"/>
      <c r="E37" s="115"/>
      <c r="F37" s="114"/>
      <c r="G37" s="69"/>
      <c r="H37" s="87"/>
      <c r="I37" s="73"/>
      <c r="J37" s="73"/>
      <c r="K37" s="73"/>
      <c r="L37" s="73"/>
      <c r="M37" s="73"/>
      <c r="N37" s="70"/>
      <c r="O37" s="70"/>
    </row>
    <row r="38" spans="1:15" s="71" customFormat="1" ht="18" customHeight="1" x14ac:dyDescent="0.2">
      <c r="A38" s="112" t="s">
        <v>242</v>
      </c>
      <c r="B38" s="113"/>
      <c r="C38" s="73"/>
      <c r="D38" s="114"/>
      <c r="E38" s="115"/>
      <c r="F38" s="114"/>
      <c r="G38" s="69"/>
      <c r="H38" s="79"/>
      <c r="I38" s="116"/>
      <c r="J38" s="116"/>
      <c r="K38" s="117"/>
      <c r="L38" s="117"/>
      <c r="M38" s="117"/>
      <c r="N38" s="70"/>
      <c r="O38" s="70"/>
    </row>
    <row r="39" spans="1:15" s="71" customFormat="1" ht="18" customHeight="1" x14ac:dyDescent="0.2">
      <c r="A39" s="112" t="str">
        <f>IF(L="EN","Signature","Unterschrift")</f>
        <v>Signature</v>
      </c>
      <c r="B39" s="113"/>
      <c r="C39" s="73"/>
      <c r="D39" s="114"/>
      <c r="E39" s="115"/>
      <c r="F39" s="114"/>
      <c r="G39" s="69"/>
      <c r="H39" s="79"/>
      <c r="I39" s="116"/>
      <c r="J39" s="116"/>
      <c r="K39" s="117"/>
      <c r="L39" s="117"/>
      <c r="M39" s="117"/>
      <c r="N39" s="70"/>
      <c r="O39" s="70"/>
    </row>
    <row r="40" spans="1:15" ht="18" customHeight="1" x14ac:dyDescent="0.3">
      <c r="A40" s="89" t="str">
        <f>IF(L="EN","Dangerous","Prüfung")</f>
        <v>Dangerous</v>
      </c>
      <c r="B40" s="90" t="str">
        <f>IF(L="EN","Delivery by:","Lieferung per:")</f>
        <v>Delivery by:</v>
      </c>
      <c r="C40" s="376"/>
      <c r="D40" s="376"/>
      <c r="E40" s="376"/>
      <c r="F40" s="376"/>
      <c r="G40" s="377"/>
      <c r="H40" s="358"/>
      <c r="I40" s="358"/>
      <c r="J40" s="358"/>
      <c r="K40" s="358"/>
      <c r="L40" s="358"/>
      <c r="M40" s="358"/>
      <c r="N40" s="57"/>
      <c r="O40" s="57"/>
    </row>
    <row r="41" spans="1:15" ht="14.25" customHeight="1" x14ac:dyDescent="0.2">
      <c r="A41" s="89" t="str">
        <f>IF(L="EN","materials","Gefahrgut")</f>
        <v>materials</v>
      </c>
      <c r="B41" s="118" t="str">
        <f>IF(L="EN","Haulage by truck:","Landtransport:")</f>
        <v>Haulage by truck:</v>
      </c>
      <c r="C41" s="119"/>
      <c r="D41" s="118" t="str">
        <f>IF(L="EN","Sea freight:","Seetransport:")</f>
        <v>Sea freight:</v>
      </c>
      <c r="E41" s="120"/>
      <c r="F41" s="118" t="str">
        <f>IF(L="EN","Air freight:","Luftfracht:")</f>
        <v>Air freight:</v>
      </c>
      <c r="G41" s="121"/>
      <c r="H41" s="57"/>
      <c r="I41" s="73"/>
      <c r="J41" s="73"/>
      <c r="K41" s="122"/>
      <c r="L41" s="122"/>
      <c r="M41" s="123"/>
      <c r="N41" s="57"/>
      <c r="O41" s="57"/>
    </row>
    <row r="42" spans="1:15" ht="17.25" customHeight="1" x14ac:dyDescent="0.2">
      <c r="A42" s="89"/>
      <c r="B42" s="359" t="str">
        <f>IF(L="EN","Does the scope of delivery include dangerous materials in relation to above mentioned","Enthält der Lieferumfang Gefahrgüter bezogen auf die oben gewählte Transportart?")</f>
        <v>Does the scope of delivery include dangerous materials in relation to above mentioned</v>
      </c>
      <c r="C42" s="359"/>
      <c r="D42" s="359"/>
      <c r="E42" s="359"/>
      <c r="F42" s="359"/>
      <c r="G42" s="360"/>
      <c r="H42" s="57"/>
      <c r="I42" s="57"/>
      <c r="J42" s="57"/>
      <c r="K42" s="57"/>
      <c r="L42" s="57"/>
      <c r="M42" s="57"/>
      <c r="N42" s="57"/>
      <c r="O42" s="57"/>
    </row>
    <row r="43" spans="1:15" ht="11.25" customHeight="1" x14ac:dyDescent="0.2">
      <c r="A43" s="89"/>
      <c r="B43" s="90" t="str">
        <f>IF(L="EN","type of transportation?"," ")</f>
        <v>type of transportation?</v>
      </c>
      <c r="C43" s="124"/>
      <c r="D43" s="118" t="str">
        <f>IF(L="EN","yes:","ja:")</f>
        <v>yes:</v>
      </c>
      <c r="E43" s="120"/>
      <c r="F43" s="125" t="str">
        <f>IF(L="EN","no:","nein")</f>
        <v>no:</v>
      </c>
      <c r="G43" s="121"/>
      <c r="H43" s="57"/>
      <c r="I43" s="57"/>
      <c r="J43" s="57"/>
      <c r="K43" s="57"/>
      <c r="L43" s="57"/>
      <c r="M43" s="57"/>
      <c r="N43" s="57"/>
      <c r="O43" s="57"/>
    </row>
    <row r="44" spans="1:15" ht="15.75" customHeight="1" x14ac:dyDescent="0.2">
      <c r="A44" s="89"/>
      <c r="B44" s="361" t="str">
        <f>IF(L="EN","If yes: send information and safety data sheet to C/MPE!","Falls ja: Information und Sicherheitsdatenblätter an C/MPE4-MA senden.")</f>
        <v>If yes: send information and safety data sheet to C/MPE!</v>
      </c>
      <c r="C44" s="361"/>
      <c r="D44" s="361"/>
      <c r="E44" s="361"/>
      <c r="F44" s="361"/>
      <c r="G44" s="362"/>
      <c r="H44" s="57"/>
      <c r="I44" s="57"/>
      <c r="J44" s="57"/>
      <c r="K44" s="57"/>
      <c r="L44" s="57"/>
      <c r="M44" s="57"/>
      <c r="N44" s="57"/>
      <c r="O44" s="57"/>
    </row>
    <row r="45" spans="1:15" ht="10.5" customHeight="1" x14ac:dyDescent="0.2">
      <c r="A45" s="89"/>
      <c r="B45" s="117"/>
      <c r="C45" s="70"/>
      <c r="D45" s="70"/>
      <c r="E45" s="70"/>
      <c r="F45" s="117" t="str">
        <f>IF(L="EN","Supplier:","Lieferant:")</f>
        <v>Supplier:</v>
      </c>
      <c r="G45" s="69"/>
      <c r="H45" s="57"/>
      <c r="I45" s="57"/>
      <c r="J45" s="57"/>
      <c r="K45" s="57"/>
      <c r="L45" s="57"/>
      <c r="M45" s="57"/>
      <c r="N45" s="57"/>
      <c r="O45" s="57"/>
    </row>
    <row r="46" spans="1:15" x14ac:dyDescent="0.2">
      <c r="A46" s="112"/>
      <c r="B46" s="117"/>
      <c r="C46" s="70"/>
      <c r="D46" s="126" t="s">
        <v>241</v>
      </c>
      <c r="E46" s="70"/>
      <c r="F46" s="114"/>
      <c r="G46" s="69"/>
      <c r="H46" s="57"/>
      <c r="I46" s="57"/>
      <c r="J46" s="57"/>
      <c r="K46" s="57"/>
      <c r="L46" s="57"/>
      <c r="M46" s="57"/>
      <c r="N46" s="57"/>
      <c r="O46" s="57"/>
    </row>
    <row r="47" spans="1:15" x14ac:dyDescent="0.2">
      <c r="A47" s="112"/>
      <c r="B47" s="117"/>
      <c r="C47" s="70"/>
      <c r="D47" s="126" t="str">
        <f>IF(L="EN","Date:","Datum:")</f>
        <v>Date:</v>
      </c>
      <c r="E47" s="70"/>
      <c r="F47" s="114"/>
      <c r="G47" s="69"/>
      <c r="H47" s="57"/>
      <c r="I47" s="57"/>
      <c r="J47" s="57"/>
      <c r="K47" s="57"/>
      <c r="L47" s="57"/>
      <c r="M47" s="57"/>
      <c r="N47" s="57"/>
      <c r="O47" s="57"/>
    </row>
    <row r="48" spans="1:15" ht="13.5" thickBot="1" x14ac:dyDescent="0.25">
      <c r="A48" s="127"/>
      <c r="B48" s="128"/>
      <c r="C48" s="129"/>
      <c r="D48" s="130" t="str">
        <f>IF(L="EN","Signature","Unterschrift")</f>
        <v>Signature</v>
      </c>
      <c r="E48" s="129"/>
      <c r="F48" s="131"/>
      <c r="G48" s="132"/>
      <c r="H48" s="57"/>
      <c r="I48" s="57"/>
      <c r="J48" s="57"/>
      <c r="K48" s="57"/>
      <c r="L48" s="57"/>
      <c r="M48" s="57"/>
      <c r="N48" s="57"/>
      <c r="O48" s="57"/>
    </row>
    <row r="49" spans="8:15" x14ac:dyDescent="0.2">
      <c r="H49" s="57"/>
      <c r="I49" s="57"/>
      <c r="J49" s="57"/>
      <c r="K49" s="57"/>
      <c r="L49" s="57"/>
      <c r="M49" s="57"/>
      <c r="N49" s="57"/>
      <c r="O49" s="57"/>
    </row>
  </sheetData>
  <mergeCells count="44">
    <mergeCell ref="A1:A2"/>
    <mergeCell ref="B1:E2"/>
    <mergeCell ref="F1:G1"/>
    <mergeCell ref="H1:H2"/>
    <mergeCell ref="I1:L2"/>
    <mergeCell ref="F2:G2"/>
    <mergeCell ref="J18:M19"/>
    <mergeCell ref="A3:A4"/>
    <mergeCell ref="B3:E3"/>
    <mergeCell ref="F3:G3"/>
    <mergeCell ref="H3:H4"/>
    <mergeCell ref="I3:L3"/>
    <mergeCell ref="B4:E4"/>
    <mergeCell ref="F4:G4"/>
    <mergeCell ref="I4:L4"/>
    <mergeCell ref="A6:B6"/>
    <mergeCell ref="H6:I6"/>
    <mergeCell ref="J6:M6"/>
    <mergeCell ref="H15:M15"/>
    <mergeCell ref="H16:M16"/>
    <mergeCell ref="A15:G15"/>
    <mergeCell ref="A16:G16"/>
    <mergeCell ref="A33:A35"/>
    <mergeCell ref="B33:D33"/>
    <mergeCell ref="B34:D34"/>
    <mergeCell ref="B35:D35"/>
    <mergeCell ref="H35:H36"/>
    <mergeCell ref="C18:G19"/>
    <mergeCell ref="B21:G22"/>
    <mergeCell ref="E26:G26"/>
    <mergeCell ref="B29:G30"/>
    <mergeCell ref="C40:G40"/>
    <mergeCell ref="H40:M40"/>
    <mergeCell ref="B42:G42"/>
    <mergeCell ref="B44:G44"/>
    <mergeCell ref="I21:M22"/>
    <mergeCell ref="B24:G25"/>
    <mergeCell ref="I24:M25"/>
    <mergeCell ref="L26:M26"/>
    <mergeCell ref="I29:M30"/>
    <mergeCell ref="B31:D31"/>
    <mergeCell ref="I31:K31"/>
    <mergeCell ref="B32:D32"/>
    <mergeCell ref="I35:K35"/>
  </mergeCells>
  <pageMargins left="0.7" right="0.7" top="0.78740157499999996" bottom="0.78740157499999996" header="0.3" footer="0.3"/>
  <pageSetup paperSize="9" scale="96" orientation="portrait" r:id="rId1"/>
  <ignoredErrors>
    <ignoredError sqref="D12" formula="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45"/>
  <sheetViews>
    <sheetView showGridLines="0" view="pageBreakPreview" zoomScaleNormal="100" zoomScaleSheetLayoutView="100" workbookViewId="0">
      <selection activeCell="B1" sqref="B1:E2"/>
    </sheetView>
  </sheetViews>
  <sheetFormatPr baseColWidth="10" defaultColWidth="11.42578125" defaultRowHeight="12.75" x14ac:dyDescent="0.2"/>
  <cols>
    <col min="1" max="1" width="20.28515625" style="58" customWidth="1"/>
    <col min="2" max="2" width="20.85546875" style="133" customWidth="1"/>
    <col min="3" max="3" width="3.7109375" style="133" customWidth="1"/>
    <col min="4" max="4" width="19.85546875" style="134" customWidth="1"/>
    <col min="5" max="5" width="3.7109375" style="134" customWidth="1"/>
    <col min="6" max="6" width="20.42578125" style="135" customWidth="1"/>
    <col min="7" max="16384" width="11.42578125" style="58"/>
  </cols>
  <sheetData>
    <row r="1" spans="1:8" ht="19.5" customHeight="1" x14ac:dyDescent="0.2">
      <c r="A1" s="402"/>
      <c r="B1" s="404" t="str">
        <f>IF(L="EN","Cover
Final-Acceptance Report","Deckblatt                                                                                                                 Endabnahmeprotokoll")</f>
        <v>Cover
Final-Acceptance Report</v>
      </c>
      <c r="C1" s="405"/>
      <c r="D1" s="405"/>
      <c r="E1" s="406"/>
      <c r="F1" s="136" t="str">
        <f>IF(L="EN","Issue:","Ausgabe")</f>
        <v>Issue:</v>
      </c>
    </row>
    <row r="2" spans="1:8" ht="19.5" customHeight="1" thickBot="1" x14ac:dyDescent="0.25">
      <c r="A2" s="403"/>
      <c r="B2" s="407"/>
      <c r="C2" s="408"/>
      <c r="D2" s="408"/>
      <c r="E2" s="409"/>
      <c r="F2" s="137" t="s">
        <v>393</v>
      </c>
    </row>
    <row r="3" spans="1:8" ht="12.75" customHeight="1" x14ac:dyDescent="0.2">
      <c r="A3" s="381" t="str">
        <f>IF(L="EN","  Department 
   C/MPE","  Abteilung  C/MPE")</f>
        <v xml:space="preserve">  Department 
   C/MPE</v>
      </c>
      <c r="B3" s="383" t="s">
        <v>0</v>
      </c>
      <c r="C3" s="384"/>
      <c r="D3" s="384"/>
      <c r="E3" s="417"/>
      <c r="F3" s="138" t="str">
        <f>IF(L="EN","Editor: C/MPE-","Verfasser:  C/MPE -")</f>
        <v>Editor: C/MPE-</v>
      </c>
      <c r="G3" s="57"/>
      <c r="H3" s="57"/>
    </row>
    <row r="4" spans="1:8" ht="21" customHeight="1" thickBot="1" x14ac:dyDescent="0.25">
      <c r="A4" s="382"/>
      <c r="B4" s="389"/>
      <c r="C4" s="390"/>
      <c r="D4" s="390"/>
      <c r="E4" s="418"/>
      <c r="F4" s="139"/>
      <c r="G4" s="57"/>
      <c r="H4" s="57"/>
    </row>
    <row r="5" spans="1:8" ht="12" customHeight="1" x14ac:dyDescent="0.2">
      <c r="A5" s="61"/>
      <c r="B5" s="62"/>
      <c r="C5" s="70"/>
      <c r="D5" s="70"/>
      <c r="E5" s="70"/>
      <c r="F5" s="69"/>
      <c r="G5" s="71"/>
    </row>
    <row r="6" spans="1:8" s="71" customFormat="1" ht="12" customHeight="1" x14ac:dyDescent="0.2">
      <c r="A6" s="72"/>
      <c r="B6" s="73"/>
      <c r="C6" s="70"/>
      <c r="D6" s="70"/>
      <c r="E6" s="70"/>
      <c r="F6" s="69"/>
    </row>
    <row r="7" spans="1:8" s="71" customFormat="1" ht="18" customHeight="1" x14ac:dyDescent="0.2">
      <c r="A7" s="394" t="str">
        <f>IF(L="EN","Description of the machine or the tool","Maschinenart oder Werkzeug")</f>
        <v>Description of the machine or the tool</v>
      </c>
      <c r="B7" s="395"/>
      <c r="C7" s="70" t="s">
        <v>416</v>
      </c>
      <c r="D7" s="70"/>
      <c r="E7" s="70"/>
      <c r="F7" s="69"/>
    </row>
    <row r="8" spans="1:8" s="71" customFormat="1" ht="18" customHeight="1" x14ac:dyDescent="0.2">
      <c r="A8" s="72"/>
      <c r="B8" s="73"/>
      <c r="C8" s="70"/>
      <c r="D8" s="70"/>
      <c r="E8" s="70"/>
      <c r="F8" s="69"/>
    </row>
    <row r="9" spans="1:8" s="71" customFormat="1" ht="18" customHeight="1" x14ac:dyDescent="0.2">
      <c r="A9" s="75" t="str">
        <f>IF(L="EN","Type of the machine:","Maschinen-Typ:")</f>
        <v>Type of the machine:</v>
      </c>
      <c r="B9" s="76"/>
      <c r="C9" s="73"/>
      <c r="D9" s="77" t="str">
        <f>IF(L="EN","Customer  (RG,GU,LN):","Kunde (RG; GU;LN).:")</f>
        <v>Customer  (RG,GU,LN):</v>
      </c>
      <c r="E9" s="77"/>
      <c r="F9" s="140"/>
    </row>
    <row r="10" spans="1:8" s="71" customFormat="1" ht="18" customHeight="1" x14ac:dyDescent="0.2">
      <c r="A10" s="75" t="s">
        <v>243</v>
      </c>
      <c r="B10" s="76"/>
      <c r="C10" s="73"/>
      <c r="D10" s="77" t="str">
        <f>IF(L="EN","Customer Order Nr.:","Kunderauftrags-Nr.:")</f>
        <v>Customer Order Nr.:</v>
      </c>
      <c r="E10" s="77"/>
      <c r="F10" s="140"/>
    </row>
    <row r="11" spans="1:8" s="71" customFormat="1" ht="18" customHeight="1" x14ac:dyDescent="0.2">
      <c r="A11" s="75" t="str">
        <f>IF(L="EN","Purchase Order Nr.:","Bestell-Nr.:")</f>
        <v>Purchase Order Nr.:</v>
      </c>
      <c r="B11" s="76"/>
      <c r="C11" s="73"/>
      <c r="D11" s="77" t="str">
        <f>IF(L="EN","Responsible C/MPE-PL:","Verantwortl.C/MPR-PL.:")</f>
        <v>Responsible C/MPE-PL:</v>
      </c>
      <c r="E11" s="77"/>
      <c r="F11" s="140"/>
    </row>
    <row r="12" spans="1:8" s="71" customFormat="1" ht="18" customHeight="1" x14ac:dyDescent="0.2">
      <c r="A12" s="75" t="str">
        <f>IF(L="EN","Supplier:","Hersteller:")</f>
        <v>Supplier:</v>
      </c>
      <c r="B12" s="76"/>
      <c r="C12" s="73"/>
      <c r="D12" s="79" t="str">
        <f>IF(L="EN","Signature:","Unterschrift:")</f>
        <v>Signature:</v>
      </c>
      <c r="E12" s="77"/>
      <c r="F12" s="140"/>
    </row>
    <row r="13" spans="1:8" s="71" customFormat="1" ht="18" customHeight="1" x14ac:dyDescent="0.2">
      <c r="A13" s="75" t="str">
        <f>IF(L="EN","Location of Fin-Acc.:","Vorabnahmeort:")</f>
        <v>Location of Fin-Acc.:</v>
      </c>
      <c r="B13" s="76"/>
      <c r="C13" s="73"/>
      <c r="D13" s="77" t="str">
        <f>IF(L="EN","Responsible C/MPE-DM:","Verantwortl.C/MPE-AL:")</f>
        <v>Responsible C/MPE-DM:</v>
      </c>
      <c r="E13" s="77"/>
      <c r="F13" s="140"/>
      <c r="H13" s="71" t="s">
        <v>416</v>
      </c>
    </row>
    <row r="14" spans="1:8" s="71" customFormat="1" ht="18" customHeight="1" x14ac:dyDescent="0.2">
      <c r="A14" s="75" t="str">
        <f>IF(L="EN","Date:","Datum:")</f>
        <v>Date:</v>
      </c>
      <c r="B14" s="76"/>
      <c r="C14" s="73"/>
      <c r="D14" s="77" t="str">
        <f>IF(L="EN","Signature:","Unterschrift:")</f>
        <v>Signature:</v>
      </c>
      <c r="E14" s="74"/>
      <c r="F14" s="141"/>
    </row>
    <row r="15" spans="1:8" s="71" customFormat="1" ht="18" customHeight="1" x14ac:dyDescent="0.2">
      <c r="A15" s="75" t="str">
        <f>IF(L="EN","Participants:","Abnahmeteilnehmer:")</f>
        <v>Participants:</v>
      </c>
      <c r="B15" s="73"/>
      <c r="C15" s="73"/>
      <c r="D15" s="74"/>
      <c r="E15" s="74"/>
      <c r="F15" s="142"/>
    </row>
    <row r="16" spans="1:8" s="71" customFormat="1" ht="18" customHeight="1" x14ac:dyDescent="0.2">
      <c r="A16" s="415"/>
      <c r="B16" s="364"/>
      <c r="C16" s="364"/>
      <c r="D16" s="364"/>
      <c r="E16" s="364"/>
      <c r="F16" s="365"/>
    </row>
    <row r="17" spans="1:7" s="71" customFormat="1" ht="18" customHeight="1" x14ac:dyDescent="0.2">
      <c r="A17" s="415"/>
      <c r="B17" s="364"/>
      <c r="C17" s="364"/>
      <c r="D17" s="364"/>
      <c r="E17" s="364"/>
      <c r="F17" s="365"/>
    </row>
    <row r="18" spans="1:7" s="71" customFormat="1" ht="13.5" customHeight="1" x14ac:dyDescent="0.2">
      <c r="A18" s="143"/>
      <c r="B18" s="97"/>
      <c r="C18" s="97"/>
      <c r="D18" s="144"/>
      <c r="E18" s="144"/>
      <c r="F18" s="145"/>
    </row>
    <row r="19" spans="1:7" s="71" customFormat="1" ht="15.95" customHeight="1" x14ac:dyDescent="0.2">
      <c r="A19" s="82" t="str">
        <f>IF(L="EN","1. Quality","1.Qualität")</f>
        <v>1. Quality</v>
      </c>
      <c r="B19" s="83" t="str">
        <f>IF(L="EN","Capabilities according","Fähigkeiten")</f>
        <v>Capabilities according</v>
      </c>
      <c r="C19" s="84"/>
      <c r="D19" s="85" t="str">
        <f>IF(L="EN","o.k.","i.O.")</f>
        <v>o.k.</v>
      </c>
      <c r="E19" s="84" t="s">
        <v>416</v>
      </c>
      <c r="F19" s="146" t="str">
        <f>IF(L="EN","not o.k.","nicht i.O.")</f>
        <v>not o.k.</v>
      </c>
    </row>
    <row r="20" spans="1:7" s="71" customFormat="1" ht="15.95" customHeight="1" x14ac:dyDescent="0.2">
      <c r="A20" s="89"/>
      <c r="B20" s="90" t="str">
        <f>IF(L="EN","to order:","Bestellung:")</f>
        <v>to order:</v>
      </c>
      <c r="C20" s="364"/>
      <c r="D20" s="364"/>
      <c r="E20" s="364"/>
      <c r="F20" s="365"/>
      <c r="G20" s="70"/>
    </row>
    <row r="21" spans="1:7" s="71" customFormat="1" ht="15.95" customHeight="1" x14ac:dyDescent="0.2">
      <c r="A21" s="91"/>
      <c r="B21" s="92"/>
      <c r="C21" s="366"/>
      <c r="D21" s="366"/>
      <c r="E21" s="366"/>
      <c r="F21" s="367"/>
      <c r="G21" s="70"/>
    </row>
    <row r="22" spans="1:7" s="71" customFormat="1" ht="15.95" customHeight="1" x14ac:dyDescent="0.2">
      <c r="A22" s="82" t="str">
        <f>IF(L="EN","2. Cycle time","2.Zykluszeit")</f>
        <v>2. Cycle time</v>
      </c>
      <c r="B22" s="83" t="str">
        <f>IF(L="EN","Result:","Ergebnis")</f>
        <v>Result:</v>
      </c>
      <c r="C22" s="342" t="str">
        <f>'Acceptance Protocoll'!D133</f>
        <v/>
      </c>
      <c r="D22" s="85" t="str">
        <f>IF(L="EN","o.k.","i.O.")</f>
        <v>o.k.</v>
      </c>
      <c r="E22" s="342" t="str">
        <f>'Acceptance Protocoll'!E133</f>
        <v/>
      </c>
      <c r="F22" s="146" t="str">
        <f>IF(L="EN","not o.k.","nicht i.O.")</f>
        <v>not o.k.</v>
      </c>
      <c r="G22" s="70"/>
    </row>
    <row r="23" spans="1:7" s="71" customFormat="1" ht="15.95" customHeight="1" x14ac:dyDescent="0.2">
      <c r="A23" s="89"/>
      <c r="B23" s="363"/>
      <c r="C23" s="363"/>
      <c r="D23" s="363"/>
      <c r="E23" s="363"/>
      <c r="F23" s="373"/>
      <c r="G23" s="70"/>
    </row>
    <row r="24" spans="1:7" s="71" customFormat="1" ht="15.95" customHeight="1" x14ac:dyDescent="0.2">
      <c r="A24" s="91"/>
      <c r="B24" s="374"/>
      <c r="C24" s="374"/>
      <c r="D24" s="374"/>
      <c r="E24" s="374"/>
      <c r="F24" s="375"/>
      <c r="G24" s="70"/>
    </row>
    <row r="25" spans="1:7" s="71" customFormat="1" ht="15.95" customHeight="1" x14ac:dyDescent="0.2">
      <c r="A25" s="82" t="str">
        <f>IF(L="EN","3. Technical","3.Technische")</f>
        <v>3. Technical</v>
      </c>
      <c r="B25" s="83" t="str">
        <f>IF(L="EN","Result:","Ergebnis")</f>
        <v>Result:</v>
      </c>
      <c r="C25" s="342" t="str">
        <f>'Acceptance Protocoll'!D134</f>
        <v/>
      </c>
      <c r="D25" s="85" t="str">
        <f>IF(L="EN","o.k.","i.O.")</f>
        <v>o.k.</v>
      </c>
      <c r="E25" s="342" t="str">
        <f>'Acceptance Protocoll'!E134</f>
        <v/>
      </c>
      <c r="F25" s="146" t="str">
        <f>IF(L="EN","not o.k.","nicht i.O.")</f>
        <v>not o.k.</v>
      </c>
    </row>
    <row r="26" spans="1:7" s="71" customFormat="1" ht="15.95" customHeight="1" x14ac:dyDescent="0.2">
      <c r="A26" s="89" t="str">
        <f>IF(L="EN","   Availability","   Verfügbarkeit")</f>
        <v xml:space="preserve">   Availability</v>
      </c>
      <c r="B26" s="363"/>
      <c r="C26" s="363"/>
      <c r="D26" s="363"/>
      <c r="E26" s="363"/>
      <c r="F26" s="373"/>
    </row>
    <row r="27" spans="1:7" s="71" customFormat="1" ht="15.95" customHeight="1" x14ac:dyDescent="0.2">
      <c r="A27" s="91"/>
      <c r="B27" s="374"/>
      <c r="C27" s="374"/>
      <c r="D27" s="374"/>
      <c r="E27" s="374"/>
      <c r="F27" s="375"/>
    </row>
    <row r="28" spans="1:7" s="71" customFormat="1" ht="15.95" customHeight="1" x14ac:dyDescent="0.2">
      <c r="A28" s="82" t="str">
        <f>IF(L="EN","4. Open Points","4. Offene Punkte")</f>
        <v>4. Open Points</v>
      </c>
      <c r="B28" s="147" t="s">
        <v>239</v>
      </c>
      <c r="C28" s="84"/>
      <c r="D28" s="85" t="str">
        <f>IF(L="EN","o.k.","i.O.")</f>
        <v>o.k.</v>
      </c>
      <c r="E28" s="84"/>
      <c r="F28" s="146" t="str">
        <f>IF(L="EN","not o.k.","nicht i.O.")</f>
        <v>not o.k.</v>
      </c>
    </row>
    <row r="29" spans="1:7" s="71" customFormat="1" ht="15.95" customHeight="1" x14ac:dyDescent="0.2">
      <c r="A29" s="89"/>
      <c r="B29" s="363"/>
      <c r="C29" s="363"/>
      <c r="D29" s="363"/>
      <c r="E29" s="363"/>
      <c r="F29" s="373"/>
    </row>
    <row r="30" spans="1:7" s="71" customFormat="1" ht="15.95" customHeight="1" x14ac:dyDescent="0.2">
      <c r="A30" s="91"/>
      <c r="B30" s="374"/>
      <c r="C30" s="374"/>
      <c r="D30" s="374"/>
      <c r="E30" s="374"/>
      <c r="F30" s="375"/>
    </row>
    <row r="31" spans="1:7" s="71" customFormat="1" ht="15.95" customHeight="1" x14ac:dyDescent="0.2">
      <c r="A31" s="82" t="str">
        <f>IF(L="EN","5. Scope of Delivery","Lieferumfang")</f>
        <v>5. Scope of Delivery</v>
      </c>
      <c r="B31" s="83" t="s">
        <v>239</v>
      </c>
      <c r="C31" s="84"/>
      <c r="D31" s="85" t="str">
        <f>IF(L="EN","complete","vollständig")</f>
        <v>complete</v>
      </c>
      <c r="E31" s="101"/>
      <c r="F31" s="146" t="str">
        <f>IF(L="EN","incomplete","nicht vollständig")</f>
        <v>incomplete</v>
      </c>
    </row>
    <row r="32" spans="1:7" s="71" customFormat="1" ht="15.95" customHeight="1" x14ac:dyDescent="0.2">
      <c r="A32" s="89"/>
      <c r="B32" s="363"/>
      <c r="C32" s="363"/>
      <c r="D32" s="363"/>
      <c r="E32" s="363"/>
      <c r="F32" s="373"/>
    </row>
    <row r="33" spans="1:7" s="71" customFormat="1" ht="15.95" customHeight="1" x14ac:dyDescent="0.2">
      <c r="A33" s="89"/>
      <c r="B33" s="363"/>
      <c r="C33" s="363"/>
      <c r="D33" s="363"/>
      <c r="E33" s="363"/>
      <c r="F33" s="373"/>
    </row>
    <row r="34" spans="1:7" s="71" customFormat="1" ht="15.95" customHeight="1" x14ac:dyDescent="0.2">
      <c r="A34" s="82" t="str">
        <f>IF(L="EN","6. Final acceptance","Endabnahme-")</f>
        <v>6. Final acceptance</v>
      </c>
      <c r="B34" s="147" t="str">
        <f>IF(L="EN","see OPL from:","Offene Punkte siehe OPL vom:")</f>
        <v>see OPL from:</v>
      </c>
      <c r="C34" s="83"/>
      <c r="D34" s="85"/>
      <c r="E34" s="371"/>
      <c r="F34" s="372"/>
    </row>
    <row r="35" spans="1:7" s="71" customFormat="1" ht="15.95" customHeight="1" x14ac:dyDescent="0.2">
      <c r="A35" s="91" t="str">
        <f>IF(L="EN"," Report","bericht")</f>
        <v xml:space="preserve"> Report</v>
      </c>
      <c r="B35" s="96"/>
      <c r="C35" s="97"/>
      <c r="D35" s="96"/>
      <c r="E35" s="96"/>
      <c r="F35" s="148"/>
    </row>
    <row r="36" spans="1:7" s="71" customFormat="1" ht="15.95" customHeight="1" x14ac:dyDescent="0.2">
      <c r="A36" s="89" t="str">
        <f>IF(L="EN","7. Status of","Vorabnahmestatus")</f>
        <v>7. Status of</v>
      </c>
      <c r="B36" s="370" t="str">
        <f>IF(L="EN","Final acceptance of the machine on:","Die Anlage ist endabgenommen am:")</f>
        <v>Final acceptance of the machine on:</v>
      </c>
      <c r="C36" s="370"/>
      <c r="D36" s="370"/>
      <c r="E36" s="106"/>
      <c r="F36" s="149"/>
    </row>
    <row r="37" spans="1:7" s="71" customFormat="1" ht="15.95" customHeight="1" x14ac:dyDescent="0.2">
      <c r="A37" s="89" t="str">
        <f>IF(L="EN"," Final-acceptance"," ")</f>
        <v xml:space="preserve"> Final-acceptance</v>
      </c>
      <c r="B37" s="370" t="str">
        <f>IF(L="EN","Hand-over to the production plant:","Fertigungsübergabe am:")</f>
        <v>Hand-over to the production plant:</v>
      </c>
      <c r="C37" s="370"/>
      <c r="D37" s="370"/>
      <c r="E37" s="106"/>
      <c r="F37" s="149"/>
    </row>
    <row r="38" spans="1:7" s="71" customFormat="1" ht="15.95" customHeight="1" x14ac:dyDescent="0.2">
      <c r="A38" s="89"/>
      <c r="B38" s="370" t="str">
        <f>IF(L="EN","Begin of the warranty time:","Start der Garantiezeit am:")</f>
        <v>Begin of the warranty time:</v>
      </c>
      <c r="C38" s="370"/>
      <c r="D38" s="370"/>
      <c r="E38" s="106"/>
      <c r="F38" s="149"/>
      <c r="G38" s="70"/>
    </row>
    <row r="39" spans="1:7" s="71" customFormat="1" ht="15.95" customHeight="1" x14ac:dyDescent="0.2">
      <c r="A39" s="91"/>
      <c r="B39" s="416" t="str">
        <f>IF(L="EN","Final payment released on:","Restzahlung freigegeben am:")</f>
        <v>Final payment released on:</v>
      </c>
      <c r="C39" s="416"/>
      <c r="D39" s="416"/>
      <c r="E39" s="150"/>
      <c r="F39" s="151"/>
    </row>
    <row r="40" spans="1:7" s="71" customFormat="1" ht="18" customHeight="1" x14ac:dyDescent="0.2">
      <c r="A40" s="75" t="str">
        <f>IF(L="EN","Signature","Unterschrift")</f>
        <v>Signature</v>
      </c>
      <c r="B40" s="116" t="str">
        <f>IF(L="EN","Plant","Werk")</f>
        <v>Plant</v>
      </c>
      <c r="C40" s="116"/>
      <c r="D40" s="117" t="str">
        <f>IF(L="EN","Supplier","Lieferant")</f>
        <v>Supplier</v>
      </c>
      <c r="E40" s="117"/>
      <c r="F40" s="152" t="s">
        <v>240</v>
      </c>
    </row>
    <row r="41" spans="1:7" s="71" customFormat="1" ht="18" customHeight="1" x14ac:dyDescent="0.2">
      <c r="A41" s="112" t="s">
        <v>241</v>
      </c>
      <c r="B41" s="113"/>
      <c r="C41" s="73"/>
      <c r="D41" s="114"/>
      <c r="E41" s="115"/>
      <c r="F41" s="153"/>
      <c r="G41" s="70"/>
    </row>
    <row r="42" spans="1:7" s="71" customFormat="1" ht="18" customHeight="1" x14ac:dyDescent="0.2">
      <c r="A42" s="112" t="str">
        <f>IF(L="EN","Date:","Datum:")</f>
        <v>Date:</v>
      </c>
      <c r="B42" s="113"/>
      <c r="C42" s="73"/>
      <c r="D42" s="114"/>
      <c r="E42" s="115"/>
      <c r="F42" s="153"/>
      <c r="G42" s="70"/>
    </row>
    <row r="43" spans="1:7" s="71" customFormat="1" ht="18" customHeight="1" x14ac:dyDescent="0.2">
      <c r="A43" s="112" t="str">
        <f>IF(L="EN","Signature","Unterschrift")</f>
        <v>Signature</v>
      </c>
      <c r="B43" s="113"/>
      <c r="C43" s="73"/>
      <c r="D43" s="114"/>
      <c r="E43" s="115"/>
      <c r="F43" s="153"/>
      <c r="G43" s="70"/>
    </row>
    <row r="44" spans="1:7" x14ac:dyDescent="0.2">
      <c r="A44" s="57"/>
      <c r="B44" s="73"/>
      <c r="C44" s="73"/>
      <c r="D44" s="122"/>
      <c r="E44" s="122"/>
      <c r="F44" s="123"/>
    </row>
    <row r="45" spans="1:7" x14ac:dyDescent="0.2">
      <c r="B45" s="58"/>
      <c r="C45" s="58"/>
      <c r="D45" s="58"/>
      <c r="E45" s="58"/>
      <c r="F45" s="58"/>
    </row>
  </sheetData>
  <mergeCells count="18">
    <mergeCell ref="A7:B7"/>
    <mergeCell ref="A1:A2"/>
    <mergeCell ref="B1:E2"/>
    <mergeCell ref="A3:A4"/>
    <mergeCell ref="B3:E3"/>
    <mergeCell ref="B4:E4"/>
    <mergeCell ref="B39:D39"/>
    <mergeCell ref="C20:F21"/>
    <mergeCell ref="B23:F24"/>
    <mergeCell ref="B26:F27"/>
    <mergeCell ref="B29:F30"/>
    <mergeCell ref="B32:F33"/>
    <mergeCell ref="E34:F34"/>
    <mergeCell ref="A16:F16"/>
    <mergeCell ref="A17:F17"/>
    <mergeCell ref="B36:D36"/>
    <mergeCell ref="B37:D37"/>
    <mergeCell ref="B38:D38"/>
  </mergeCells>
  <pageMargins left="0.7" right="0.7" top="0.78740157499999996" bottom="0.78740157499999996" header="0.3" footer="0.3"/>
  <pageSetup paperSize="9" scale="99" orientation="portrait" horizontalDpi="90" verticalDpi="90" r:id="rId1"/>
  <ignoredErrors>
    <ignoredError sqref="D13" formula="1"/>
  </ignoredError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R887"/>
  <sheetViews>
    <sheetView showGridLines="0" view="pageBreakPreview" zoomScaleNormal="100" zoomScaleSheetLayoutView="100" zoomScalePageLayoutView="130" workbookViewId="0">
      <selection activeCell="B329" sqref="B329:H329"/>
    </sheetView>
  </sheetViews>
  <sheetFormatPr baseColWidth="10" defaultColWidth="11.42578125" defaultRowHeight="12.75" x14ac:dyDescent="0.2"/>
  <cols>
    <col min="1" max="1" width="7.7109375" style="58" customWidth="1"/>
    <col min="2" max="2" width="7.140625" style="58" customWidth="1"/>
    <col min="3" max="3" width="43.28515625" style="133" customWidth="1"/>
    <col min="4" max="6" width="3.85546875" style="134" customWidth="1"/>
    <col min="7" max="7" width="10.7109375" style="135" customWidth="1"/>
    <col min="8" max="8" width="22.85546875" style="135" customWidth="1"/>
    <col min="9" max="9" width="1.7109375" style="157" customWidth="1"/>
    <col min="10" max="13" width="11.42578125" style="58"/>
    <col min="14" max="15" width="43.28515625" style="330" hidden="1" customWidth="1"/>
    <col min="16" max="16384" width="11.42578125" style="58"/>
  </cols>
  <sheetData>
    <row r="1" spans="1:15" ht="19.5" customHeight="1" x14ac:dyDescent="0.2">
      <c r="A1" s="419"/>
      <c r="B1" s="442"/>
      <c r="C1" s="444" t="str">
        <f>IF(L="EN","Pre-Acceptance  /
Final Acceptance Report","Vorabnahme- /
Endabnahmeprotokoll")</f>
        <v>Pre-Acceptance  /
Final Acceptance Report</v>
      </c>
      <c r="D1" s="445"/>
      <c r="E1" s="445"/>
      <c r="F1" s="446"/>
      <c r="G1" s="324" t="str">
        <f>IF(L="EN","Issue:","Ausgabe")</f>
        <v>Issue:</v>
      </c>
      <c r="H1" s="326" t="str">
        <f>IF(L="EN","Page","Blatt")</f>
        <v>Page</v>
      </c>
      <c r="I1" s="155"/>
    </row>
    <row r="2" spans="1:15" ht="19.5" customHeight="1" thickBot="1" x14ac:dyDescent="0.25">
      <c r="A2" s="421"/>
      <c r="B2" s="443"/>
      <c r="C2" s="447"/>
      <c r="D2" s="448"/>
      <c r="E2" s="448"/>
      <c r="F2" s="449"/>
      <c r="G2" s="350" t="s">
        <v>433</v>
      </c>
      <c r="H2" s="325" t="s">
        <v>395</v>
      </c>
    </row>
    <row r="3" spans="1:15" ht="12.75" customHeight="1" x14ac:dyDescent="0.2">
      <c r="A3" s="450" t="str">
        <f>IF(L="EN","  Dept. 
   C/MPE","  Abteilung  C/MPE")</f>
        <v xml:space="preserve">  Dept. 
   C/MPE</v>
      </c>
      <c r="B3" s="451"/>
      <c r="C3" s="383" t="s">
        <v>0</v>
      </c>
      <c r="D3" s="384"/>
      <c r="E3" s="384"/>
      <c r="F3" s="417"/>
      <c r="G3" s="327" t="str">
        <f>IF(L="EN","Responsible:","Verantwortlich:")</f>
        <v>Responsible:</v>
      </c>
      <c r="H3" s="158"/>
    </row>
    <row r="4" spans="1:15" ht="21" customHeight="1" thickBot="1" x14ac:dyDescent="0.25">
      <c r="A4" s="452"/>
      <c r="B4" s="453"/>
      <c r="C4" s="454" t="s">
        <v>2</v>
      </c>
      <c r="D4" s="455"/>
      <c r="E4" s="455"/>
      <c r="F4" s="456"/>
      <c r="G4" s="159" t="s">
        <v>3</v>
      </c>
      <c r="H4" s="160" t="s">
        <v>394</v>
      </c>
    </row>
    <row r="5" spans="1:15" s="71" customFormat="1" ht="15" customHeight="1" x14ac:dyDescent="0.2">
      <c r="A5" s="70"/>
      <c r="B5" s="70"/>
      <c r="C5" s="123"/>
      <c r="D5" s="123"/>
      <c r="E5" s="123"/>
      <c r="F5" s="123"/>
      <c r="G5" s="123"/>
      <c r="H5" s="123"/>
      <c r="I5" s="90"/>
      <c r="N5" s="331"/>
      <c r="O5" s="331"/>
    </row>
    <row r="6" spans="1:15" s="71" customFormat="1" ht="15" customHeight="1" x14ac:dyDescent="0.2">
      <c r="A6" s="79" t="str">
        <f>IF(L="EN","Section:","Kapitel:")</f>
        <v>Section:</v>
      </c>
      <c r="B6" s="70"/>
      <c r="C6" s="123"/>
      <c r="D6" s="123"/>
      <c r="E6" s="123"/>
      <c r="F6" s="123"/>
      <c r="G6" s="123"/>
      <c r="H6" s="123"/>
      <c r="I6" s="161"/>
      <c r="N6" s="331"/>
      <c r="O6" s="331"/>
    </row>
    <row r="7" spans="1:15" s="71" customFormat="1" ht="4.5" customHeight="1" x14ac:dyDescent="0.2">
      <c r="A7" s="70"/>
      <c r="B7" s="70"/>
      <c r="C7" s="123"/>
      <c r="D7" s="123"/>
      <c r="E7" s="123"/>
      <c r="F7" s="123"/>
      <c r="G7" s="123"/>
      <c r="H7" s="123"/>
      <c r="I7" s="161"/>
      <c r="N7" s="331"/>
      <c r="O7" s="331"/>
    </row>
    <row r="8" spans="1:15" s="71" customFormat="1" ht="20.100000000000001" customHeight="1" x14ac:dyDescent="0.2">
      <c r="A8" s="70"/>
      <c r="B8" s="162" t="s">
        <v>4</v>
      </c>
      <c r="C8" s="123" t="str">
        <f>IF(L="EN","Scope of delivery","Lieferumfang")</f>
        <v>Scope of delivery</v>
      </c>
      <c r="D8" s="123"/>
      <c r="E8" s="123"/>
      <c r="F8" s="123"/>
      <c r="G8" s="123"/>
      <c r="H8" s="123"/>
      <c r="I8" s="161"/>
      <c r="N8" s="331"/>
      <c r="O8" s="331"/>
    </row>
    <row r="9" spans="1:15" s="71" customFormat="1" ht="20.100000000000001" customHeight="1" x14ac:dyDescent="0.2">
      <c r="A9" s="70"/>
      <c r="B9" s="162" t="s">
        <v>5</v>
      </c>
      <c r="C9" s="457" t="str">
        <f>IF(L="EN","N51M M20  General Delivery Specification and Complementary Delivery Spec. C/MPE/FL.","N51M M20  Allgemeine Liefervorschrift und Ergänzende Liefervorschrift C/MPE/FL.")</f>
        <v>N51M M20  General Delivery Specification and Complementary Delivery Spec. C/MPE/FL.</v>
      </c>
      <c r="D9" s="457"/>
      <c r="E9" s="457"/>
      <c r="F9" s="457"/>
      <c r="G9" s="457"/>
      <c r="H9" s="457"/>
      <c r="I9" s="163"/>
      <c r="N9" s="331"/>
      <c r="O9" s="331"/>
    </row>
    <row r="10" spans="1:15" s="71" customFormat="1" ht="20.100000000000001" customHeight="1" x14ac:dyDescent="0.2">
      <c r="A10" s="70"/>
      <c r="B10" s="162" t="s">
        <v>6</v>
      </c>
      <c r="C10" s="458" t="str">
        <f>IF(L="EN","N51M M23 electrical Measurement and Testequipment and adjustments","N51MM23ElektrischeMessungenPrüfungenundJustagen")</f>
        <v>N51M M23 electrical Measurement and Testequipment and adjustments</v>
      </c>
      <c r="D10" s="458"/>
      <c r="E10" s="458"/>
      <c r="F10" s="458"/>
      <c r="G10" s="458"/>
      <c r="H10" s="123"/>
      <c r="I10" s="164"/>
      <c r="N10" s="331"/>
      <c r="O10" s="331"/>
    </row>
    <row r="11" spans="1:15" s="71" customFormat="1" ht="20.100000000000001" customHeight="1" x14ac:dyDescent="0.2">
      <c r="A11" s="70"/>
      <c r="B11" s="162" t="s">
        <v>7</v>
      </c>
      <c r="C11" s="457" t="str">
        <f>IF(L="EN","N51M M23  „Electronic and Electric Equipment","N51M M23  „Elektronische und Elektrische Ausrüstung")</f>
        <v>N51M M23  „Electronic and Electric Equipment</v>
      </c>
      <c r="D11" s="457"/>
      <c r="E11" s="457"/>
      <c r="F11" s="457"/>
      <c r="G11" s="457"/>
      <c r="H11" s="123"/>
      <c r="I11" s="161"/>
      <c r="N11" s="331"/>
      <c r="O11" s="331"/>
    </row>
    <row r="12" spans="1:15" s="71" customFormat="1" ht="20.100000000000001" customHeight="1" x14ac:dyDescent="0.2">
      <c r="A12" s="70"/>
      <c r="B12" s="162" t="s">
        <v>8</v>
      </c>
      <c r="C12" s="457" t="str">
        <f>IF(L="EN","N51M M25  „Hydraulic","N51M M25  „Hydraulik")</f>
        <v>N51M M25  „Hydraulic</v>
      </c>
      <c r="D12" s="457"/>
      <c r="E12" s="457"/>
      <c r="F12" s="457"/>
      <c r="G12" s="457"/>
      <c r="H12" s="123"/>
      <c r="I12" s="163"/>
      <c r="N12" s="331"/>
      <c r="O12" s="331"/>
    </row>
    <row r="13" spans="1:15" s="71" customFormat="1" ht="20.100000000000001" customHeight="1" x14ac:dyDescent="0.2">
      <c r="A13" s="70"/>
      <c r="B13" s="162" t="s">
        <v>9</v>
      </c>
      <c r="C13" s="458" t="str">
        <f>IF(L="EN","N51M M26  „Pneumatic","N51M M26  „Pneumatik")</f>
        <v>N51M M26  „Pneumatic</v>
      </c>
      <c r="D13" s="458"/>
      <c r="E13" s="458"/>
      <c r="F13" s="458"/>
      <c r="G13" s="458"/>
      <c r="H13" s="123"/>
      <c r="I13" s="163"/>
      <c r="N13" s="331"/>
      <c r="O13" s="331"/>
    </row>
    <row r="14" spans="1:15" s="71" customFormat="1" ht="20.100000000000001" customHeight="1" x14ac:dyDescent="0.2">
      <c r="A14" s="70"/>
      <c r="B14" s="162" t="s">
        <v>10</v>
      </c>
      <c r="C14" s="458" t="str">
        <f>IF(L="EN","N62A „Work System Design","N62A „Gestaltung von Arbeitssystemen“")</f>
        <v>N62A „Work System Design</v>
      </c>
      <c r="D14" s="458"/>
      <c r="E14" s="458"/>
      <c r="F14" s="458"/>
      <c r="G14" s="458"/>
      <c r="H14" s="123"/>
      <c r="I14" s="161"/>
      <c r="N14" s="331"/>
      <c r="O14" s="331"/>
    </row>
    <row r="15" spans="1:15" s="71" customFormat="1" ht="20.100000000000001" customHeight="1" x14ac:dyDescent="0.2">
      <c r="A15" s="70"/>
      <c r="B15" s="162" t="s">
        <v>11</v>
      </c>
      <c r="C15" s="458" t="str">
        <f>IF(L="EN","Proof of technical availability","Nachweis Technische Verfügbarkeit")</f>
        <v>Proof of technical availability</v>
      </c>
      <c r="D15" s="458"/>
      <c r="E15" s="458"/>
      <c r="F15" s="458"/>
      <c r="G15" s="458"/>
      <c r="H15" s="123"/>
      <c r="I15" s="161"/>
      <c r="N15" s="331"/>
      <c r="O15" s="331"/>
    </row>
    <row r="16" spans="1:15" s="71" customFormat="1" ht="20.100000000000001" customHeight="1" x14ac:dyDescent="0.2">
      <c r="A16" s="70"/>
      <c r="B16" s="162" t="s">
        <v>12</v>
      </c>
      <c r="C16" s="458" t="str">
        <f>IF(L="EN","Pre- and Finalacceptance report","Vor- / Endabnahmebericht")</f>
        <v>Pre- and Finalacceptance report</v>
      </c>
      <c r="D16" s="458"/>
      <c r="E16" s="458"/>
      <c r="F16" s="458"/>
      <c r="G16" s="458"/>
      <c r="H16" s="123"/>
      <c r="I16" s="161"/>
      <c r="N16" s="331"/>
      <c r="O16" s="331"/>
    </row>
    <row r="17" spans="1:15" s="71" customFormat="1" ht="20.100000000000001" customHeight="1" x14ac:dyDescent="0.2">
      <c r="A17" s="70"/>
      <c r="B17" s="162" t="s">
        <v>13</v>
      </c>
      <c r="C17" s="458" t="str">
        <f>IF(L="EN","Information about packaging for C/MPE","Hinweise zur Verpackung der Einrichtung für den Techniker")</f>
        <v>Information about packaging for C/MPE</v>
      </c>
      <c r="D17" s="458"/>
      <c r="E17" s="458"/>
      <c r="F17" s="458"/>
      <c r="G17" s="458"/>
      <c r="H17" s="123"/>
      <c r="I17" s="161"/>
      <c r="N17" s="331"/>
      <c r="O17" s="331"/>
    </row>
    <row r="18" spans="1:15" s="71" customFormat="1" ht="20.100000000000001" customHeight="1" x14ac:dyDescent="0.2">
      <c r="A18" s="70"/>
      <c r="B18" s="162" t="s">
        <v>14</v>
      </c>
      <c r="C18" s="458" t="str">
        <f>IF(L="EN","Information about packaging for supplier","Hinweise zur Verpackung der Einrichtung für den Lieferant")</f>
        <v>Information about packaging for supplier</v>
      </c>
      <c r="D18" s="458"/>
      <c r="E18" s="458"/>
      <c r="F18" s="458"/>
      <c r="G18" s="458"/>
      <c r="H18" s="123"/>
      <c r="I18" s="161"/>
      <c r="N18" s="331"/>
      <c r="O18" s="331"/>
    </row>
    <row r="19" spans="1:15" s="71" customFormat="1" ht="20.100000000000001" customHeight="1" x14ac:dyDescent="0.2">
      <c r="A19" s="70"/>
      <c r="B19" s="162" t="s">
        <v>15</v>
      </c>
      <c r="C19" s="458" t="str">
        <f>IF(L="EN","Information about pickup / shipment of the equipment","Hinweise zur Abholung / Versand der Einrichtung")</f>
        <v>Information about pickup / shipment of the equipment</v>
      </c>
      <c r="D19" s="458"/>
      <c r="E19" s="458"/>
      <c r="F19" s="458"/>
      <c r="G19" s="458"/>
      <c r="H19" s="123"/>
      <c r="I19" s="161"/>
      <c r="N19" s="331"/>
      <c r="O19" s="331"/>
    </row>
    <row r="20" spans="1:15" s="71" customFormat="1" ht="20.100000000000001" customHeight="1" x14ac:dyDescent="0.2">
      <c r="A20" s="70"/>
      <c r="B20" s="162" t="s">
        <v>16</v>
      </c>
      <c r="C20" s="458" t="str">
        <f>IF(L="EN","Overview of the Standards of Bosch Delivery Specification N51M (in german)","Alle Normen der Bosch Liefervorschrift N51M in der Übersicht")</f>
        <v>Overview of the Standards of Bosch Delivery Specification N51M (in german)</v>
      </c>
      <c r="D20" s="458"/>
      <c r="E20" s="458"/>
      <c r="F20" s="458"/>
      <c r="G20" s="458"/>
      <c r="H20" s="123"/>
      <c r="I20" s="161"/>
      <c r="N20" s="331"/>
      <c r="O20" s="331"/>
    </row>
    <row r="21" spans="1:15" s="71" customFormat="1" ht="15" customHeight="1" x14ac:dyDescent="0.2">
      <c r="A21" s="70"/>
      <c r="B21" s="70"/>
      <c r="C21" s="73"/>
      <c r="D21" s="165"/>
      <c r="E21" s="165"/>
      <c r="F21" s="165"/>
      <c r="G21" s="123"/>
      <c r="H21" s="123"/>
      <c r="I21" s="161"/>
      <c r="N21" s="331"/>
      <c r="O21" s="331"/>
    </row>
    <row r="22" spans="1:15" s="71" customFormat="1" ht="15" customHeight="1" x14ac:dyDescent="0.2">
      <c r="A22" s="79" t="str">
        <f>IF(L="EN","Attachments:","Anlagen:")</f>
        <v>Attachments:</v>
      </c>
      <c r="B22" s="165"/>
      <c r="C22" s="73"/>
      <c r="D22" s="165"/>
      <c r="E22" s="165"/>
      <c r="F22" s="165"/>
      <c r="G22" s="123"/>
      <c r="H22" s="123"/>
      <c r="I22" s="161"/>
      <c r="N22" s="331"/>
      <c r="O22" s="331"/>
    </row>
    <row r="23" spans="1:15" s="71" customFormat="1" ht="4.5" customHeight="1" x14ac:dyDescent="0.2">
      <c r="A23" s="70"/>
      <c r="B23" s="70"/>
      <c r="C23" s="73"/>
      <c r="D23" s="165"/>
      <c r="E23" s="165"/>
      <c r="F23" s="165"/>
      <c r="G23" s="123"/>
      <c r="H23" s="123"/>
      <c r="I23" s="161"/>
      <c r="N23" s="331"/>
      <c r="O23" s="331"/>
    </row>
    <row r="24" spans="1:15" s="71" customFormat="1" ht="20.100000000000001" customHeight="1" x14ac:dyDescent="0.2">
      <c r="A24" s="70"/>
      <c r="B24" s="68"/>
      <c r="C24" s="464" t="str">
        <f>IF(L="EN","Acceptance report  „Electrical Equipment“ from CR/APA3 or supplier","Abnahmeprotokoll „Elektrische Ausrüstung“ von CR/APA3 oder Lieferer")</f>
        <v>Acceptance report  „Electrical Equipment“ from CR/APA3 or supplier</v>
      </c>
      <c r="D24" s="464"/>
      <c r="E24" s="464"/>
      <c r="F24" s="464"/>
      <c r="G24" s="464"/>
      <c r="H24" s="123"/>
      <c r="I24" s="161"/>
      <c r="N24" s="331"/>
      <c r="O24" s="331"/>
    </row>
    <row r="25" spans="1:15" s="71" customFormat="1" ht="20.100000000000001" customHeight="1" x14ac:dyDescent="0.2">
      <c r="A25" s="70"/>
      <c r="B25" s="68"/>
      <c r="C25" s="464" t="str">
        <f>IF(L="EN","Preliminary acceptance report","Vorabnahmeprotokoll")</f>
        <v>Preliminary acceptance report</v>
      </c>
      <c r="D25" s="464"/>
      <c r="E25" s="464"/>
      <c r="F25" s="464"/>
      <c r="G25" s="464"/>
      <c r="H25" s="123"/>
      <c r="I25" s="161"/>
      <c r="N25" s="331"/>
      <c r="O25" s="331"/>
    </row>
    <row r="26" spans="1:15" s="71" customFormat="1" ht="20.100000000000001" customHeight="1" x14ac:dyDescent="0.2">
      <c r="A26" s="70"/>
      <c r="B26" s="68"/>
      <c r="C26" s="464" t="str">
        <f>IF(L="EN","Machine and measuring equipment capabilities","Maschinen- und Messgerätefähigkeitsuntersuchungen")</f>
        <v>Machine and measuring equipment capabilities</v>
      </c>
      <c r="D26" s="464"/>
      <c r="E26" s="464"/>
      <c r="F26" s="464"/>
      <c r="G26" s="464"/>
      <c r="H26" s="123"/>
      <c r="I26" s="161"/>
      <c r="N26" s="331"/>
      <c r="O26" s="331"/>
    </row>
    <row r="27" spans="1:15" s="71" customFormat="1" ht="20.100000000000001" customHeight="1" x14ac:dyDescent="0.2">
      <c r="A27" s="70"/>
      <c r="B27" s="68"/>
      <c r="C27" s="441" t="str">
        <f>IF(L="EN","Proof of technical availability","Nachweis Verfügbarkeit")</f>
        <v>Proof of technical availability</v>
      </c>
      <c r="D27" s="441"/>
      <c r="E27" s="441"/>
      <c r="F27" s="441"/>
      <c r="G27" s="441"/>
      <c r="H27" s="123"/>
      <c r="I27" s="161"/>
      <c r="N27" s="331"/>
      <c r="O27" s="331"/>
    </row>
    <row r="28" spans="1:15" s="71" customFormat="1" ht="20.100000000000001" customHeight="1" x14ac:dyDescent="0.2">
      <c r="A28" s="70"/>
      <c r="B28" s="68"/>
      <c r="C28" s="439" t="str">
        <f>IF(L="EN","Open Point List                                                                      Version:        ","Offene Punkte Liste                                                               Stand      ")</f>
        <v>Open Point List                                                                      Version:        </v>
      </c>
      <c r="D28" s="440"/>
      <c r="E28" s="440"/>
      <c r="F28" s="440"/>
      <c r="G28" s="440"/>
      <c r="H28" s="123"/>
      <c r="I28" s="161"/>
      <c r="N28" s="331"/>
      <c r="O28" s="331"/>
    </row>
    <row r="29" spans="1:15" s="71" customFormat="1" ht="20.100000000000001" customHeight="1" x14ac:dyDescent="0.2">
      <c r="A29" s="70"/>
      <c r="B29" s="68"/>
      <c r="C29" s="441" t="str">
        <f>IF(L="EN","Attachment to section 2.1, Deviations from utilization of Bosch-Products","Anlage zu Punkt 2.1, Abweichungen bei Verwendung von Bosch-Erzeugnissen")</f>
        <v>Attachment to section 2.1, Deviations from utilization of Bosch-Products</v>
      </c>
      <c r="D29" s="441"/>
      <c r="E29" s="441"/>
      <c r="F29" s="441"/>
      <c r="G29" s="441"/>
      <c r="H29" s="123"/>
      <c r="I29" s="161"/>
      <c r="N29" s="331"/>
      <c r="O29" s="331"/>
    </row>
    <row r="30" spans="1:15" s="71" customFormat="1" ht="20.100000000000001" customHeight="1" x14ac:dyDescent="0.2">
      <c r="A30" s="70"/>
      <c r="B30" s="68"/>
      <c r="C30" s="441" t="str">
        <f>IF(L="EN","Attachment to section 2.2.1, Approval for the utilization of hazardous materials","Anlage zu Punkt 2.2.1, Zustimmung für die Verwendung von Stoffen")</f>
        <v>Attachment to section 2.2.1, Approval for the utilization of hazardous materials</v>
      </c>
      <c r="D30" s="441"/>
      <c r="E30" s="441"/>
      <c r="F30" s="441"/>
      <c r="G30" s="441"/>
      <c r="H30" s="123"/>
      <c r="I30" s="161"/>
      <c r="N30" s="331"/>
      <c r="O30" s="331"/>
    </row>
    <row r="31" spans="1:15" s="71" customFormat="1" ht="20.100000000000001" customHeight="1" x14ac:dyDescent="0.2">
      <c r="A31" s="70"/>
      <c r="B31" s="68"/>
      <c r="C31" s="441" t="str">
        <f>IF(L="EN","Attachment to section 2.5.4, Other requirements of the specification book","Anlage zu Punkt 2.5.4, Sonstige Pflichtenheftforderungen")</f>
        <v>Attachment to section 2.5.4, Other requirements of the specification book</v>
      </c>
      <c r="D31" s="441"/>
      <c r="E31" s="441"/>
      <c r="F31" s="441"/>
      <c r="G31" s="441"/>
      <c r="H31" s="123"/>
      <c r="I31" s="161"/>
      <c r="N31" s="331"/>
      <c r="O31" s="331"/>
    </row>
    <row r="32" spans="1:15" s="71" customFormat="1" ht="20.100000000000001" customHeight="1" x14ac:dyDescent="0.2">
      <c r="A32" s="70"/>
      <c r="B32" s="68"/>
      <c r="C32" s="441" t="str">
        <f>IF(L="EN","Attachment to section 2.5.5, Workquality and machine capabilities","Anlage zu Punkt 2.5.5, Arbeitsqualität und Maschinenfähigkeit")</f>
        <v>Attachment to section 2.5.5, Workquality and machine capabilities</v>
      </c>
      <c r="D32" s="441"/>
      <c r="E32" s="441"/>
      <c r="F32" s="441"/>
      <c r="G32" s="441"/>
      <c r="H32" s="123"/>
      <c r="I32" s="161"/>
      <c r="N32" s="331"/>
      <c r="O32" s="331"/>
    </row>
    <row r="33" spans="1:15" s="71" customFormat="1" ht="24" customHeight="1" x14ac:dyDescent="0.2">
      <c r="A33" s="70"/>
      <c r="B33" s="68"/>
      <c r="C33" s="441" t="str">
        <f>IF(L="EN","Attachment to section 7.1, N62A 3.3 Requirements for the ergonomic design of work places by modification/ordering of MAE","Anlage zu Punkt 7.1, N62A 3.3 Anforderungsliste zur ergonomischen Arbeitsplatzgestaltung bei Umbau/Beschaffung von MAE")</f>
        <v>Attachment to section 7.1, N62A 3.3 Requirements for the ergonomic design of work places by modification/ordering of MAE</v>
      </c>
      <c r="D33" s="441"/>
      <c r="E33" s="441"/>
      <c r="F33" s="441"/>
      <c r="G33" s="441"/>
      <c r="H33" s="441"/>
      <c r="I33" s="161"/>
      <c r="N33" s="331"/>
      <c r="O33" s="331"/>
    </row>
    <row r="34" spans="1:15" s="71" customFormat="1" ht="20.100000000000001" customHeight="1" x14ac:dyDescent="0.2">
      <c r="A34" s="70"/>
      <c r="B34" s="68"/>
      <c r="C34" s="441" t="str">
        <f>IF(L="EN","Attachment to section 7.2, N62A 3.3 Checklist of ergonomics in work systems","Anlage zu Punkt 7.2, N62A 3.3 Checkliste Ergonomie in Arbeitssystemen")</f>
        <v>Attachment to section 7.2, N62A 3.3 Checklist of ergonomics in work systems</v>
      </c>
      <c r="D34" s="441"/>
      <c r="E34" s="441"/>
      <c r="F34" s="441"/>
      <c r="G34" s="441"/>
      <c r="H34" s="123"/>
      <c r="I34" s="161"/>
      <c r="N34" s="331"/>
      <c r="O34" s="331"/>
    </row>
    <row r="35" spans="1:15" s="71" customFormat="1" ht="20.100000000000001" customHeight="1" x14ac:dyDescent="0.2">
      <c r="A35" s="70"/>
      <c r="B35" s="68"/>
      <c r="C35" s="441" t="str">
        <f>IF(L="EN","Delivery list","Lieferliste")</f>
        <v>Delivery list</v>
      </c>
      <c r="D35" s="441"/>
      <c r="E35" s="441"/>
      <c r="F35" s="441"/>
      <c r="G35" s="441"/>
      <c r="H35" s="123"/>
      <c r="I35" s="161"/>
      <c r="N35" s="331"/>
      <c r="O35" s="331"/>
    </row>
    <row r="36" spans="1:15" s="71" customFormat="1" ht="20.100000000000001" customHeight="1" x14ac:dyDescent="0.2">
      <c r="A36" s="70"/>
      <c r="B36" s="68"/>
      <c r="C36" s="440"/>
      <c r="D36" s="440"/>
      <c r="E36" s="440"/>
      <c r="F36" s="440"/>
      <c r="G36" s="440"/>
      <c r="H36" s="123"/>
      <c r="I36" s="161"/>
      <c r="N36" s="331"/>
      <c r="O36" s="331"/>
    </row>
    <row r="37" spans="1:15" s="71" customFormat="1" ht="20.100000000000001" customHeight="1" x14ac:dyDescent="0.2">
      <c r="A37" s="70"/>
      <c r="B37" s="68"/>
      <c r="C37" s="440"/>
      <c r="D37" s="440"/>
      <c r="E37" s="440"/>
      <c r="F37" s="440"/>
      <c r="G37" s="440"/>
      <c r="H37" s="123"/>
      <c r="I37" s="161"/>
      <c r="N37" s="331"/>
      <c r="O37" s="331"/>
    </row>
    <row r="38" spans="1:15" s="71" customFormat="1" ht="20.100000000000001" customHeight="1" x14ac:dyDescent="0.2">
      <c r="A38" s="70"/>
      <c r="B38" s="161"/>
      <c r="C38" s="166"/>
      <c r="D38" s="166"/>
      <c r="E38" s="166"/>
      <c r="F38" s="166"/>
      <c r="G38" s="166"/>
      <c r="H38" s="123"/>
      <c r="I38" s="161"/>
      <c r="N38" s="331"/>
      <c r="O38" s="331"/>
    </row>
    <row r="39" spans="1:15" s="71" customFormat="1" ht="20.100000000000001" customHeight="1" x14ac:dyDescent="0.2">
      <c r="A39" s="70"/>
      <c r="B39" s="161"/>
      <c r="C39" s="166"/>
      <c r="D39" s="166"/>
      <c r="E39" s="166"/>
      <c r="F39" s="166"/>
      <c r="G39" s="166"/>
      <c r="H39" s="123"/>
      <c r="I39" s="161"/>
      <c r="N39" s="331"/>
      <c r="O39" s="331"/>
    </row>
    <row r="40" spans="1:15" s="71" customFormat="1" ht="20.100000000000001" customHeight="1" x14ac:dyDescent="0.2">
      <c r="A40" s="70"/>
      <c r="B40" s="161"/>
      <c r="C40" s="166"/>
      <c r="D40" s="166"/>
      <c r="E40" s="166"/>
      <c r="F40" s="166"/>
      <c r="G40" s="166"/>
      <c r="H40" s="123"/>
      <c r="I40" s="161"/>
      <c r="N40" s="331"/>
      <c r="O40" s="331"/>
    </row>
    <row r="41" spans="1:15" s="71" customFormat="1" ht="20.100000000000001" customHeight="1" thickBot="1" x14ac:dyDescent="0.25">
      <c r="A41" s="70"/>
      <c r="B41" s="161"/>
      <c r="C41" s="166"/>
      <c r="D41" s="166"/>
      <c r="E41" s="166"/>
      <c r="F41" s="166"/>
      <c r="G41" s="166"/>
      <c r="H41" s="123"/>
      <c r="I41" s="161"/>
      <c r="N41" s="331"/>
      <c r="O41" s="331"/>
    </row>
    <row r="42" spans="1:15" s="71" customFormat="1" ht="19.5" customHeight="1" x14ac:dyDescent="0.2">
      <c r="A42" s="419"/>
      <c r="B42" s="420"/>
      <c r="C42" s="423" t="str">
        <f>IF(L="EN","C/MPE Acceptance Report","C/MPE Abnahmeprotokoll")</f>
        <v>C/MPE Acceptance Report</v>
      </c>
      <c r="D42" s="423"/>
      <c r="E42" s="423"/>
      <c r="F42" s="424"/>
      <c r="G42" s="136" t="str">
        <f>IF(L="EN","Issue:","Ausgabe")</f>
        <v>Issue:</v>
      </c>
      <c r="H42" s="154" t="str">
        <f>IF(L="EN","Page","Blatt")</f>
        <v>Page</v>
      </c>
      <c r="I42" s="58"/>
      <c r="N42" s="331"/>
      <c r="O42" s="331"/>
    </row>
    <row r="43" spans="1:15" s="71" customFormat="1" ht="19.5" customHeight="1" thickBot="1" x14ac:dyDescent="0.25">
      <c r="A43" s="421"/>
      <c r="B43" s="422"/>
      <c r="C43" s="425"/>
      <c r="D43" s="425"/>
      <c r="E43" s="425"/>
      <c r="F43" s="426"/>
      <c r="G43" s="350" t="s">
        <v>433</v>
      </c>
      <c r="H43" s="156" t="s">
        <v>396</v>
      </c>
      <c r="I43" s="58"/>
      <c r="J43" s="135"/>
      <c r="N43" s="331"/>
      <c r="O43" s="331"/>
    </row>
    <row r="44" spans="1:15" s="71" customFormat="1" ht="13.5" customHeight="1" thickBot="1" x14ac:dyDescent="0.25">
      <c r="A44" s="167" t="str">
        <f>IF(L="EN","section","Kapitel")</f>
        <v>section</v>
      </c>
      <c r="B44" s="427" t="str">
        <f>IF(L="EN","items to be checked","Prüfmerkmale")</f>
        <v>items to be checked</v>
      </c>
      <c r="C44" s="427"/>
      <c r="D44" s="168" t="s">
        <v>17</v>
      </c>
      <c r="E44" s="169" t="s">
        <v>18</v>
      </c>
      <c r="F44" s="170" t="s">
        <v>19</v>
      </c>
      <c r="G44" s="428" t="str">
        <f>IF(L="EN","remark","Bemerkung")</f>
        <v>remark</v>
      </c>
      <c r="H44" s="428"/>
      <c r="I44" s="58"/>
      <c r="N44" s="331"/>
      <c r="O44" s="331"/>
    </row>
    <row r="45" spans="1:15" s="71" customFormat="1" ht="14.25" customHeight="1" x14ac:dyDescent="0.2">
      <c r="A45" s="171"/>
      <c r="B45" s="172"/>
      <c r="C45" s="172"/>
      <c r="D45" s="173"/>
      <c r="E45" s="174"/>
      <c r="F45" s="175"/>
      <c r="G45" s="176"/>
      <c r="H45" s="176"/>
      <c r="I45" s="58"/>
      <c r="N45" s="331"/>
      <c r="O45" s="331"/>
    </row>
    <row r="46" spans="1:15" s="71" customFormat="1" x14ac:dyDescent="0.2">
      <c r="A46" s="177" t="s">
        <v>4</v>
      </c>
      <c r="B46" s="177" t="str">
        <f>IF(L="EN","Scope of Delivery","Lieferumfang")</f>
        <v>Scope of Delivery</v>
      </c>
      <c r="C46" s="178"/>
      <c r="D46" s="162"/>
      <c r="E46" s="162"/>
      <c r="F46" s="162"/>
      <c r="G46" s="179"/>
      <c r="H46" s="179"/>
      <c r="I46" s="161"/>
      <c r="N46" s="331"/>
      <c r="O46" s="331"/>
    </row>
    <row r="47" spans="1:15" s="71" customFormat="1" ht="20.100000000000001" customHeight="1" x14ac:dyDescent="0.2">
      <c r="A47" s="180" t="s">
        <v>20</v>
      </c>
      <c r="B47" s="181" t="str">
        <f>IF(L="EN","Scope of Delivery","Lieferumfang")</f>
        <v>Scope of Delivery</v>
      </c>
      <c r="C47" s="73"/>
      <c r="D47" s="165"/>
      <c r="E47" s="165"/>
      <c r="F47" s="165"/>
      <c r="G47" s="123"/>
      <c r="H47" s="123"/>
      <c r="I47" s="161"/>
      <c r="N47" s="331"/>
      <c r="O47" s="331"/>
    </row>
    <row r="48" spans="1:15" s="71" customFormat="1" ht="64.5" customHeight="1" x14ac:dyDescent="0.2">
      <c r="A48" s="70"/>
      <c r="B48" s="370" t="str">
        <f>IF(L="EN",N48,O48)</f>
        <v>Does the scope of supply correspond to the equipment, span, feeders, chargers, indicators, screen, printer, programming device, cooling, lubrication, chip removal and protection equipment of the order or sales prospect / catalog?
Please note for missing parts delivery date.</v>
      </c>
      <c r="C48" s="370"/>
      <c r="D48" s="370"/>
      <c r="E48" s="370"/>
      <c r="F48" s="370"/>
      <c r="G48" s="370"/>
      <c r="H48" s="370"/>
      <c r="I48" s="161"/>
      <c r="N48" s="341" t="s">
        <v>430</v>
      </c>
      <c r="O48" s="340" t="s">
        <v>429</v>
      </c>
    </row>
    <row r="49" spans="1:15" s="71" customFormat="1" ht="10.5" customHeight="1" x14ac:dyDescent="0.2">
      <c r="A49" s="70"/>
      <c r="B49" s="106"/>
      <c r="C49" s="328"/>
      <c r="D49" s="74"/>
      <c r="E49" s="74"/>
      <c r="F49" s="74"/>
      <c r="G49" s="74"/>
      <c r="H49" s="74"/>
      <c r="I49" s="161"/>
      <c r="N49" s="331"/>
      <c r="O49" s="331"/>
    </row>
    <row r="50" spans="1:15" s="71" customFormat="1" ht="20.100000000000001" customHeight="1" x14ac:dyDescent="0.2">
      <c r="A50" s="368"/>
      <c r="B50" s="368"/>
      <c r="C50" s="368" t="str">
        <f>IF(L="EN","list of delivery attached:","Lieferliste siehe Anlage")</f>
        <v>list of delivery attached:</v>
      </c>
      <c r="D50" s="368"/>
      <c r="E50" s="368"/>
      <c r="F50" s="368"/>
      <c r="G50" s="78"/>
      <c r="H50" s="78"/>
      <c r="I50" s="161"/>
      <c r="N50" s="331"/>
      <c r="O50" s="331"/>
    </row>
    <row r="51" spans="1:15" s="71" customFormat="1" ht="20.100000000000001" customHeight="1" x14ac:dyDescent="0.2">
      <c r="A51" s="70"/>
      <c r="B51" s="106"/>
      <c r="C51" s="74"/>
      <c r="D51" s="74"/>
      <c r="E51" s="74"/>
      <c r="F51" s="74"/>
      <c r="G51" s="74"/>
      <c r="H51" s="74"/>
      <c r="I51" s="161"/>
      <c r="N51" s="331"/>
      <c r="O51" s="331"/>
    </row>
    <row r="52" spans="1:15" s="71" customFormat="1" ht="20.100000000000001" customHeight="1" x14ac:dyDescent="0.2">
      <c r="A52" s="70"/>
      <c r="B52" s="182" t="str">
        <f>IF(L="EN","No.","Anz")</f>
        <v>No.</v>
      </c>
      <c r="C52" s="459" t="str">
        <f>IF(L="EN","Missing Items/ Description","Fehlende Teile / Bezeichnung")</f>
        <v>Missing Items/ Description</v>
      </c>
      <c r="D52" s="460"/>
      <c r="E52" s="460"/>
      <c r="F52" s="461"/>
      <c r="G52" s="395" t="str">
        <f>IF(L="EN","Date of Delivery","Liefertermin")</f>
        <v>Date of Delivery</v>
      </c>
      <c r="H52" s="395"/>
      <c r="I52" s="161"/>
      <c r="N52" s="331"/>
      <c r="O52" s="331"/>
    </row>
    <row r="53" spans="1:15" s="71" customFormat="1" ht="20.100000000000001" customHeight="1" x14ac:dyDescent="0.2">
      <c r="A53" s="70"/>
      <c r="B53" s="183"/>
      <c r="C53" s="462"/>
      <c r="D53" s="364"/>
      <c r="E53" s="364"/>
      <c r="F53" s="463"/>
      <c r="G53" s="371"/>
      <c r="H53" s="371"/>
      <c r="I53" s="184"/>
      <c r="N53" s="331"/>
      <c r="O53" s="331"/>
    </row>
    <row r="54" spans="1:15" s="71" customFormat="1" ht="20.100000000000001" customHeight="1" x14ac:dyDescent="0.2">
      <c r="A54" s="70"/>
      <c r="B54" s="183"/>
      <c r="C54" s="462"/>
      <c r="D54" s="364"/>
      <c r="E54" s="364"/>
      <c r="F54" s="463"/>
      <c r="G54" s="368"/>
      <c r="H54" s="368"/>
      <c r="I54" s="184"/>
      <c r="N54" s="331"/>
      <c r="O54" s="331"/>
    </row>
    <row r="55" spans="1:15" s="71" customFormat="1" ht="20.100000000000001" customHeight="1" x14ac:dyDescent="0.2">
      <c r="A55" s="70"/>
      <c r="B55" s="185"/>
      <c r="C55" s="462"/>
      <c r="D55" s="364"/>
      <c r="E55" s="364"/>
      <c r="F55" s="463"/>
      <c r="G55" s="368"/>
      <c r="H55" s="368"/>
      <c r="I55" s="184"/>
      <c r="N55" s="331"/>
      <c r="O55" s="331"/>
    </row>
    <row r="56" spans="1:15" s="71" customFormat="1" ht="20.100000000000001" customHeight="1" x14ac:dyDescent="0.2">
      <c r="A56" s="70"/>
      <c r="B56" s="185"/>
      <c r="C56" s="462"/>
      <c r="D56" s="364"/>
      <c r="E56" s="364"/>
      <c r="F56" s="463"/>
      <c r="G56" s="368"/>
      <c r="H56" s="368"/>
      <c r="I56" s="184"/>
      <c r="N56" s="331"/>
      <c r="O56" s="331"/>
    </row>
    <row r="57" spans="1:15" s="71" customFormat="1" ht="20.100000000000001" customHeight="1" x14ac:dyDescent="0.2">
      <c r="A57" s="70"/>
      <c r="B57" s="185"/>
      <c r="C57" s="462"/>
      <c r="D57" s="364"/>
      <c r="E57" s="364"/>
      <c r="F57" s="463"/>
      <c r="G57" s="368"/>
      <c r="H57" s="368"/>
      <c r="I57" s="184"/>
      <c r="N57" s="331"/>
      <c r="O57" s="331"/>
    </row>
    <row r="58" spans="1:15" s="71" customFormat="1" ht="20.100000000000001" customHeight="1" x14ac:dyDescent="0.2">
      <c r="A58" s="70"/>
      <c r="B58" s="185"/>
      <c r="C58" s="462"/>
      <c r="D58" s="364"/>
      <c r="E58" s="364"/>
      <c r="F58" s="463"/>
      <c r="G58" s="368"/>
      <c r="H58" s="368"/>
      <c r="I58" s="184"/>
      <c r="N58" s="331"/>
      <c r="O58" s="331"/>
    </row>
    <row r="59" spans="1:15" s="71" customFormat="1" ht="20.100000000000001" customHeight="1" x14ac:dyDescent="0.2">
      <c r="A59" s="70"/>
      <c r="B59" s="185"/>
      <c r="C59" s="462"/>
      <c r="D59" s="364"/>
      <c r="E59" s="364"/>
      <c r="F59" s="463"/>
      <c r="G59" s="368"/>
      <c r="H59" s="368"/>
      <c r="I59" s="184"/>
      <c r="N59" s="331"/>
      <c r="O59" s="331"/>
    </row>
    <row r="60" spans="1:15" s="71" customFormat="1" ht="20.100000000000001" customHeight="1" x14ac:dyDescent="0.2">
      <c r="A60" s="70"/>
      <c r="B60" s="185"/>
      <c r="C60" s="462"/>
      <c r="D60" s="364"/>
      <c r="E60" s="364"/>
      <c r="F60" s="463"/>
      <c r="G60" s="368"/>
      <c r="H60" s="368"/>
      <c r="I60" s="184"/>
      <c r="N60" s="331"/>
      <c r="O60" s="331"/>
    </row>
    <row r="61" spans="1:15" s="71" customFormat="1" ht="20.100000000000001" customHeight="1" x14ac:dyDescent="0.2">
      <c r="A61" s="70"/>
      <c r="B61" s="185"/>
      <c r="C61" s="462"/>
      <c r="D61" s="364"/>
      <c r="E61" s="364"/>
      <c r="F61" s="463"/>
      <c r="G61" s="368"/>
      <c r="H61" s="368"/>
      <c r="I61" s="184"/>
      <c r="N61" s="331"/>
      <c r="O61" s="331"/>
    </row>
    <row r="62" spans="1:15" s="71" customFormat="1" ht="20.100000000000001" customHeight="1" x14ac:dyDescent="0.2">
      <c r="A62" s="70"/>
      <c r="B62" s="185"/>
      <c r="C62" s="462"/>
      <c r="D62" s="364"/>
      <c r="E62" s="364"/>
      <c r="F62" s="463"/>
      <c r="G62" s="368"/>
      <c r="H62" s="368"/>
      <c r="I62" s="184"/>
      <c r="N62" s="331"/>
      <c r="O62" s="331"/>
    </row>
    <row r="63" spans="1:15" s="71" customFormat="1" ht="20.100000000000001" customHeight="1" x14ac:dyDescent="0.2">
      <c r="A63" s="70"/>
      <c r="B63" s="185"/>
      <c r="C63" s="462"/>
      <c r="D63" s="364"/>
      <c r="E63" s="364"/>
      <c r="F63" s="463"/>
      <c r="G63" s="368"/>
      <c r="H63" s="368"/>
      <c r="I63" s="184"/>
      <c r="N63" s="331"/>
      <c r="O63" s="331"/>
    </row>
    <row r="64" spans="1:15" s="71" customFormat="1" ht="20.100000000000001" customHeight="1" x14ac:dyDescent="0.2">
      <c r="A64" s="70"/>
      <c r="B64" s="185"/>
      <c r="C64" s="462"/>
      <c r="D64" s="364"/>
      <c r="E64" s="364"/>
      <c r="F64" s="463"/>
      <c r="G64" s="368"/>
      <c r="H64" s="368"/>
      <c r="I64" s="184"/>
      <c r="N64" s="331"/>
      <c r="O64" s="331"/>
    </row>
    <row r="65" spans="1:15" s="71" customFormat="1" ht="20.100000000000001" customHeight="1" x14ac:dyDescent="0.2">
      <c r="A65" s="70"/>
      <c r="B65" s="185"/>
      <c r="C65" s="462"/>
      <c r="D65" s="364"/>
      <c r="E65" s="364"/>
      <c r="F65" s="463"/>
      <c r="G65" s="368"/>
      <c r="H65" s="368"/>
      <c r="I65" s="184"/>
      <c r="N65" s="331"/>
      <c r="O65" s="331"/>
    </row>
    <row r="66" spans="1:15" s="71" customFormat="1" ht="20.100000000000001" customHeight="1" x14ac:dyDescent="0.2">
      <c r="A66" s="70"/>
      <c r="B66" s="185"/>
      <c r="C66" s="462"/>
      <c r="D66" s="364"/>
      <c r="E66" s="364"/>
      <c r="F66" s="463"/>
      <c r="G66" s="368"/>
      <c r="H66" s="368"/>
      <c r="I66" s="184"/>
      <c r="N66" s="331"/>
      <c r="O66" s="331"/>
    </row>
    <row r="67" spans="1:15" s="71" customFormat="1" x14ac:dyDescent="0.2">
      <c r="A67" s="70"/>
      <c r="B67" s="185"/>
      <c r="C67" s="462"/>
      <c r="D67" s="364"/>
      <c r="E67" s="364"/>
      <c r="F67" s="463"/>
      <c r="G67" s="368"/>
      <c r="H67" s="368"/>
      <c r="I67" s="184"/>
      <c r="N67" s="331"/>
      <c r="O67" s="331"/>
    </row>
    <row r="68" spans="1:15" s="71" customFormat="1" x14ac:dyDescent="0.2">
      <c r="A68" s="70"/>
      <c r="B68" s="185"/>
      <c r="C68" s="462"/>
      <c r="D68" s="364"/>
      <c r="E68" s="364"/>
      <c r="F68" s="463"/>
      <c r="G68" s="368"/>
      <c r="H68" s="368"/>
      <c r="I68" s="184"/>
      <c r="N68" s="331"/>
      <c r="O68" s="331"/>
    </row>
    <row r="69" spans="1:15" s="71" customFormat="1" ht="20.100000000000001" customHeight="1" x14ac:dyDescent="0.2">
      <c r="A69" s="70"/>
      <c r="B69" s="70"/>
      <c r="C69" s="73"/>
      <c r="D69" s="165"/>
      <c r="E69" s="165"/>
      <c r="F69" s="165"/>
      <c r="G69" s="465"/>
      <c r="H69" s="465"/>
      <c r="I69" s="161"/>
      <c r="N69" s="331"/>
      <c r="O69" s="331"/>
    </row>
    <row r="70" spans="1:15" s="71" customFormat="1" ht="20.100000000000001" customHeight="1" x14ac:dyDescent="0.2">
      <c r="A70" s="70"/>
      <c r="B70" s="70"/>
      <c r="C70" s="73"/>
      <c r="D70" s="165"/>
      <c r="E70" s="165"/>
      <c r="F70" s="165"/>
      <c r="G70" s="465"/>
      <c r="H70" s="465"/>
      <c r="I70" s="161"/>
      <c r="N70" s="331"/>
      <c r="O70" s="331"/>
    </row>
    <row r="71" spans="1:15" s="71" customFormat="1" ht="20.100000000000001" customHeight="1" x14ac:dyDescent="0.2">
      <c r="A71" s="180" t="s">
        <v>21</v>
      </c>
      <c r="B71" s="180" t="str">
        <f>IF(L="EN","Spare parts and packaging:","Ersatzteile und Verpackung:")</f>
        <v>Spare parts and packaging:</v>
      </c>
      <c r="C71" s="73"/>
      <c r="D71" s="165"/>
      <c r="E71" s="165"/>
      <c r="F71" s="165"/>
      <c r="G71" s="465"/>
      <c r="H71" s="465"/>
      <c r="I71" s="161"/>
      <c r="N71" s="331"/>
      <c r="O71" s="331"/>
    </row>
    <row r="72" spans="1:15" s="71" customFormat="1" ht="20.100000000000001" customHeight="1" x14ac:dyDescent="0.2">
      <c r="A72" s="70"/>
      <c r="B72" s="186"/>
      <c r="C72" s="187" t="str">
        <f>IF(L="EN","are all spare parts available?","Ersatzteile komplett vorhanden?")</f>
        <v>are all spare parts available?</v>
      </c>
      <c r="D72" s="165"/>
      <c r="E72" s="165"/>
      <c r="F72" s="165"/>
      <c r="G72" s="466"/>
      <c r="H72" s="466"/>
      <c r="I72" s="161"/>
      <c r="N72" s="331"/>
      <c r="O72" s="331"/>
    </row>
    <row r="73" spans="1:15" s="71" customFormat="1" ht="20.100000000000001" customHeight="1" x14ac:dyDescent="0.2">
      <c r="A73" s="70"/>
      <c r="B73" s="186"/>
      <c r="C73" s="187" t="str">
        <f>IF(L="EN","are spare parts individually packed and identified?","ET einzeln in Tüten verpackt und bezeichnet?")</f>
        <v>are spare parts individually packed and identified?</v>
      </c>
      <c r="D73" s="165"/>
      <c r="E73" s="165"/>
      <c r="F73" s="165"/>
      <c r="G73" s="466"/>
      <c r="H73" s="466"/>
      <c r="I73" s="161"/>
      <c r="N73" s="331"/>
      <c r="O73" s="331"/>
    </row>
    <row r="74" spans="1:15" s="71" customFormat="1" ht="20.100000000000001" customHeight="1" x14ac:dyDescent="0.2">
      <c r="A74" s="70"/>
      <c r="B74" s="186"/>
      <c r="C74" s="187" t="str">
        <f>IF(L="EN","Does the packaging material exist?","Verpackungsmaterial vorhanden?")</f>
        <v>Does the packaging material exist?</v>
      </c>
      <c r="D74" s="165"/>
      <c r="E74" s="165"/>
      <c r="F74" s="165"/>
      <c r="G74" s="466"/>
      <c r="H74" s="466"/>
      <c r="I74" s="161"/>
      <c r="N74" s="331"/>
      <c r="O74" s="331"/>
    </row>
    <row r="75" spans="1:15" s="71" customFormat="1" ht="18" customHeight="1" x14ac:dyDescent="0.2">
      <c r="A75" s="70"/>
      <c r="B75" s="70"/>
      <c r="C75" s="187" t="str">
        <f>IF(L="EN"," box dimensions (l x w x h)","Kistenabmessungen festhalten (l x b x h)")</f>
        <v xml:space="preserve"> box dimensions (l x w x h)</v>
      </c>
      <c r="D75" s="102"/>
      <c r="E75" s="102"/>
      <c r="F75" s="102"/>
      <c r="G75" s="467" t="s">
        <v>22</v>
      </c>
      <c r="H75" s="468"/>
      <c r="I75" s="161"/>
      <c r="N75" s="331"/>
      <c r="O75" s="331"/>
    </row>
    <row r="76" spans="1:15" s="71" customFormat="1" ht="17.25" customHeight="1" x14ac:dyDescent="0.2">
      <c r="A76" s="70"/>
      <c r="B76" s="70"/>
      <c r="C76" s="187" t="str">
        <f>IF(L="EN"," gross weight","Taragewichte festhalten")</f>
        <v xml:space="preserve"> gross weight</v>
      </c>
      <c r="D76" s="102"/>
      <c r="E76" s="102"/>
      <c r="F76" s="102"/>
      <c r="G76" s="467" t="s">
        <v>23</v>
      </c>
      <c r="H76" s="467"/>
      <c r="I76" s="161"/>
      <c r="N76" s="331"/>
      <c r="O76" s="331"/>
    </row>
    <row r="77" spans="1:15" s="71" customFormat="1" ht="17.25" customHeight="1" x14ac:dyDescent="0.2">
      <c r="A77" s="70"/>
      <c r="B77" s="70"/>
      <c r="C77" s="187" t="str">
        <f>IF(L="EN"," net weight"," Nettogewichte festhalten")</f>
        <v xml:space="preserve"> net weight</v>
      </c>
      <c r="D77" s="102"/>
      <c r="E77" s="102"/>
      <c r="F77" s="102"/>
      <c r="G77" s="467" t="s">
        <v>23</v>
      </c>
      <c r="H77" s="467"/>
      <c r="I77" s="161"/>
      <c r="N77" s="331"/>
      <c r="O77" s="331"/>
    </row>
    <row r="78" spans="1:15" s="71" customFormat="1" ht="17.25" customHeight="1" x14ac:dyDescent="0.2">
      <c r="A78" s="70"/>
      <c r="B78" s="70"/>
      <c r="C78" s="188"/>
      <c r="D78" s="115"/>
      <c r="E78" s="115"/>
      <c r="F78" s="115"/>
      <c r="G78" s="189"/>
      <c r="H78" s="189"/>
      <c r="I78" s="161"/>
      <c r="N78" s="331"/>
      <c r="O78" s="331"/>
    </row>
    <row r="79" spans="1:15" s="71" customFormat="1" ht="17.25" customHeight="1" x14ac:dyDescent="0.2">
      <c r="A79" s="70"/>
      <c r="B79" s="70"/>
      <c r="C79" s="188"/>
      <c r="D79" s="115"/>
      <c r="E79" s="115"/>
      <c r="F79" s="115"/>
      <c r="G79" s="189"/>
      <c r="H79" s="189"/>
      <c r="I79" s="161"/>
      <c r="N79" s="331"/>
      <c r="O79" s="331"/>
    </row>
    <row r="80" spans="1:15" s="71" customFormat="1" ht="17.25" customHeight="1" x14ac:dyDescent="0.2">
      <c r="A80" s="70"/>
      <c r="B80" s="70"/>
      <c r="C80" s="188"/>
      <c r="D80" s="115"/>
      <c r="E80" s="115"/>
      <c r="F80" s="115"/>
      <c r="G80" s="189"/>
      <c r="H80" s="189"/>
      <c r="I80" s="161"/>
      <c r="N80" s="331"/>
      <c r="O80" s="331"/>
    </row>
    <row r="81" spans="1:15" s="71" customFormat="1" ht="17.25" customHeight="1" thickBot="1" x14ac:dyDescent="0.25">
      <c r="A81" s="70"/>
      <c r="B81" s="70"/>
      <c r="C81" s="188"/>
      <c r="D81" s="115"/>
      <c r="E81" s="115"/>
      <c r="F81" s="115"/>
      <c r="G81" s="189"/>
      <c r="H81" s="189"/>
      <c r="I81" s="161"/>
      <c r="N81" s="331"/>
      <c r="O81" s="331"/>
    </row>
    <row r="82" spans="1:15" s="71" customFormat="1" ht="19.5" customHeight="1" x14ac:dyDescent="0.2">
      <c r="A82" s="419"/>
      <c r="B82" s="420"/>
      <c r="C82" s="423" t="str">
        <f>IF(L="EN","C/MPE Acceptance Report","C/MPE Abnahmeprotokoll")</f>
        <v>C/MPE Acceptance Report</v>
      </c>
      <c r="D82" s="423"/>
      <c r="E82" s="423"/>
      <c r="F82" s="424"/>
      <c r="G82" s="136" t="str">
        <f>IF(L="EN","Issue:","Ausgabe")</f>
        <v>Issue:</v>
      </c>
      <c r="H82" s="154" t="str">
        <f>IF(L="EN","Page","Blatt")</f>
        <v>Page</v>
      </c>
      <c r="I82" s="58"/>
      <c r="N82" s="331"/>
      <c r="O82" s="331"/>
    </row>
    <row r="83" spans="1:15" s="71" customFormat="1" ht="19.5" customHeight="1" thickBot="1" x14ac:dyDescent="0.25">
      <c r="A83" s="421"/>
      <c r="B83" s="422"/>
      <c r="C83" s="425"/>
      <c r="D83" s="425"/>
      <c r="E83" s="425"/>
      <c r="F83" s="426"/>
      <c r="G83" s="350" t="s">
        <v>433</v>
      </c>
      <c r="H83" s="156" t="s">
        <v>397</v>
      </c>
      <c r="I83" s="58"/>
      <c r="N83" s="331"/>
      <c r="O83" s="331"/>
    </row>
    <row r="84" spans="1:15" s="71" customFormat="1" ht="13.5" customHeight="1" thickBot="1" x14ac:dyDescent="0.25">
      <c r="A84" s="167" t="str">
        <f>IF(L="EN","section","Kapitel")</f>
        <v>section</v>
      </c>
      <c r="B84" s="427" t="str">
        <f>IF(L="EN","items to be checked","Prüfmerkmale")</f>
        <v>items to be checked</v>
      </c>
      <c r="C84" s="427"/>
      <c r="D84" s="168" t="s">
        <v>17</v>
      </c>
      <c r="E84" s="169" t="s">
        <v>18</v>
      </c>
      <c r="F84" s="170" t="s">
        <v>19</v>
      </c>
      <c r="G84" s="428" t="str">
        <f>IF(L="EN","remark","Bemerkung")</f>
        <v>remark</v>
      </c>
      <c r="H84" s="428"/>
      <c r="I84" s="58"/>
      <c r="N84" s="331"/>
      <c r="O84" s="331"/>
    </row>
    <row r="85" spans="1:15" s="71" customFormat="1" ht="12.75" customHeight="1" x14ac:dyDescent="0.2">
      <c r="A85" s="171"/>
      <c r="B85" s="172"/>
      <c r="C85" s="172"/>
      <c r="D85" s="173"/>
      <c r="E85" s="174"/>
      <c r="F85" s="175"/>
      <c r="G85" s="176"/>
      <c r="H85" s="176"/>
      <c r="I85" s="161"/>
      <c r="N85" s="331"/>
      <c r="O85" s="331"/>
    </row>
    <row r="86" spans="1:15" s="71" customFormat="1" x14ac:dyDescent="0.2">
      <c r="A86" s="177" t="s">
        <v>5</v>
      </c>
      <c r="B86" s="177" t="s">
        <v>24</v>
      </c>
      <c r="C86" s="178"/>
      <c r="D86" s="162"/>
      <c r="E86" s="162"/>
      <c r="F86" s="162"/>
      <c r="G86" s="179"/>
      <c r="H86" s="179"/>
      <c r="I86" s="163"/>
      <c r="N86" s="331"/>
      <c r="O86" s="331"/>
    </row>
    <row r="87" spans="1:15" s="71" customFormat="1" x14ac:dyDescent="0.2">
      <c r="A87" s="70"/>
      <c r="B87" s="370" t="str">
        <f>IF(L="EN","General delivery specifications for machine tools, facilities and production equipment","Allgemeine Liefervorschriften für Werkzeugmaschinen, Anlagen und Fertigungseinrichtungen")</f>
        <v>General delivery specifications for machine tools, facilities and production equipment</v>
      </c>
      <c r="C87" s="370"/>
      <c r="D87" s="370"/>
      <c r="E87" s="370"/>
      <c r="F87" s="165"/>
      <c r="G87" s="190" t="str">
        <f>IF(L="EN","Issue 03/2011","Ausgabe 03/2011")</f>
        <v>Issue 03/2011</v>
      </c>
      <c r="H87" s="123"/>
      <c r="I87" s="191"/>
      <c r="N87" s="331"/>
      <c r="O87" s="331"/>
    </row>
    <row r="88" spans="1:15" s="71" customFormat="1" x14ac:dyDescent="0.2">
      <c r="A88" s="70"/>
      <c r="B88" s="370"/>
      <c r="C88" s="370"/>
      <c r="D88" s="370"/>
      <c r="E88" s="370"/>
      <c r="F88" s="165"/>
      <c r="G88" s="436"/>
      <c r="H88" s="436"/>
      <c r="I88" s="161"/>
      <c r="N88" s="331"/>
      <c r="O88" s="331"/>
    </row>
    <row r="89" spans="1:15" s="71" customFormat="1" ht="20.100000000000001" customHeight="1" x14ac:dyDescent="0.2">
      <c r="A89" s="70"/>
      <c r="B89" s="192"/>
      <c r="C89" s="73"/>
      <c r="D89" s="165"/>
      <c r="E89" s="165"/>
      <c r="F89" s="165"/>
      <c r="G89" s="436"/>
      <c r="H89" s="436"/>
      <c r="I89" s="161"/>
      <c r="N89" s="331"/>
      <c r="O89" s="331"/>
    </row>
    <row r="90" spans="1:15" s="71" customFormat="1" x14ac:dyDescent="0.2">
      <c r="A90" s="70" t="s">
        <v>25</v>
      </c>
      <c r="B90" s="70" t="str">
        <f>IF(L="EN","Utilization of products from Bosch-Rexroth AG and Bosch Powertools (PT)","Verwendung von Erzeugnissen der Bosch-Rexroth AG und Bosch Elektrowerkzeuge (PT)")</f>
        <v>Utilization of products from Bosch-Rexroth AG and Bosch Powertools (PT)</v>
      </c>
      <c r="C90" s="73"/>
      <c r="D90" s="165"/>
      <c r="E90" s="165"/>
      <c r="F90" s="165"/>
      <c r="G90" s="193"/>
      <c r="H90" s="193"/>
      <c r="I90" s="161"/>
      <c r="N90" s="331"/>
      <c r="O90" s="331"/>
    </row>
    <row r="91" spans="1:15" s="71" customFormat="1" ht="48" customHeight="1" x14ac:dyDescent="0.2">
      <c r="A91" s="70"/>
      <c r="B91" s="186"/>
      <c r="C91" s="73" t="str">
        <f>IF(L="EN","components and equipment from the following portfolio have been used:
http://www.boschrexroth.com/corporate/en/procurement/liefervorschriften/index.jsp","es wurden die Bauelemente und Erzeugnisse aus dem folgenden Programm verwendet:
http://www.boschrexroth.com/corporate/en/company/procurement/liefervorschriften/index.jsp")</f>
        <v>components and equipment from the following portfolio have been used:
http://www.boschrexroth.com/corporate/en/procurement/liefervorschriften/index.jsp</v>
      </c>
      <c r="D91" s="165"/>
      <c r="E91" s="165"/>
      <c r="F91" s="165"/>
      <c r="G91" s="437"/>
      <c r="H91" s="437"/>
      <c r="I91" s="161"/>
      <c r="N91" s="331"/>
      <c r="O91" s="331"/>
    </row>
    <row r="92" spans="1:15" s="71" customFormat="1" x14ac:dyDescent="0.2">
      <c r="A92" s="70"/>
      <c r="B92" s="186"/>
      <c r="C92" s="73" t="str">
        <f>IF(L="EN","deviations have been mutually agreed upon","Abweichungen sind gemeinsam vereinbart")</f>
        <v>deviations have been mutually agreed upon</v>
      </c>
      <c r="D92" s="165"/>
      <c r="E92" s="165"/>
      <c r="F92" s="165"/>
      <c r="G92" s="364" t="str">
        <f>IF(L="EN","        see attachment","        siehe Anlage")</f>
        <v xml:space="preserve">        see attachment</v>
      </c>
      <c r="H92" s="364"/>
      <c r="I92" s="161"/>
      <c r="N92" s="331"/>
      <c r="O92" s="331"/>
    </row>
    <row r="93" spans="1:15" s="71" customFormat="1" x14ac:dyDescent="0.2">
      <c r="A93" s="70" t="s">
        <v>26</v>
      </c>
      <c r="B93" s="70" t="str">
        <f>IF(L="EN","Workplace, fire and environmental safety","Arbeits-, Brand- und Umweltschutzanforderungen")</f>
        <v>Workplace, fire and environmental safety</v>
      </c>
      <c r="C93" s="73"/>
      <c r="D93" s="165"/>
      <c r="E93" s="165"/>
      <c r="F93" s="165"/>
      <c r="G93" s="193"/>
      <c r="H93" s="193"/>
      <c r="I93" s="161"/>
      <c r="N93" s="331"/>
      <c r="O93" s="331"/>
    </row>
    <row r="94" spans="1:15" s="71" customFormat="1" x14ac:dyDescent="0.2">
      <c r="A94" s="70" t="s">
        <v>27</v>
      </c>
      <c r="B94" s="70" t="str">
        <f>IF(L="EN","Occupational Safety","Arbeitsschutz")</f>
        <v>Occupational Safety</v>
      </c>
      <c r="C94" s="73"/>
      <c r="D94" s="165"/>
      <c r="E94" s="165"/>
      <c r="F94" s="165"/>
      <c r="G94" s="436"/>
      <c r="H94" s="436"/>
      <c r="I94" s="161"/>
      <c r="N94" s="331"/>
      <c r="O94" s="331"/>
    </row>
    <row r="95" spans="1:15" s="71" customFormat="1" ht="25.5" x14ac:dyDescent="0.2">
      <c r="A95" s="70"/>
      <c r="B95" s="186"/>
      <c r="C95" s="73" t="str">
        <f>IF(L="EN","Is the equipment labelled with the  CE mark and has the declaration of conformity been provided","die Einrichtung ist mit CE-Zeichen versehen")</f>
        <v>Is the equipment labelled with the  CE mark and has the declaration of conformity been provided</v>
      </c>
      <c r="D95" s="165"/>
      <c r="E95" s="165"/>
      <c r="F95" s="165"/>
      <c r="G95" s="437"/>
      <c r="H95" s="437"/>
      <c r="I95" s="161"/>
      <c r="N95" s="331"/>
      <c r="O95" s="331"/>
    </row>
    <row r="96" spans="1:15" s="71" customFormat="1" ht="38.25" x14ac:dyDescent="0.2">
      <c r="A96" s="70"/>
      <c r="B96" s="186"/>
      <c r="C96" s="194" t="str">
        <f>IF(L="EN","the sound emission for individual equipment is clearly below 80dB(A) or country specific regulations according to C/MPE / FL.... are met","der Emissionsschalldruckpegel von 80 dB(A) für einzelne Einrichtungen wird deutlich unterschritten, bzw. die länderspezifischen Vorgaben der C/MPE / FL.... Vorschrift werden eingehalten")</f>
        <v>the sound emission for individual equipment is clearly below 80dB(A) or country specific regulations according to C/MPE / FL.... are met</v>
      </c>
      <c r="D96" s="165"/>
      <c r="E96" s="165"/>
      <c r="F96" s="165"/>
      <c r="G96" s="437"/>
      <c r="H96" s="437"/>
      <c r="I96" s="195"/>
      <c r="N96" s="331"/>
      <c r="O96" s="331"/>
    </row>
    <row r="97" spans="1:15" s="71" customFormat="1" ht="51" x14ac:dyDescent="0.2">
      <c r="A97" s="70"/>
      <c r="B97" s="186"/>
      <c r="C97" s="194" t="s">
        <v>425</v>
      </c>
      <c r="D97" s="196" t="s">
        <v>28</v>
      </c>
      <c r="E97" s="197" t="s">
        <v>28</v>
      </c>
      <c r="F97" s="165"/>
      <c r="G97" s="437" t="str">
        <f>IF(L="EN","        see attachment","        siehe Anlage")</f>
        <v xml:space="preserve">        see attachment</v>
      </c>
      <c r="H97" s="437"/>
      <c r="I97" s="198"/>
      <c r="N97" s="331"/>
      <c r="O97" s="331"/>
    </row>
    <row r="98" spans="1:15" s="71" customFormat="1" x14ac:dyDescent="0.2">
      <c r="A98" s="70"/>
      <c r="B98" s="186"/>
      <c r="C98" s="194"/>
      <c r="D98" s="165"/>
      <c r="E98" s="165"/>
      <c r="F98" s="165"/>
      <c r="G98" s="193"/>
      <c r="H98" s="193"/>
      <c r="I98" s="161"/>
      <c r="N98" s="331"/>
      <c r="O98" s="331"/>
    </row>
    <row r="99" spans="1:15" s="71" customFormat="1" x14ac:dyDescent="0.2">
      <c r="A99" s="70" t="s">
        <v>29</v>
      </c>
      <c r="B99" s="70" t="str">
        <f>IF(L="EN","Protection against fire and explosion","Brand- und Explosionsschutz")</f>
        <v>Protection against fire and explosion</v>
      </c>
      <c r="C99" s="73"/>
      <c r="D99" s="165"/>
      <c r="E99" s="165"/>
      <c r="F99" s="165"/>
      <c r="G99" s="193"/>
      <c r="H99" s="193"/>
      <c r="I99" s="161"/>
      <c r="N99" s="331"/>
      <c r="O99" s="331"/>
    </row>
    <row r="100" spans="1:15" s="71" customFormat="1" ht="25.5" x14ac:dyDescent="0.2">
      <c r="A100" s="70"/>
      <c r="B100" s="186"/>
      <c r="C100" s="73" t="str">
        <f>IF(L="EN","the equipment for prevention or limitation of explosions has been tested and certified","Einrichtungen zur Vermeidung oder Begrenzung von Explosionen sind bewährt und geprüft")</f>
        <v>the equipment for prevention or limitation of explosions has been tested and certified</v>
      </c>
      <c r="D100" s="165"/>
      <c r="E100" s="165"/>
      <c r="F100" s="165"/>
      <c r="G100" s="437"/>
      <c r="H100" s="437"/>
      <c r="I100" s="161"/>
      <c r="N100" s="331"/>
      <c r="O100" s="331"/>
    </row>
    <row r="101" spans="1:15" s="71" customFormat="1" ht="25.5" x14ac:dyDescent="0.2">
      <c r="A101" s="70"/>
      <c r="B101" s="186"/>
      <c r="C101" s="194" t="str">
        <f>IF(L="EN","fire and explosion protection equipment is designed as a result of a hazard assessment","Brand- und Explosionsschutzeinrichtungen sind als Ergebnis einer Gefährdungsbeurteilung ausgeführt")</f>
        <v>fire and explosion protection equipment is designed as a result of a hazard assessment</v>
      </c>
      <c r="D101" s="165"/>
      <c r="E101" s="165"/>
      <c r="F101" s="165"/>
      <c r="G101" s="437"/>
      <c r="H101" s="437"/>
      <c r="I101" s="161"/>
      <c r="N101" s="331"/>
      <c r="O101" s="331"/>
    </row>
    <row r="102" spans="1:15" s="71" customFormat="1" ht="51" x14ac:dyDescent="0.2">
      <c r="A102" s="70"/>
      <c r="B102" s="186"/>
      <c r="C102" s="73" t="str">
        <f>IF(L="EN","for fire protection equipment a specification sheet  has been written
e.g. C/PS Standard Specification sheet for fire protection equipment","für Brandschutzanlagen ist ein Auslegungsver-zeichnis ausgeschrieben 
z.B. C/PS Auslegungsverzeichnis für Objektschutz-Feuerlöschanlagen")</f>
        <v>for fire protection equipment a specification sheet  has been written
e.g. C/PS Standard Specification sheet for fire protection equipment</v>
      </c>
      <c r="D102" s="165"/>
      <c r="E102" s="165"/>
      <c r="F102" s="165"/>
      <c r="G102" s="437"/>
      <c r="H102" s="437"/>
      <c r="I102" s="161"/>
      <c r="N102" s="331"/>
      <c r="O102" s="331"/>
    </row>
    <row r="103" spans="1:15" s="71" customFormat="1" x14ac:dyDescent="0.2">
      <c r="A103" s="70" t="s">
        <v>30</v>
      </c>
      <c r="B103" s="199" t="str">
        <f>IF(L="EN","Environmental protection","Umweltschutz")</f>
        <v>Environmental protection</v>
      </c>
      <c r="C103" s="73"/>
      <c r="D103" s="165"/>
      <c r="E103" s="165"/>
      <c r="F103" s="165"/>
      <c r="G103" s="438"/>
      <c r="H103" s="438"/>
      <c r="I103" s="161"/>
      <c r="N103" s="331"/>
      <c r="O103" s="331"/>
    </row>
    <row r="104" spans="1:15" s="71" customFormat="1" ht="25.5" x14ac:dyDescent="0.2">
      <c r="A104" s="70"/>
      <c r="B104" s="186"/>
      <c r="C104" s="73" t="str">
        <f>IF(L="EN","the machine is designed in such a way that no danger to human, air, soil and water exists","die MAE ist so gestaltet, dass keine Gefährdung für Mensch, Luft, Boden und Gewässer besteht")</f>
        <v>the machine is designed in such a way that no danger to human, air, soil and water exists</v>
      </c>
      <c r="D104" s="165"/>
      <c r="E104" s="165"/>
      <c r="F104" s="165"/>
      <c r="G104" s="437"/>
      <c r="H104" s="437"/>
      <c r="I104" s="161"/>
      <c r="N104" s="331"/>
      <c r="O104" s="331"/>
    </row>
    <row r="105" spans="1:15" s="71" customFormat="1" ht="38.25" x14ac:dyDescent="0.2">
      <c r="A105" s="70"/>
      <c r="B105" s="186"/>
      <c r="C105" s="194" t="str">
        <f>IF(L="EN","the machine does not leak, is stable and resistant against mechanical, thermal and chemical influences","die MAE ist dicht, standsicher und widerstandsfähig gegen zu erwartende mechanische, thermische und chemische Einflüsse")</f>
        <v>the machine does not leak, is stable and resistant against mechanical, thermal and chemical influences</v>
      </c>
      <c r="D105" s="165"/>
      <c r="E105" s="165"/>
      <c r="F105" s="165"/>
      <c r="G105" s="437"/>
      <c r="H105" s="437"/>
      <c r="I105" s="161"/>
      <c r="N105" s="331"/>
      <c r="O105" s="331"/>
    </row>
    <row r="106" spans="1:15" s="71" customFormat="1" ht="25.5" x14ac:dyDescent="0.2">
      <c r="A106" s="70"/>
      <c r="B106" s="186"/>
      <c r="C106" s="194" t="str">
        <f>IF(L="EN","leakages are quickly discernible and escaping materials will be retained","Undichtigkeiten werden schnell erkannt; austretende Stoffe werden zurückgehalten")</f>
        <v>leakages are quickly discernible and escaping materials will be retained</v>
      </c>
      <c r="D106" s="165"/>
      <c r="E106" s="165"/>
      <c r="F106" s="165"/>
      <c r="G106" s="437"/>
      <c r="H106" s="437"/>
      <c r="I106" s="161"/>
      <c r="N106" s="331"/>
      <c r="O106" s="331"/>
    </row>
    <row r="107" spans="1:15" s="71" customFormat="1" ht="51" x14ac:dyDescent="0.2">
      <c r="A107" s="70"/>
      <c r="B107" s="186"/>
      <c r="C107" s="200" t="str">
        <f>IF(L="EN","MAE with environmentally hazardous substances/materials shall be designed with double wall tanks and pipes and will have a monitoring system to detect leaks","bei MAE mit umweltgefährdenden Stoffen, dürfen nur doppelwandige Behälter und Rohrleitungen mit Überwachung unterirdisch angeordnet werden")</f>
        <v>MAE with environmentally hazardous substances/materials shall be designed with double wall tanks and pipes and will have a monitoring system to detect leaks</v>
      </c>
      <c r="D107" s="165"/>
      <c r="E107" s="165"/>
      <c r="F107" s="165"/>
      <c r="G107" s="437"/>
      <c r="H107" s="437"/>
      <c r="I107" s="161"/>
      <c r="N107" s="331"/>
      <c r="O107" s="331"/>
    </row>
    <row r="108" spans="1:15" s="71" customFormat="1" ht="25.5" x14ac:dyDescent="0.2">
      <c r="A108" s="70"/>
      <c r="B108" s="186"/>
      <c r="C108" s="194" t="str">
        <f>IF(L="EN","MAE contains labels identifying liquids used and their required amounts","die MAE ist hinsichtlich eingesetzter Stoffe und Mengen gekennzeichnet")</f>
        <v>MAE contains labels identifying liquids used and their required amounts</v>
      </c>
      <c r="D108" s="165"/>
      <c r="E108" s="165"/>
      <c r="F108" s="165"/>
      <c r="G108" s="437"/>
      <c r="H108" s="437"/>
      <c r="I108" s="161"/>
      <c r="N108" s="331"/>
      <c r="O108" s="331"/>
    </row>
    <row r="109" spans="1:15" s="71" customFormat="1" x14ac:dyDescent="0.2">
      <c r="A109" s="70"/>
      <c r="B109" s="186"/>
      <c r="C109" s="194"/>
      <c r="D109" s="165"/>
      <c r="E109" s="165"/>
      <c r="F109" s="165"/>
      <c r="G109" s="438"/>
      <c r="H109" s="438"/>
      <c r="I109" s="161"/>
      <c r="N109" s="331"/>
      <c r="O109" s="331"/>
    </row>
    <row r="110" spans="1:15" s="71" customFormat="1" x14ac:dyDescent="0.2">
      <c r="A110" s="70" t="s">
        <v>31</v>
      </c>
      <c r="B110" s="199" t="str">
        <f>IF(L="EN","Assurance of machining data","Sicherung der Arbeitswerte")</f>
        <v>Assurance of machining data</v>
      </c>
      <c r="C110" s="194"/>
      <c r="D110" s="165"/>
      <c r="E110" s="165"/>
      <c r="F110" s="165"/>
      <c r="G110" s="438"/>
      <c r="H110" s="438"/>
      <c r="I110" s="161"/>
      <c r="N110" s="331"/>
      <c r="O110" s="331"/>
    </row>
    <row r="111" spans="1:15" s="71" customFormat="1" ht="38.25" x14ac:dyDescent="0.2">
      <c r="A111" s="70"/>
      <c r="B111" s="186"/>
      <c r="C111" s="194" t="str">
        <f>IF(L="EN","process parameters that influence the cycle time of the manufacturing process or the quality of the product must be documented","Prozessparameter, die die Taktzeit der Fertigungsprozesse oder die Qualität der zu fertigenden Werkstücke beeinflussen, sind dokumentiert (z.B. Drehzahlen, Vorschub, Haltezeiten, etc.)")</f>
        <v>process parameters that influence the cycle time of the manufacturing process or the quality of the product must be documented</v>
      </c>
      <c r="D111" s="165"/>
      <c r="E111" s="165"/>
      <c r="F111" s="165"/>
      <c r="G111" s="201"/>
      <c r="H111" s="201"/>
      <c r="I111" s="161"/>
      <c r="N111" s="331"/>
      <c r="O111" s="331"/>
    </row>
    <row r="112" spans="1:15" s="71" customFormat="1" x14ac:dyDescent="0.2">
      <c r="A112" s="70"/>
      <c r="B112" s="186"/>
      <c r="C112" s="194"/>
      <c r="D112" s="165"/>
      <c r="E112" s="165"/>
      <c r="F112" s="165"/>
      <c r="G112" s="202"/>
      <c r="H112" s="202"/>
      <c r="I112" s="161"/>
      <c r="N112" s="331"/>
      <c r="O112" s="331"/>
    </row>
    <row r="113" spans="1:15" s="71" customFormat="1" x14ac:dyDescent="0.2">
      <c r="A113" s="70"/>
      <c r="B113" s="186"/>
      <c r="C113" s="194"/>
      <c r="D113" s="165"/>
      <c r="E113" s="165"/>
      <c r="F113" s="165"/>
      <c r="G113" s="202"/>
      <c r="H113" s="202"/>
      <c r="I113" s="161"/>
      <c r="N113" s="331"/>
      <c r="O113" s="331"/>
    </row>
    <row r="114" spans="1:15" s="71" customFormat="1" x14ac:dyDescent="0.2">
      <c r="A114" s="70"/>
      <c r="B114" s="186"/>
      <c r="C114" s="194"/>
      <c r="D114" s="165"/>
      <c r="E114" s="165"/>
      <c r="F114" s="165"/>
      <c r="G114" s="202"/>
      <c r="H114" s="202"/>
      <c r="I114" s="161"/>
      <c r="N114" s="331"/>
      <c r="O114" s="331"/>
    </row>
    <row r="115" spans="1:15" s="71" customFormat="1" ht="13.5" thickBot="1" x14ac:dyDescent="0.25">
      <c r="A115" s="70"/>
      <c r="B115" s="186"/>
      <c r="C115" s="194"/>
      <c r="D115" s="165"/>
      <c r="E115" s="165"/>
      <c r="F115" s="165"/>
      <c r="G115" s="202"/>
      <c r="H115" s="202"/>
      <c r="I115" s="161"/>
      <c r="N115" s="331"/>
      <c r="O115" s="331"/>
    </row>
    <row r="116" spans="1:15" s="71" customFormat="1" ht="19.5" customHeight="1" x14ac:dyDescent="0.2">
      <c r="A116" s="419"/>
      <c r="B116" s="420"/>
      <c r="C116" s="423" t="str">
        <f>IF(L="EN","C/MPE Acceptance Report","C/MPE Abnahmeprotokoll")</f>
        <v>C/MPE Acceptance Report</v>
      </c>
      <c r="D116" s="423"/>
      <c r="E116" s="423"/>
      <c r="F116" s="424"/>
      <c r="G116" s="136" t="str">
        <f>IF(L="EN","Issue:","Ausgabe")</f>
        <v>Issue:</v>
      </c>
      <c r="H116" s="154" t="str">
        <f>IF(L="EN","Page","Blatt")</f>
        <v>Page</v>
      </c>
      <c r="I116" s="58"/>
      <c r="N116" s="331"/>
      <c r="O116" s="331"/>
    </row>
    <row r="117" spans="1:15" s="71" customFormat="1" ht="19.5" customHeight="1" thickBot="1" x14ac:dyDescent="0.25">
      <c r="A117" s="421"/>
      <c r="B117" s="422"/>
      <c r="C117" s="425"/>
      <c r="D117" s="425"/>
      <c r="E117" s="425"/>
      <c r="F117" s="426"/>
      <c r="G117" s="350" t="s">
        <v>433</v>
      </c>
      <c r="H117" s="156" t="s">
        <v>398</v>
      </c>
      <c r="I117" s="58"/>
      <c r="N117" s="331"/>
      <c r="O117" s="331"/>
    </row>
    <row r="118" spans="1:15" s="71" customFormat="1" ht="13.5" customHeight="1" thickBot="1" x14ac:dyDescent="0.25">
      <c r="A118" s="167" t="str">
        <f>IF(L="EN","section","Kapitel")</f>
        <v>section</v>
      </c>
      <c r="B118" s="427" t="str">
        <f>IF(L="EN","items to be checked","Prüfmerkmale")</f>
        <v>items to be checked</v>
      </c>
      <c r="C118" s="427"/>
      <c r="D118" s="168" t="s">
        <v>17</v>
      </c>
      <c r="E118" s="169" t="s">
        <v>18</v>
      </c>
      <c r="F118" s="170" t="s">
        <v>19</v>
      </c>
      <c r="G118" s="428" t="str">
        <f>IF(L="EN","remark","Bemerkung")</f>
        <v>remark</v>
      </c>
      <c r="H118" s="428"/>
      <c r="I118" s="58"/>
      <c r="N118" s="331"/>
      <c r="O118" s="331"/>
    </row>
    <row r="119" spans="1:15" s="71" customFormat="1" x14ac:dyDescent="0.2">
      <c r="A119" s="171"/>
      <c r="B119" s="172"/>
      <c r="C119" s="172"/>
      <c r="D119" s="173"/>
      <c r="E119" s="174"/>
      <c r="F119" s="175"/>
      <c r="G119" s="176"/>
      <c r="H119" s="176"/>
      <c r="I119" s="161"/>
      <c r="N119" s="331"/>
      <c r="O119" s="331"/>
    </row>
    <row r="120" spans="1:15" s="71" customFormat="1" x14ac:dyDescent="0.2">
      <c r="A120" s="70" t="s">
        <v>32</v>
      </c>
      <c r="B120" s="70" t="str">
        <f>IF(L="EN","Paint coatings/surfaces","Farbanstiche/Oberflächen")</f>
        <v>Paint coatings/surfaces</v>
      </c>
      <c r="C120" s="73"/>
      <c r="D120" s="165"/>
      <c r="E120" s="165"/>
      <c r="F120" s="165"/>
      <c r="G120" s="436"/>
      <c r="H120" s="436"/>
      <c r="I120" s="161"/>
      <c r="N120" s="331"/>
      <c r="O120" s="331"/>
    </row>
    <row r="121" spans="1:15" s="203" customFormat="1" ht="25.5" x14ac:dyDescent="0.2">
      <c r="A121" s="70"/>
      <c r="B121" s="186"/>
      <c r="C121" s="73" t="str">
        <f>IF(L="EN","the machine color corresponds to the 
C/MPE / FL.... Specification","Maschinenfarbe entspricht der 
C/MPE / FL.... Vorschrift")</f>
        <v>the machine color corresponds to the 
C/MPE / FL.... Specification</v>
      </c>
      <c r="D121" s="165"/>
      <c r="E121" s="165"/>
      <c r="F121" s="165"/>
      <c r="G121" s="437"/>
      <c r="H121" s="437"/>
      <c r="I121" s="191"/>
      <c r="N121" s="331"/>
      <c r="O121" s="331"/>
    </row>
    <row r="122" spans="1:15" s="203" customFormat="1" ht="38.25" x14ac:dyDescent="0.2">
      <c r="A122" s="70"/>
      <c r="B122" s="186"/>
      <c r="C122" s="194" t="str">
        <f>IF(L="EN","Paint is resistant to oil and gasoline as well as to synthetic and water based (mineral oil free) coolants","der Farbanstrich ist Öl- und Benzinbeständig sowie widerstandsfähig gegen synthetische, wasserlösliche (mineralölfreie) Kühlmittel")</f>
        <v>Paint is resistant to oil and gasoline as well as to synthetic and water based (mineral oil free) coolants</v>
      </c>
      <c r="D122" s="165"/>
      <c r="E122" s="165"/>
      <c r="F122" s="165"/>
      <c r="G122" s="437"/>
      <c r="H122" s="437"/>
      <c r="I122" s="161"/>
      <c r="N122" s="331"/>
      <c r="O122" s="331"/>
    </row>
    <row r="123" spans="1:15" s="71" customFormat="1" x14ac:dyDescent="0.2">
      <c r="A123" s="70"/>
      <c r="B123" s="186"/>
      <c r="C123" s="73"/>
      <c r="D123" s="165"/>
      <c r="E123" s="165"/>
      <c r="F123" s="165"/>
      <c r="G123" s="438"/>
      <c r="H123" s="438"/>
      <c r="I123" s="161"/>
      <c r="N123" s="331"/>
      <c r="O123" s="331"/>
    </row>
    <row r="124" spans="1:15" s="71" customFormat="1" x14ac:dyDescent="0.2">
      <c r="A124" s="180" t="s">
        <v>33</v>
      </c>
      <c r="B124" s="204" t="str">
        <f>IF(L="EN","Preliminary and Final acceptance","Vorabnahme und Endabnahme")</f>
        <v>Preliminary and Final acceptance</v>
      </c>
      <c r="C124" s="187"/>
      <c r="D124" s="173"/>
      <c r="E124" s="173"/>
      <c r="F124" s="173"/>
      <c r="G124" s="469"/>
      <c r="H124" s="469"/>
      <c r="I124" s="205"/>
      <c r="N124" s="331"/>
      <c r="O124" s="331"/>
    </row>
    <row r="125" spans="1:15" s="71" customFormat="1" x14ac:dyDescent="0.2">
      <c r="A125" s="180" t="s">
        <v>34</v>
      </c>
      <c r="B125" s="204" t="str">
        <f>IF(L="EN","Location of preliminary / final acceptance","Ort der Vor-/Endabnahme")</f>
        <v>Location of preliminary / final acceptance</v>
      </c>
      <c r="C125" s="187"/>
      <c r="D125" s="173"/>
      <c r="E125" s="173"/>
      <c r="F125" s="173"/>
      <c r="G125" s="206"/>
      <c r="H125" s="206"/>
      <c r="I125" s="205"/>
      <c r="N125" s="331"/>
      <c r="O125" s="331"/>
    </row>
    <row r="126" spans="1:15" s="71" customFormat="1" ht="25.5" x14ac:dyDescent="0.2">
      <c r="A126" s="70"/>
      <c r="B126" s="186"/>
      <c r="C126" s="73" t="str">
        <f>IF(L="EN","the preliminary acceptance has been/will be done at the suppliers site","die Vorabnahme wird/wurde im Herstellwerk durchgeführt")</f>
        <v>the preliminary acceptance has been/will be done at the suppliers site</v>
      </c>
      <c r="D126" s="165"/>
      <c r="E126" s="165"/>
      <c r="F126" s="165"/>
      <c r="G126" s="437"/>
      <c r="H126" s="437"/>
      <c r="I126" s="161"/>
      <c r="N126" s="331"/>
      <c r="O126" s="331"/>
    </row>
    <row r="127" spans="1:15" s="71" customFormat="1" ht="25.5" x14ac:dyDescent="0.2">
      <c r="A127" s="70"/>
      <c r="B127" s="186"/>
      <c r="C127" s="73" t="str">
        <f>IF(L="EN","the final acceptance has been done/will be done at the customers site","die Endabnahme wurde/wird im Kundenwerk durchgeführt")</f>
        <v>the final acceptance has been done/will be done at the customers site</v>
      </c>
      <c r="D127" s="165"/>
      <c r="E127" s="165"/>
      <c r="F127" s="165"/>
      <c r="G127" s="437"/>
      <c r="H127" s="437"/>
      <c r="I127" s="161"/>
      <c r="N127" s="331"/>
      <c r="O127" s="331"/>
    </row>
    <row r="128" spans="1:15" s="71" customFormat="1" x14ac:dyDescent="0.2">
      <c r="A128" s="70" t="s">
        <v>35</v>
      </c>
      <c r="B128" s="199" t="str">
        <f>IF(L="EN","Scope of delivery","Lieferunfang")</f>
        <v>Scope of delivery</v>
      </c>
      <c r="C128" s="73"/>
      <c r="D128" s="165"/>
      <c r="E128" s="165"/>
      <c r="F128" s="165"/>
      <c r="G128" s="201"/>
      <c r="H128" s="201"/>
      <c r="I128" s="161"/>
      <c r="N128" s="331"/>
      <c r="O128" s="331"/>
    </row>
    <row r="129" spans="1:15" s="71" customFormat="1" ht="25.5" x14ac:dyDescent="0.2">
      <c r="A129" s="70"/>
      <c r="B129" s="186"/>
      <c r="C129" s="73" t="str">
        <f>IF(L="EN","the scope of delivery has been/ will be proven at pre-acceptance","bei der Vorabnahme wird/wurde der gesamte Lieferumfang nachgewiesen")</f>
        <v>the scope of delivery has been/ will be proven at pre-acceptance</v>
      </c>
      <c r="D129" s="165"/>
      <c r="E129" s="165"/>
      <c r="F129" s="165"/>
      <c r="G129" s="437" t="str">
        <f>IF(L="EN","Refer to section 1","Siehe Abschnitt 1")</f>
        <v>Refer to section 1</v>
      </c>
      <c r="H129" s="437"/>
      <c r="I129" s="161"/>
      <c r="N129" s="331"/>
      <c r="O129" s="331"/>
    </row>
    <row r="130" spans="1:15" s="71" customFormat="1" ht="16.5" customHeight="1" x14ac:dyDescent="0.2">
      <c r="A130" s="70" t="s">
        <v>36</v>
      </c>
      <c r="B130" s="70" t="str">
        <f>IF(L="EN","Performance Data (assessment see section 8)","Leistungsmerkmale (Auswertung in Kapitel 8)")</f>
        <v>Performance Data (assessment see section 8)</v>
      </c>
      <c r="C130" s="73"/>
      <c r="D130" s="165"/>
      <c r="E130" s="165"/>
      <c r="F130" s="165"/>
      <c r="G130" s="201"/>
      <c r="H130" s="201"/>
      <c r="I130" s="205"/>
      <c r="N130" s="331"/>
      <c r="O130" s="331"/>
    </row>
    <row r="131" spans="1:15" s="71" customFormat="1" ht="42" customHeight="1" x14ac:dyDescent="0.2">
      <c r="A131" s="70"/>
      <c r="B131" s="186"/>
      <c r="C131" s="187" t="str">
        <f>IF(L="EN","the machine capability including process parameters has been provided prior to the pre-acceptance","die Maschinenfähigkeit wurde zusammen mit den Prozessdaten vor der Vorabnahme mit Protokoll belegt")</f>
        <v>the machine capability including process parameters has been provided prior to the pre-acceptance</v>
      </c>
      <c r="D131" s="165"/>
      <c r="E131" s="165"/>
      <c r="F131" s="165"/>
      <c r="G131" s="437"/>
      <c r="H131" s="437"/>
      <c r="I131" s="161"/>
      <c r="N131" s="331"/>
      <c r="O131" s="331"/>
    </row>
    <row r="132" spans="1:15" s="71" customFormat="1" ht="12" customHeight="1" x14ac:dyDescent="0.2">
      <c r="A132" s="70"/>
      <c r="B132" s="70"/>
      <c r="C132" s="106"/>
      <c r="D132" s="144"/>
      <c r="E132" s="144"/>
      <c r="F132" s="144"/>
      <c r="G132" s="207" t="str">
        <f>IF(L="EN","specified","angegeben")</f>
        <v>specified</v>
      </c>
      <c r="H132" s="208" t="str">
        <f>IF(L="EN","actual","tatsächlich")</f>
        <v>actual</v>
      </c>
      <c r="I132" s="161"/>
      <c r="N132" s="331"/>
      <c r="O132" s="331"/>
    </row>
    <row r="133" spans="1:15" s="71" customFormat="1" ht="20.100000000000001" customHeight="1" x14ac:dyDescent="0.2">
      <c r="A133" s="70"/>
      <c r="B133" s="186"/>
      <c r="C133" s="73" t="str">
        <f>IF(L="EN","cycle time                                                [sec.]","Zykluszeit                                          [sec]")</f>
        <v>cycle time                                                [sec.]</v>
      </c>
      <c r="D133" s="209" t="str">
        <f>IF(H133&lt;&gt;0,IF(H133&lt;=G133,"X",""),"")</f>
        <v/>
      </c>
      <c r="E133" s="209" t="str">
        <f>IF(H133&lt;&gt;0,IF(H133&gt;G133,"X",""),"")</f>
        <v/>
      </c>
      <c r="F133" s="210"/>
      <c r="G133" s="211"/>
      <c r="H133" s="212"/>
      <c r="I133" s="191"/>
      <c r="N133" s="331"/>
      <c r="O133" s="331"/>
    </row>
    <row r="134" spans="1:15" s="71" customFormat="1" x14ac:dyDescent="0.2">
      <c r="A134" s="70"/>
      <c r="B134" s="186"/>
      <c r="C134" s="73" t="str">
        <f>IF(L="EN","technical availability                                 [%]","Technische Verfügbarkeit                                 [%]")</f>
        <v>technical availability                                 [%]</v>
      </c>
      <c r="D134" s="213" t="str">
        <f>IF(H134&lt;&gt;0,IF(H134&gt;=G134,"X",""),"")</f>
        <v/>
      </c>
      <c r="E134" s="213" t="str">
        <f>IF(H134&lt;&gt;0,IF(H134&lt;G134,"X",""),"")</f>
        <v/>
      </c>
      <c r="F134" s="214"/>
      <c r="G134" s="215"/>
      <c r="H134" s="216"/>
      <c r="I134" s="191"/>
      <c r="N134" s="331"/>
      <c r="O134" s="331"/>
    </row>
    <row r="135" spans="1:15" s="71" customFormat="1" x14ac:dyDescent="0.2">
      <c r="A135" s="70"/>
      <c r="B135" s="186"/>
      <c r="C135" s="73" t="str">
        <f>IF(L="EN","change over time (internal + external)    [min.]","Rüstzeit (intern + extern)                    [min.]")</f>
        <v>change over time (internal + external)    [min.]</v>
      </c>
      <c r="D135" s="213" t="str">
        <f>IF(H135&lt;&gt;0,IF(H135&lt;=G135,"X",""),"")</f>
        <v/>
      </c>
      <c r="E135" s="213" t="str">
        <f>IF(H135&lt;&gt;0,IF(H135&gt;G135,"X",""),"")</f>
        <v/>
      </c>
      <c r="F135" s="214"/>
      <c r="G135" s="217"/>
      <c r="H135" s="218"/>
      <c r="I135" s="191"/>
      <c r="N135" s="331"/>
      <c r="O135" s="331"/>
    </row>
    <row r="136" spans="1:15" s="71" customFormat="1" x14ac:dyDescent="0.2">
      <c r="A136" s="70"/>
      <c r="B136" s="186"/>
      <c r="C136" s="73" t="str">
        <f>IF(L="EN","thereof change-over loss                        [min.]","davon reine Rüstverlustzeit                 [min.]")</f>
        <v>thereof change-over loss                        [min.]</v>
      </c>
      <c r="D136" s="219" t="str">
        <f>IF(H136&lt;&gt;0,IF(H136&lt;=G136,"X",""),"")</f>
        <v/>
      </c>
      <c r="E136" s="219" t="str">
        <f>IF(H136&lt;&gt;0,IF(H136&gt;G136,"X",""),"")</f>
        <v/>
      </c>
      <c r="F136" s="220"/>
      <c r="G136" s="221"/>
      <c r="H136" s="221"/>
      <c r="I136" s="191"/>
      <c r="N136" s="331"/>
      <c r="O136" s="331"/>
    </row>
    <row r="137" spans="1:15" s="71" customFormat="1" x14ac:dyDescent="0.2">
      <c r="A137" s="70"/>
      <c r="B137" s="222" t="str">
        <f>IF(L="EN","Remark:","Bemerkung:")</f>
        <v>Remark:</v>
      </c>
      <c r="C137" s="73"/>
      <c r="D137" s="165"/>
      <c r="E137" s="165"/>
      <c r="F137" s="165"/>
      <c r="G137" s="436"/>
      <c r="H137" s="436"/>
      <c r="I137" s="191"/>
      <c r="N137" s="331"/>
      <c r="O137" s="331"/>
    </row>
    <row r="138" spans="1:15" s="71" customFormat="1" x14ac:dyDescent="0.2">
      <c r="A138" s="70"/>
      <c r="B138" s="503"/>
      <c r="C138" s="503"/>
      <c r="D138" s="503"/>
      <c r="E138" s="503"/>
      <c r="F138" s="503"/>
      <c r="G138" s="503"/>
      <c r="H138" s="504"/>
      <c r="I138" s="191"/>
      <c r="N138" s="331"/>
      <c r="O138" s="331"/>
    </row>
    <row r="139" spans="1:15" x14ac:dyDescent="0.2">
      <c r="A139" s="70"/>
      <c r="B139" s="503"/>
      <c r="C139" s="503"/>
      <c r="D139" s="503"/>
      <c r="E139" s="503"/>
      <c r="F139" s="503"/>
      <c r="G139" s="503"/>
      <c r="H139" s="504"/>
      <c r="I139" s="191"/>
    </row>
    <row r="140" spans="1:15" s="71" customFormat="1" x14ac:dyDescent="0.2">
      <c r="A140" s="70"/>
      <c r="B140" s="503"/>
      <c r="C140" s="503"/>
      <c r="D140" s="503"/>
      <c r="E140" s="503"/>
      <c r="F140" s="503"/>
      <c r="G140" s="503"/>
      <c r="H140" s="504"/>
      <c r="I140" s="191"/>
      <c r="N140" s="331"/>
      <c r="O140" s="331"/>
    </row>
    <row r="141" spans="1:15" s="71" customFormat="1" ht="20.100000000000001" customHeight="1" x14ac:dyDescent="0.2">
      <c r="A141" s="58" t="s">
        <v>37</v>
      </c>
      <c r="B141" s="58" t="str">
        <f>IF(L="EN","Function","Funktionsmerkmale")</f>
        <v>Function</v>
      </c>
      <c r="C141" s="133"/>
      <c r="D141" s="134"/>
      <c r="E141" s="134"/>
      <c r="F141" s="134"/>
      <c r="G141" s="505"/>
      <c r="H141" s="505"/>
      <c r="I141" s="157"/>
      <c r="N141" s="331"/>
      <c r="O141" s="331"/>
    </row>
    <row r="142" spans="1:15" s="71" customFormat="1" ht="24.75" customHeight="1" x14ac:dyDescent="0.2">
      <c r="A142" s="70"/>
      <c r="B142" s="186"/>
      <c r="C142" s="73" t="str">
        <f>IF(L="EN","Evidence of the defined functions has been provided","der Nachweis der zugesicherten Funktionen ist erbracht")</f>
        <v>Evidence of the defined functions has been provided</v>
      </c>
      <c r="D142" s="165"/>
      <c r="E142" s="165"/>
      <c r="F142" s="165"/>
      <c r="G142" s="437"/>
      <c r="H142" s="437"/>
      <c r="I142" s="161"/>
      <c r="N142" s="331"/>
      <c r="O142" s="331"/>
    </row>
    <row r="143" spans="1:15" s="71" customFormat="1" ht="27" customHeight="1" x14ac:dyDescent="0.2">
      <c r="A143" s="70"/>
      <c r="B143" s="186"/>
      <c r="C143" s="187" t="str">
        <f>IF(L="EN","Assembly dimensions, feed ranges, table height, testing areas , interfaces to the other equipment","Einbaumaße, Verfahrwege, Tischhöhen, Prüf-räume, Schnittstellen zu anderen Einrichtungen")</f>
        <v>Assembly dimensions, feed ranges, table height, testing areas , interfaces to the other equipment</v>
      </c>
      <c r="D143" s="165"/>
      <c r="E143" s="165"/>
      <c r="F143" s="165"/>
      <c r="G143" s="437"/>
      <c r="H143" s="437"/>
      <c r="I143" s="191"/>
      <c r="N143" s="331"/>
      <c r="O143" s="331"/>
    </row>
    <row r="144" spans="1:15" s="71" customFormat="1" ht="20.100000000000001" customHeight="1" x14ac:dyDescent="0.2">
      <c r="A144" s="70"/>
      <c r="B144" s="186"/>
      <c r="C144" s="187" t="str">
        <f>IF(L="EN","Machine outer dimensions","Maschinenaußenmaße")</f>
        <v>Machine outer dimensions</v>
      </c>
      <c r="D144" s="165"/>
      <c r="E144" s="165"/>
      <c r="F144" s="165"/>
      <c r="G144" s="437"/>
      <c r="H144" s="437"/>
      <c r="I144" s="191"/>
      <c r="N144" s="331"/>
      <c r="O144" s="331"/>
    </row>
    <row r="145" spans="1:15" s="71" customFormat="1" ht="25.5" customHeight="1" x14ac:dyDescent="0.2">
      <c r="A145" s="70"/>
      <c r="B145" s="186"/>
      <c r="C145" s="187" t="str">
        <f>IF(L="EN","Does the work sequence correspond to the specification","Arbeitsablauf gem. Pflichtenheft")</f>
        <v>Does the work sequence correspond to the specification</v>
      </c>
      <c r="D145" s="165"/>
      <c r="E145" s="165"/>
      <c r="F145" s="165"/>
      <c r="G145" s="437"/>
      <c r="H145" s="437"/>
      <c r="I145" s="191"/>
      <c r="N145" s="331"/>
      <c r="O145" s="331"/>
    </row>
    <row r="146" spans="1:15" s="71" customFormat="1" ht="24.75" customHeight="1" x14ac:dyDescent="0.2">
      <c r="A146" s="70"/>
      <c r="B146" s="186"/>
      <c r="C146" s="187" t="str">
        <f>IF(L="EN","are all process steps correctly carried out according to","korrekte Ausführung der Prozessschritte")</f>
        <v>are all process steps correctly carried out according to</v>
      </c>
      <c r="D146" s="165"/>
      <c r="E146" s="165"/>
      <c r="F146" s="165"/>
      <c r="G146" s="437"/>
      <c r="H146" s="437"/>
      <c r="I146" s="191"/>
      <c r="N146" s="331"/>
      <c r="O146" s="331"/>
    </row>
    <row r="147" spans="1:15" s="71" customFormat="1" x14ac:dyDescent="0.2">
      <c r="A147" s="70"/>
      <c r="B147" s="186"/>
      <c r="C147" s="223" t="str">
        <f>IF(L="EN","Process Specification   Nr."," Fertigungsverfahren Nr.")</f>
        <v>Process Specification   Nr.</v>
      </c>
      <c r="D147" s="165"/>
      <c r="E147" s="165"/>
      <c r="F147" s="165"/>
      <c r="G147" s="437"/>
      <c r="H147" s="437"/>
      <c r="I147" s="191"/>
      <c r="N147" s="331"/>
      <c r="O147" s="331"/>
    </row>
    <row r="148" spans="1:15" s="71" customFormat="1" x14ac:dyDescent="0.2">
      <c r="A148" s="70"/>
      <c r="B148" s="186"/>
      <c r="C148" s="223" t="str">
        <f>IF(L="EN","Work  plan                    Nr.","Arbeitsplan AG Nr.")</f>
        <v>Work  plan                    Nr.</v>
      </c>
      <c r="D148" s="165"/>
      <c r="E148" s="165"/>
      <c r="F148" s="165"/>
      <c r="G148" s="437"/>
      <c r="H148" s="437"/>
      <c r="I148" s="191"/>
      <c r="N148" s="331"/>
      <c r="O148" s="331"/>
    </row>
    <row r="149" spans="1:15" s="71" customFormat="1" ht="15.75" customHeight="1" x14ac:dyDescent="0.2">
      <c r="A149" s="70"/>
      <c r="B149" s="186"/>
      <c r="C149" s="223" t="str">
        <f>IF(L="EN","Test specification         Nr."," Prüfvorschrift Nr.")</f>
        <v>Test specification         Nr.</v>
      </c>
      <c r="D149" s="165"/>
      <c r="E149" s="165"/>
      <c r="F149" s="165"/>
      <c r="G149" s="437"/>
      <c r="H149" s="437"/>
      <c r="I149" s="191"/>
      <c r="N149" s="331"/>
      <c r="O149" s="331"/>
    </row>
    <row r="150" spans="1:15" s="71" customFormat="1" ht="49.5" customHeight="1" x14ac:dyDescent="0.2">
      <c r="A150" s="70"/>
      <c r="B150" s="186"/>
      <c r="C150" s="187" t="str">
        <f>IF(L="EN","are other requirements of the machine specification fulfilled? e.g. Power, rpm, tool life, temperatur range, clamping diameter, capacity of magazine.. ","sonstige Pflichtenheftforderungen wie z.B.
Kraft, Drehzahlen, Werkzeugstandzeiten, Temperaturbereiche, Spanndurchmesser, Magazinkapazität .. sind erfüllt?")</f>
        <v xml:space="preserve">are other requirements of the machine specification fulfilled? e.g. Power, rpm, tool life, temperatur range, clamping diameter, capacity of magazine.. </v>
      </c>
      <c r="D150" s="165"/>
      <c r="E150" s="165"/>
      <c r="F150" s="165"/>
      <c r="G150" s="437" t="str">
        <f>IF(L="EN","        see attachment","        siehe Anlage")</f>
        <v xml:space="preserve">        see attachment</v>
      </c>
      <c r="H150" s="466"/>
      <c r="I150" s="191"/>
      <c r="N150" s="331"/>
      <c r="O150" s="331"/>
    </row>
    <row r="151" spans="1:15" s="71" customFormat="1" x14ac:dyDescent="0.2">
      <c r="A151" s="70"/>
      <c r="B151" s="186"/>
      <c r="C151" s="502" t="str">
        <f>IF(L="EN","other requirements can be:
- requirements regarding Bosch Produktionssystem (BPS)
- special requirements regarding Maintenance and  Care (TPM)","weitere Pflichtenheftforderungen können sein:
- Anforderungen hinsichtlich dem Bosch Produktionssystem (BPS)
- besondere Anforderungen hinsichtlich Wartung und Pflege (TPM)")</f>
        <v>other requirements can be:
- requirements regarding Bosch Produktionssystem (BPS)
- special requirements regarding Maintenance and  Care (TPM)</v>
      </c>
      <c r="D151" s="502"/>
      <c r="E151" s="502"/>
      <c r="F151" s="502"/>
      <c r="G151" s="502"/>
      <c r="H151" s="502"/>
      <c r="I151" s="191"/>
      <c r="N151" s="331"/>
      <c r="O151" s="331"/>
    </row>
    <row r="152" spans="1:15" s="71" customFormat="1" ht="20.100000000000001" customHeight="1" x14ac:dyDescent="0.2">
      <c r="A152" s="70"/>
      <c r="B152" s="186"/>
      <c r="C152" s="502"/>
      <c r="D152" s="502"/>
      <c r="E152" s="502"/>
      <c r="F152" s="502"/>
      <c r="G152" s="502"/>
      <c r="H152" s="502"/>
      <c r="I152" s="191"/>
      <c r="N152" s="331"/>
      <c r="O152" s="331"/>
    </row>
    <row r="153" spans="1:15" s="71" customFormat="1" ht="20.100000000000001" customHeight="1" x14ac:dyDescent="0.2">
      <c r="A153" s="70"/>
      <c r="B153" s="186"/>
      <c r="C153" s="224"/>
      <c r="D153" s="224"/>
      <c r="E153" s="224"/>
      <c r="F153" s="224"/>
      <c r="G153" s="224"/>
      <c r="H153" s="224"/>
      <c r="I153" s="191"/>
      <c r="N153" s="331"/>
      <c r="O153" s="331"/>
    </row>
    <row r="154" spans="1:15" s="71" customFormat="1" ht="20.100000000000001" customHeight="1" x14ac:dyDescent="0.2">
      <c r="A154" s="70"/>
      <c r="B154" s="186"/>
      <c r="C154" s="224"/>
      <c r="D154" s="224"/>
      <c r="E154" s="224"/>
      <c r="F154" s="224"/>
      <c r="G154" s="224"/>
      <c r="H154" s="224"/>
      <c r="I154" s="191"/>
      <c r="N154" s="331"/>
      <c r="O154" s="331"/>
    </row>
    <row r="155" spans="1:15" s="71" customFormat="1" ht="20.100000000000001" customHeight="1" thickBot="1" x14ac:dyDescent="0.25">
      <c r="A155" s="70"/>
      <c r="B155" s="186"/>
      <c r="C155" s="224"/>
      <c r="D155" s="224"/>
      <c r="E155" s="224"/>
      <c r="F155" s="224"/>
      <c r="G155" s="224"/>
      <c r="H155" s="224"/>
      <c r="I155" s="191"/>
      <c r="N155" s="331"/>
      <c r="O155" s="331"/>
    </row>
    <row r="156" spans="1:15" s="71" customFormat="1" ht="19.5" customHeight="1" x14ac:dyDescent="0.2">
      <c r="A156" s="419"/>
      <c r="B156" s="420"/>
      <c r="C156" s="423" t="str">
        <f>IF(L="EN","C/MPE Acceptance Report","C/MPE Abnahmeprotokoll")</f>
        <v>C/MPE Acceptance Report</v>
      </c>
      <c r="D156" s="423"/>
      <c r="E156" s="423"/>
      <c r="F156" s="424"/>
      <c r="G156" s="136" t="str">
        <f>IF(L="EN","Issue:","Ausgabe")</f>
        <v>Issue:</v>
      </c>
      <c r="H156" s="154" t="str">
        <f>IF(L="EN","Page","Blatt")</f>
        <v>Page</v>
      </c>
      <c r="I156" s="58"/>
      <c r="N156" s="331"/>
      <c r="O156" s="331"/>
    </row>
    <row r="157" spans="1:15" s="71" customFormat="1" ht="19.5" customHeight="1" thickBot="1" x14ac:dyDescent="0.25">
      <c r="A157" s="421"/>
      <c r="B157" s="422"/>
      <c r="C157" s="425"/>
      <c r="D157" s="425"/>
      <c r="E157" s="425"/>
      <c r="F157" s="426"/>
      <c r="G157" s="350" t="s">
        <v>433</v>
      </c>
      <c r="H157" s="156" t="s">
        <v>399</v>
      </c>
      <c r="I157" s="58"/>
      <c r="N157" s="331"/>
      <c r="O157" s="331"/>
    </row>
    <row r="158" spans="1:15" s="71" customFormat="1" ht="13.5" customHeight="1" thickBot="1" x14ac:dyDescent="0.25">
      <c r="A158" s="167" t="str">
        <f>IF(L="EN","section","Kapitel")</f>
        <v>section</v>
      </c>
      <c r="B158" s="427" t="str">
        <f>IF(L="EN","items to be checked","Prüfmerkmale")</f>
        <v>items to be checked</v>
      </c>
      <c r="C158" s="427"/>
      <c r="D158" s="168" t="s">
        <v>17</v>
      </c>
      <c r="E158" s="169" t="s">
        <v>18</v>
      </c>
      <c r="F158" s="170" t="s">
        <v>19</v>
      </c>
      <c r="G158" s="428" t="str">
        <f>IF(L="EN","remark","Bemerkung")</f>
        <v>remark</v>
      </c>
      <c r="H158" s="428"/>
      <c r="I158" s="58"/>
      <c r="N158" s="331"/>
      <c r="O158" s="331"/>
    </row>
    <row r="159" spans="1:15" s="71" customFormat="1" ht="13.5" customHeight="1" x14ac:dyDescent="0.2">
      <c r="A159" s="70"/>
      <c r="B159" s="186"/>
      <c r="C159" s="225"/>
      <c r="D159" s="165"/>
      <c r="E159" s="165"/>
      <c r="F159" s="165"/>
      <c r="G159" s="202"/>
      <c r="H159" s="202"/>
      <c r="I159" s="191"/>
      <c r="N159" s="331"/>
      <c r="O159" s="331"/>
    </row>
    <row r="160" spans="1:15" s="71" customFormat="1" ht="24" customHeight="1" x14ac:dyDescent="0.2">
      <c r="A160" s="70" t="s">
        <v>38</v>
      </c>
      <c r="B160" s="70" t="str">
        <f>IF(L="EN","Quality of work and machine capability","Arbeitsqualität und Maschinenfähigkeit")</f>
        <v>Quality of work and machine capability</v>
      </c>
      <c r="C160" s="73"/>
      <c r="D160" s="165"/>
      <c r="E160" s="165"/>
      <c r="F160" s="165"/>
      <c r="G160" s="436"/>
      <c r="H160" s="436"/>
      <c r="I160" s="191"/>
      <c r="N160" s="331"/>
      <c r="O160" s="331"/>
    </row>
    <row r="161" spans="1:15" s="71" customFormat="1" ht="13.5" customHeight="1" x14ac:dyDescent="0.2">
      <c r="A161" s="70"/>
      <c r="B161" s="186"/>
      <c r="C161" s="73" t="str">
        <f>IF(L="EN","Dimensions, construction according to drawing","Maßhaltigkeit und Ausführung nach Zeichnung")</f>
        <v>Dimensions, construction according to drawing</v>
      </c>
      <c r="D161" s="165"/>
      <c r="E161" s="165"/>
      <c r="F161" s="165"/>
      <c r="G161" s="437"/>
      <c r="H161" s="437"/>
      <c r="I161" s="191"/>
      <c r="N161" s="331"/>
      <c r="O161" s="331"/>
    </row>
    <row r="162" spans="1:15" s="71" customFormat="1" x14ac:dyDescent="0.2">
      <c r="A162" s="70"/>
      <c r="B162" s="186"/>
      <c r="C162" s="73" t="str">
        <f>IF(L="EN","Machine capability cmk &gt; 1,66","Maschinenfähigkeit cmk &gt; 1,66")</f>
        <v>Machine capability cmk &gt; 1,66</v>
      </c>
      <c r="D162" s="165"/>
      <c r="E162" s="165"/>
      <c r="F162" s="165"/>
      <c r="G162" s="364" t="str">
        <f>IF(L="EN","        see attachment","        siehe Anlage")</f>
        <v xml:space="preserve">        see attachment</v>
      </c>
      <c r="H162" s="364"/>
      <c r="I162" s="191"/>
      <c r="N162" s="331"/>
      <c r="O162" s="331"/>
    </row>
    <row r="163" spans="1:15" s="71" customFormat="1" ht="25.5" x14ac:dyDescent="0.2">
      <c r="A163" s="70"/>
      <c r="B163" s="186"/>
      <c r="C163" s="73" t="str">
        <f>IF(L="EN","Measurement equipment capability      cgk &gt; 1,33 / %GRR &lt; 10%","Messgerätefähigk. cgk &gt; 1,33 / %GRR &lt; 10%")</f>
        <v>Measurement equipment capability      cgk &gt; 1,33 / %GRR &lt; 10%</v>
      </c>
      <c r="D163" s="165"/>
      <c r="E163" s="165"/>
      <c r="F163" s="165"/>
      <c r="G163" s="364" t="str">
        <f>IF(L="EN","        see attachment","        siehe Anlage")</f>
        <v xml:space="preserve">        see attachment</v>
      </c>
      <c r="H163" s="364"/>
      <c r="I163" s="191"/>
      <c r="N163" s="331"/>
      <c r="O163" s="331"/>
    </row>
    <row r="164" spans="1:15" s="71" customFormat="1" x14ac:dyDescent="0.2">
      <c r="A164" s="70"/>
      <c r="B164" s="186"/>
      <c r="C164" s="73"/>
      <c r="D164" s="165"/>
      <c r="E164" s="165"/>
      <c r="F164" s="165"/>
      <c r="G164" s="436"/>
      <c r="H164" s="436"/>
      <c r="I164" s="161"/>
      <c r="N164" s="331"/>
      <c r="O164" s="331"/>
    </row>
    <row r="165" spans="1:15" s="71" customFormat="1" x14ac:dyDescent="0.2">
      <c r="A165" s="70" t="s">
        <v>39</v>
      </c>
      <c r="B165" s="204" t="str">
        <f>IF(L="EN","Compliance with delivery specifications","Einhaltung der Liefervorschriften")</f>
        <v>Compliance with delivery specifications</v>
      </c>
      <c r="C165" s="73"/>
      <c r="D165" s="165"/>
      <c r="E165" s="165"/>
      <c r="F165" s="165"/>
      <c r="G165" s="436"/>
      <c r="H165" s="436"/>
      <c r="I165" s="161"/>
      <c r="N165" s="331"/>
      <c r="O165" s="331"/>
    </row>
    <row r="166" spans="1:15" s="71" customFormat="1" ht="25.5" x14ac:dyDescent="0.2">
      <c r="A166" s="70"/>
      <c r="B166" s="186"/>
      <c r="C166" s="73" t="str">
        <f>IF(L="EN","Fulfilment of delivery specifications according to order","die Erfüllung der Liefervorschriften gem. Bestellung, ist erbracht")</f>
        <v>Fulfilment of delivery specifications according to order</v>
      </c>
      <c r="D166" s="165"/>
      <c r="E166" s="165"/>
      <c r="F166" s="165"/>
      <c r="G166" s="437"/>
      <c r="H166" s="437"/>
      <c r="I166" s="161"/>
      <c r="N166" s="331"/>
      <c r="O166" s="331"/>
    </row>
    <row r="167" spans="1:15" s="71" customFormat="1" ht="38.25" x14ac:dyDescent="0.2">
      <c r="A167" s="70"/>
      <c r="B167" s="186"/>
      <c r="C167" s="187" t="str">
        <f>IF(L="EN","Pre- acceptance has been performed with the correct voltage and frequency acc. to 
C/MPE / FL...-Specification?","die Vorabnahme erfolgt(e) mit richtiger Spannung und Frequenz entsprechend 
C/MPE / FL...-Vorschrift?")</f>
        <v>Pre- acceptance has been performed with the correct voltage and frequency acc. to 
C/MPE / FL...-Specification?</v>
      </c>
      <c r="D167" s="165"/>
      <c r="E167" s="165"/>
      <c r="F167" s="165"/>
      <c r="G167" s="201"/>
      <c r="H167" s="201"/>
      <c r="I167" s="191"/>
      <c r="N167" s="331"/>
      <c r="O167" s="331"/>
    </row>
    <row r="168" spans="1:15" s="71" customFormat="1" x14ac:dyDescent="0.2">
      <c r="A168" s="70"/>
      <c r="B168" s="186"/>
      <c r="C168" s="187"/>
      <c r="D168" s="165"/>
      <c r="E168" s="165"/>
      <c r="F168" s="165"/>
      <c r="G168" s="201"/>
      <c r="H168" s="201"/>
      <c r="I168" s="191"/>
      <c r="N168" s="331"/>
      <c r="O168" s="331"/>
    </row>
    <row r="169" spans="1:15" s="71" customFormat="1" x14ac:dyDescent="0.2">
      <c r="A169" s="70" t="s">
        <v>40</v>
      </c>
      <c r="B169" s="226" t="str">
        <f>IF(L="EN","Energy Efficiency                           NEW!!!","Energieeffizienz                             NEU!!!")</f>
        <v>Energy Efficiency                           NEW!!!</v>
      </c>
      <c r="C169" s="227"/>
      <c r="D169" s="165"/>
      <c r="E169" s="165"/>
      <c r="F169" s="165"/>
      <c r="G169" s="202"/>
      <c r="H169" s="202"/>
      <c r="I169" s="161"/>
      <c r="N169" s="331"/>
      <c r="O169" s="331"/>
    </row>
    <row r="170" spans="1:15" s="71" customFormat="1" x14ac:dyDescent="0.2">
      <c r="A170" s="70"/>
      <c r="B170" s="228"/>
      <c r="C170" s="229"/>
      <c r="D170" s="165"/>
      <c r="E170" s="165"/>
      <c r="F170" s="165"/>
      <c r="G170" s="202"/>
      <c r="H170" s="202"/>
      <c r="I170" s="161"/>
      <c r="N170" s="331"/>
      <c r="O170" s="331"/>
    </row>
    <row r="171" spans="1:15" s="71" customFormat="1" ht="25.5" x14ac:dyDescent="0.2">
      <c r="A171" s="70"/>
      <c r="B171" s="228"/>
      <c r="C171" s="229" t="str">
        <f>IF(L="EN","Deviations regarding the issue Energy Efficiency are agreed and released with the customer","Abweichungen zum Thema Energieeffizienz sind mit dem Kunden abgestimmt und freigegeben.")</f>
        <v>Deviations regarding the issue Energy Efficiency are agreed and released with the customer</v>
      </c>
      <c r="D171" s="165"/>
      <c r="E171" s="165"/>
      <c r="F171" s="165"/>
      <c r="G171" s="201"/>
      <c r="H171" s="201"/>
      <c r="I171" s="161"/>
      <c r="N171" s="331"/>
      <c r="O171" s="331"/>
    </row>
    <row r="172" spans="1:15" s="71" customFormat="1" x14ac:dyDescent="0.2">
      <c r="A172" s="70"/>
      <c r="B172" s="228"/>
      <c r="C172" s="229"/>
      <c r="D172" s="165"/>
      <c r="E172" s="165"/>
      <c r="F172" s="165"/>
      <c r="G172" s="202"/>
      <c r="H172" s="202"/>
      <c r="I172" s="161"/>
      <c r="N172" s="331"/>
      <c r="O172" s="331"/>
    </row>
    <row r="173" spans="1:15" s="71" customFormat="1" x14ac:dyDescent="0.2">
      <c r="A173" s="70" t="s">
        <v>41</v>
      </c>
      <c r="B173" s="228" t="str">
        <f>IF(L="EN","Illustration","Darstellung ")</f>
        <v>Illustration</v>
      </c>
      <c r="C173" s="229"/>
      <c r="D173" s="165"/>
      <c r="E173" s="165"/>
      <c r="F173" s="165"/>
      <c r="G173" s="202"/>
      <c r="H173" s="202"/>
      <c r="I173" s="161"/>
      <c r="N173" s="331"/>
      <c r="O173" s="331"/>
    </row>
    <row r="174" spans="1:15" s="71" customFormat="1" x14ac:dyDescent="0.2">
      <c r="A174" s="70"/>
      <c r="B174" s="228"/>
      <c r="C174" s="229"/>
      <c r="D174" s="165"/>
      <c r="E174" s="165"/>
      <c r="F174" s="165"/>
      <c r="G174" s="202"/>
      <c r="H174" s="202"/>
      <c r="I174" s="161"/>
      <c r="N174" s="331"/>
      <c r="O174" s="331"/>
    </row>
    <row r="175" spans="1:15" s="71" customFormat="1" ht="51" x14ac:dyDescent="0.2">
      <c r="A175" s="70"/>
      <c r="B175" s="230"/>
      <c r="C175" s="229" t="str">
        <f>IF(L="EN","The MAE has the possibility to display the entire Energy- and Powerconsumption under regular working conditions? 
Applicable for MAE &gt; 100 kW power input","Die MAE hat die Möglickeit zur Darstellung der gesamten Energie- und Leistungsaufnahme im laufenden Betrieb? 
Zutreffend bei Anlagen mit einer Anschlussleistung &gt; 100 kW.")</f>
        <v>The MAE has the possibility to display the entire Energy- and Powerconsumption under regular working conditions? 
Applicable for MAE &gt; 100 kW power input</v>
      </c>
      <c r="D175" s="165"/>
      <c r="E175" s="165"/>
      <c r="F175" s="165"/>
      <c r="G175" s="201"/>
      <c r="H175" s="201"/>
      <c r="I175" s="161"/>
      <c r="N175" s="331"/>
      <c r="O175" s="331"/>
    </row>
    <row r="176" spans="1:15" s="71" customFormat="1" x14ac:dyDescent="0.2">
      <c r="A176" s="70"/>
      <c r="B176" s="230"/>
      <c r="C176" s="229"/>
      <c r="D176" s="165"/>
      <c r="E176" s="165"/>
      <c r="F176" s="165"/>
      <c r="G176" s="202"/>
      <c r="H176" s="202"/>
      <c r="I176" s="161"/>
      <c r="N176" s="331"/>
      <c r="O176" s="331"/>
    </row>
    <row r="177" spans="1:15" s="71" customFormat="1" ht="12.75" customHeight="1" x14ac:dyDescent="0.2">
      <c r="A177" s="70" t="s">
        <v>42</v>
      </c>
      <c r="B177" s="228" t="str">
        <f>IF(L="EN","Shutdownmanagement","Abschaltmanagement")</f>
        <v>Shutdownmanagement</v>
      </c>
      <c r="C177" s="229"/>
      <c r="D177" s="165"/>
      <c r="E177" s="165"/>
      <c r="F177" s="165"/>
      <c r="G177" s="202"/>
      <c r="H177" s="202"/>
      <c r="I177" s="161"/>
      <c r="N177" s="331"/>
      <c r="O177" s="331"/>
    </row>
    <row r="178" spans="1:15" s="71" customFormat="1" ht="12.75" customHeight="1" x14ac:dyDescent="0.2">
      <c r="A178" s="70"/>
      <c r="B178" s="230"/>
      <c r="C178" s="229"/>
      <c r="D178" s="165"/>
      <c r="E178" s="165"/>
      <c r="F178" s="165"/>
      <c r="G178" s="202"/>
      <c r="H178" s="202"/>
      <c r="I178" s="161"/>
      <c r="N178" s="331"/>
      <c r="O178" s="331"/>
    </row>
    <row r="179" spans="1:15" s="71" customFormat="1" ht="24.75" customHeight="1" x14ac:dyDescent="0.2">
      <c r="A179" s="70"/>
      <c r="B179" s="230"/>
      <c r="C179" s="229" t="str">
        <f>IF(L="EN","The Shutdownmanagement as of the Bosch Standard-Specification Sheet was applied.","Das Abschaltmanagement laut Bosch Standard-Lastenheft wurde umgesetzt.")</f>
        <v>The Shutdownmanagement as of the Bosch Standard-Specification Sheet was applied.</v>
      </c>
      <c r="D179" s="165"/>
      <c r="E179" s="165"/>
      <c r="F179" s="165"/>
      <c r="G179" s="201"/>
      <c r="H179" s="201"/>
      <c r="I179" s="161"/>
      <c r="N179" s="331"/>
      <c r="O179" s="331"/>
    </row>
    <row r="180" spans="1:15" s="71" customFormat="1" x14ac:dyDescent="0.2">
      <c r="A180" s="70"/>
      <c r="B180" s="230"/>
      <c r="C180" s="229"/>
      <c r="D180" s="165"/>
      <c r="E180" s="165"/>
      <c r="F180" s="165"/>
      <c r="G180" s="202"/>
      <c r="H180" s="202"/>
      <c r="I180" s="161"/>
      <c r="N180" s="331"/>
      <c r="O180" s="331"/>
    </row>
    <row r="181" spans="1:15" s="71" customFormat="1" x14ac:dyDescent="0.2">
      <c r="A181" s="70" t="s">
        <v>43</v>
      </c>
      <c r="B181" s="228" t="str">
        <f>IF(L="EN","Electric engines","Elektromotoren")</f>
        <v>Electric engines</v>
      </c>
      <c r="C181" s="229"/>
      <c r="D181" s="165"/>
      <c r="E181" s="165"/>
      <c r="F181" s="165"/>
      <c r="G181" s="202"/>
      <c r="H181" s="202"/>
      <c r="I181" s="161"/>
      <c r="N181" s="331"/>
      <c r="O181" s="331"/>
    </row>
    <row r="182" spans="1:15" s="71" customFormat="1" ht="9" customHeight="1" x14ac:dyDescent="0.2">
      <c r="A182" s="70"/>
      <c r="B182" s="228"/>
      <c r="C182" s="229"/>
      <c r="D182" s="165"/>
      <c r="E182" s="165"/>
      <c r="F182" s="165"/>
      <c r="G182" s="202"/>
      <c r="H182" s="202"/>
      <c r="I182" s="161"/>
      <c r="N182" s="331"/>
      <c r="O182" s="331"/>
    </row>
    <row r="183" spans="1:15" s="71" customFormat="1" ht="34.5" customHeight="1" x14ac:dyDescent="0.2">
      <c r="A183" s="70"/>
      <c r="B183" s="228"/>
      <c r="C183" s="229" t="str">
        <f>IF(L="EN","The electric engines correspond with the degree of efficiency class IE2 or IE3 (DIN EN 60034-2-1:2007) or even better ?","Die Elektromotoren entsprechen der Wirkungsgradklasse IE2 oder IE3 (DIN EN 60034-2-1:2007) oder besser ?")</f>
        <v>The electric engines correspond with the degree of efficiency class IE2 or IE3 (DIN EN 60034-2-1:2007) or even better ?</v>
      </c>
      <c r="D183" s="165"/>
      <c r="E183" s="165"/>
      <c r="F183" s="165"/>
      <c r="G183" s="201"/>
      <c r="H183" s="201"/>
      <c r="I183" s="161"/>
      <c r="N183" s="331"/>
      <c r="O183" s="331"/>
    </row>
    <row r="184" spans="1:15" s="71" customFormat="1" ht="36" customHeight="1" x14ac:dyDescent="0.2">
      <c r="A184" s="70"/>
      <c r="B184" s="199"/>
      <c r="C184" s="187" t="str">
        <f>IF(L="EN","The configuration of the engines guarantees a energy efficient operating (P/Pnenn &gt; 0.8)?","Die Motoren sind so ausgelegt, dass der Betrieb in einem energieeffizienten Arbeitspunkt erfolgt (P/Pnenn &gt; 0.8)?")</f>
        <v>The configuration of the engines guarantees a energy efficient operating (P/Pnenn &gt; 0.8)?</v>
      </c>
      <c r="D184" s="165"/>
      <c r="E184" s="165"/>
      <c r="F184" s="165"/>
      <c r="G184" s="201"/>
      <c r="H184" s="201"/>
      <c r="I184" s="161"/>
      <c r="N184" s="331"/>
      <c r="O184" s="331"/>
    </row>
    <row r="185" spans="1:15" s="71" customFormat="1" ht="25.5" customHeight="1" x14ac:dyDescent="0.2">
      <c r="A185" s="70"/>
      <c r="B185" s="199"/>
      <c r="C185" s="187"/>
      <c r="D185" s="165"/>
      <c r="E185" s="165"/>
      <c r="F185" s="165"/>
      <c r="G185" s="202"/>
      <c r="H185" s="202"/>
      <c r="I185" s="161"/>
      <c r="N185" s="331"/>
      <c r="O185" s="331"/>
    </row>
    <row r="186" spans="1:15" s="71" customFormat="1" x14ac:dyDescent="0.2">
      <c r="A186" s="70" t="s">
        <v>44</v>
      </c>
      <c r="B186" s="199" t="str">
        <f>IF(L="EN","Power Units","Antriebe")</f>
        <v>Power Units</v>
      </c>
      <c r="C186" s="187"/>
      <c r="D186" s="165"/>
      <c r="E186" s="165"/>
      <c r="F186" s="165"/>
      <c r="G186" s="202"/>
      <c r="H186" s="202"/>
      <c r="I186" s="161"/>
      <c r="N186" s="331"/>
      <c r="O186" s="331"/>
    </row>
    <row r="187" spans="1:15" s="71" customFormat="1" x14ac:dyDescent="0.2">
      <c r="A187" s="70"/>
      <c r="B187" s="199"/>
      <c r="C187" s="187"/>
      <c r="D187" s="165"/>
      <c r="E187" s="165"/>
      <c r="F187" s="165"/>
      <c r="G187" s="202"/>
      <c r="H187" s="202"/>
      <c r="I187" s="161"/>
      <c r="N187" s="331"/>
      <c r="O187" s="331"/>
    </row>
    <row r="188" spans="1:15" s="71" customFormat="1" ht="25.5" x14ac:dyDescent="0.2">
      <c r="A188" s="70"/>
      <c r="B188" s="199"/>
      <c r="C188" s="187" t="str">
        <f>IF(L="EN","Power Units for the production of compressed air are configured RPM-regulated?","Antriebe zur Druckerzeugung sind drehzahlgeregelt ausgeführt?")</f>
        <v>Power Units for the production of compressed air are configured RPM-regulated?</v>
      </c>
      <c r="D188" s="165"/>
      <c r="E188" s="165"/>
      <c r="F188" s="165"/>
      <c r="G188" s="201"/>
      <c r="H188" s="201"/>
      <c r="I188" s="161"/>
      <c r="N188" s="331"/>
      <c r="O188" s="331"/>
    </row>
    <row r="189" spans="1:15" s="71" customFormat="1" ht="25.5" x14ac:dyDescent="0.2">
      <c r="A189" s="70"/>
      <c r="B189" s="199"/>
      <c r="C189" s="187" t="str">
        <f>IF(L="EN","Drive Trains are configured slip-free (e.g. gear belts in stead of V-belts)?","Antriebe sind schlupffrei ausgeführt (z.B. Zahnriemen statt Keilriemen)?")</f>
        <v>Drive Trains are configured slip-free (e.g. gear belts in stead of V-belts)?</v>
      </c>
      <c r="D189" s="165"/>
      <c r="E189" s="165"/>
      <c r="F189" s="165"/>
      <c r="G189" s="201"/>
      <c r="H189" s="201"/>
      <c r="I189" s="161"/>
      <c r="N189" s="331"/>
      <c r="O189" s="331"/>
    </row>
    <row r="190" spans="1:15" s="71" customFormat="1" ht="12.75" customHeight="1" x14ac:dyDescent="0.2">
      <c r="A190" s="70"/>
      <c r="B190" s="199"/>
      <c r="C190" s="187" t="str">
        <f>IF(L="EN","inactive axels with a holding force &gt; 15 kW do have a stopping device?","Inaktive Achsen mit einer Halteleistung von &gt; 15 kW haben eine Festbremseinrichtung?")</f>
        <v>inactive axels with a holding force &gt; 15 kW do have a stopping device?</v>
      </c>
      <c r="D190" s="165"/>
      <c r="E190" s="165"/>
      <c r="F190" s="165"/>
      <c r="G190" s="201"/>
      <c r="H190" s="201"/>
      <c r="I190" s="161"/>
      <c r="N190" s="331"/>
      <c r="O190" s="331"/>
    </row>
    <row r="191" spans="1:15" s="71" customFormat="1" x14ac:dyDescent="0.2">
      <c r="A191" s="70"/>
      <c r="B191" s="199"/>
      <c r="C191" s="187"/>
      <c r="D191" s="165"/>
      <c r="E191" s="165"/>
      <c r="F191" s="165"/>
      <c r="G191" s="202"/>
      <c r="H191" s="202"/>
      <c r="I191" s="161"/>
      <c r="N191" s="331"/>
      <c r="O191" s="331"/>
    </row>
    <row r="192" spans="1:15" s="71" customFormat="1" x14ac:dyDescent="0.2">
      <c r="A192" s="70" t="s">
        <v>45</v>
      </c>
      <c r="B192" s="199" t="str">
        <f>IF(L="EN","Components without influence on the production process ","Anlagenkomponenten ohne Einfluss auf den Produktionsprozess")</f>
        <v xml:space="preserve">Components without influence on the production process </v>
      </c>
      <c r="C192" s="187"/>
      <c r="D192" s="165"/>
      <c r="E192" s="165"/>
      <c r="F192" s="165"/>
      <c r="G192" s="202"/>
      <c r="H192" s="202"/>
      <c r="I192" s="161"/>
      <c r="N192" s="331"/>
      <c r="O192" s="331"/>
    </row>
    <row r="193" spans="1:15" s="71" customFormat="1" x14ac:dyDescent="0.2">
      <c r="A193" s="70"/>
      <c r="B193" s="199"/>
      <c r="C193" s="187"/>
      <c r="D193" s="165"/>
      <c r="E193" s="165"/>
      <c r="F193" s="165"/>
      <c r="G193" s="202"/>
      <c r="H193" s="202"/>
      <c r="I193" s="161"/>
      <c r="N193" s="331"/>
      <c r="O193" s="331"/>
    </row>
    <row r="194" spans="1:15" s="71" customFormat="1" ht="38.25" x14ac:dyDescent="0.2">
      <c r="A194" s="70"/>
      <c r="B194" s="199"/>
      <c r="C194" s="187" t="str">
        <f>IF(L="EN","Screens, Illumination etc. are executed disconnectable? Primarily with an automatic Switch off function after adjustable time","Bedienerbildschirme, Beleuchtungen usw. sind abschaltbar ausgeführt? Vorzugsweise mit automatischer Abschaltfunktion nach einstellbarer Zeit.")</f>
        <v>Screens, Illumination etc. are executed disconnectable? Primarily with an automatic Switch off function after adjustable time</v>
      </c>
      <c r="D194" s="165"/>
      <c r="E194" s="165"/>
      <c r="F194" s="165"/>
      <c r="G194" s="201"/>
      <c r="H194" s="201"/>
      <c r="I194" s="161"/>
      <c r="N194" s="331"/>
      <c r="O194" s="331"/>
    </row>
    <row r="195" spans="1:15" s="71" customFormat="1" x14ac:dyDescent="0.2">
      <c r="A195" s="70"/>
      <c r="B195" s="199"/>
      <c r="C195" s="187"/>
      <c r="D195" s="165"/>
      <c r="E195" s="165"/>
      <c r="F195" s="165"/>
      <c r="G195" s="202"/>
      <c r="H195" s="202"/>
      <c r="I195" s="161"/>
      <c r="N195" s="331"/>
      <c r="O195" s="331"/>
    </row>
    <row r="196" spans="1:15" s="71" customFormat="1" x14ac:dyDescent="0.2">
      <c r="A196" s="70"/>
      <c r="B196" s="199"/>
      <c r="C196" s="187"/>
      <c r="D196" s="165"/>
      <c r="E196" s="165"/>
      <c r="F196" s="165"/>
      <c r="G196" s="202"/>
      <c r="H196" s="202"/>
      <c r="I196" s="161"/>
      <c r="N196" s="331"/>
      <c r="O196" s="331"/>
    </row>
    <row r="197" spans="1:15" s="71" customFormat="1" x14ac:dyDescent="0.2">
      <c r="A197" s="70"/>
      <c r="B197" s="199"/>
      <c r="C197" s="187"/>
      <c r="D197" s="165"/>
      <c r="E197" s="165"/>
      <c r="F197" s="165"/>
      <c r="G197" s="202"/>
      <c r="H197" s="202"/>
      <c r="I197" s="161"/>
      <c r="N197" s="331"/>
      <c r="O197" s="331"/>
    </row>
    <row r="198" spans="1:15" s="71" customFormat="1" x14ac:dyDescent="0.2">
      <c r="A198" s="70"/>
      <c r="B198" s="199"/>
      <c r="C198" s="187"/>
      <c r="D198" s="165"/>
      <c r="E198" s="165"/>
      <c r="F198" s="165"/>
      <c r="G198" s="202"/>
      <c r="H198" s="202"/>
      <c r="I198" s="161"/>
      <c r="N198" s="331"/>
      <c r="O198" s="331"/>
    </row>
    <row r="199" spans="1:15" s="71" customFormat="1" ht="13.5" thickBot="1" x14ac:dyDescent="0.25">
      <c r="A199" s="70"/>
      <c r="B199" s="199"/>
      <c r="C199" s="187"/>
      <c r="D199" s="165"/>
      <c r="E199" s="165"/>
      <c r="F199" s="165"/>
      <c r="G199" s="202"/>
      <c r="H199" s="202"/>
      <c r="I199" s="161"/>
      <c r="N199" s="331"/>
      <c r="O199" s="331"/>
    </row>
    <row r="200" spans="1:15" s="71" customFormat="1" ht="19.5" customHeight="1" x14ac:dyDescent="0.2">
      <c r="A200" s="419"/>
      <c r="B200" s="420"/>
      <c r="C200" s="423" t="str">
        <f>IF(L="EN","C/MPE Acceptance Report","C/MPE Abnahmeprotokoll")</f>
        <v>C/MPE Acceptance Report</v>
      </c>
      <c r="D200" s="423"/>
      <c r="E200" s="423"/>
      <c r="F200" s="424"/>
      <c r="G200" s="136" t="str">
        <f>IF(L="EN","Issue:","Ausgabe")</f>
        <v>Issue:</v>
      </c>
      <c r="H200" s="154" t="str">
        <f>IF(L="EN","Page","Blatt")</f>
        <v>Page</v>
      </c>
      <c r="I200" s="58"/>
      <c r="N200" s="331"/>
      <c r="O200" s="331"/>
    </row>
    <row r="201" spans="1:15" s="71" customFormat="1" ht="19.5" customHeight="1" thickBot="1" x14ac:dyDescent="0.25">
      <c r="A201" s="421"/>
      <c r="B201" s="422"/>
      <c r="C201" s="425"/>
      <c r="D201" s="425"/>
      <c r="E201" s="425"/>
      <c r="F201" s="426"/>
      <c r="G201" s="350" t="s">
        <v>433</v>
      </c>
      <c r="H201" s="156" t="s">
        <v>400</v>
      </c>
      <c r="I201" s="58"/>
      <c r="N201" s="331"/>
      <c r="O201" s="331"/>
    </row>
    <row r="202" spans="1:15" s="71" customFormat="1" ht="13.5" customHeight="1" thickBot="1" x14ac:dyDescent="0.25">
      <c r="A202" s="167" t="str">
        <f>IF(L="EN","section","Kapitel")</f>
        <v>section</v>
      </c>
      <c r="B202" s="427" t="str">
        <f>IF(L="EN","items to be checked","Prüfmerkmale")</f>
        <v>items to be checked</v>
      </c>
      <c r="C202" s="427"/>
      <c r="D202" s="168" t="s">
        <v>17</v>
      </c>
      <c r="E202" s="169" t="s">
        <v>18</v>
      </c>
      <c r="F202" s="170" t="s">
        <v>19</v>
      </c>
      <c r="G202" s="428" t="str">
        <f>IF(L="EN","remark","Bemerkung")</f>
        <v>remark</v>
      </c>
      <c r="H202" s="428"/>
      <c r="I202" s="58"/>
      <c r="N202" s="331"/>
      <c r="O202" s="331"/>
    </row>
    <row r="203" spans="1:15" s="71" customFormat="1" x14ac:dyDescent="0.2">
      <c r="A203" s="70"/>
      <c r="B203" s="199"/>
      <c r="C203" s="187"/>
      <c r="D203" s="165"/>
      <c r="E203" s="165"/>
      <c r="F203" s="165"/>
      <c r="G203" s="202"/>
      <c r="H203" s="202"/>
      <c r="I203" s="161"/>
      <c r="N203" s="331"/>
      <c r="O203" s="331"/>
    </row>
    <row r="204" spans="1:15" s="71" customFormat="1" x14ac:dyDescent="0.2">
      <c r="A204" s="70" t="s">
        <v>46</v>
      </c>
      <c r="B204" s="199" t="str">
        <f>IF(L="EN","Illumination within the MAE","Innenbeleuchtung MAE")</f>
        <v>Illumination within the MAE</v>
      </c>
      <c r="C204" s="187"/>
      <c r="D204" s="165"/>
      <c r="E204" s="165"/>
      <c r="F204" s="165"/>
      <c r="G204" s="202"/>
      <c r="H204" s="202"/>
      <c r="I204" s="161"/>
      <c r="N204" s="331"/>
      <c r="O204" s="331"/>
    </row>
    <row r="205" spans="1:15" s="71" customFormat="1" x14ac:dyDescent="0.2">
      <c r="A205" s="70"/>
      <c r="B205" s="199"/>
      <c r="C205" s="187"/>
      <c r="D205" s="165"/>
      <c r="E205" s="165"/>
      <c r="F205" s="165"/>
      <c r="G205" s="202"/>
      <c r="H205" s="202"/>
      <c r="I205" s="161"/>
      <c r="N205" s="331"/>
      <c r="O205" s="331"/>
    </row>
    <row r="206" spans="1:15" s="71" customFormat="1" ht="38.25" x14ac:dyDescent="0.2">
      <c r="A206" s="70"/>
      <c r="B206" s="199"/>
      <c r="C206" s="187" t="str">
        <f>IF(L="EN","The illumination within the MAE can be switched of with an external switch without any influence on the operation at any time","Fest installierte Innenbeleuchtungen sind jederzeit ohne Auswirkung auf den Betrieb über externe Lichtschalter abschaltbar.")</f>
        <v>The illumination within the MAE can be switched of with an external switch without any influence on the operation at any time</v>
      </c>
      <c r="D206" s="165"/>
      <c r="E206" s="165"/>
      <c r="F206" s="165"/>
      <c r="G206" s="201"/>
      <c r="H206" s="201"/>
      <c r="I206" s="161"/>
      <c r="N206" s="331"/>
      <c r="O206" s="331"/>
    </row>
    <row r="207" spans="1:15" s="71" customFormat="1" x14ac:dyDescent="0.2">
      <c r="A207" s="70"/>
      <c r="B207" s="199"/>
      <c r="C207" s="187"/>
      <c r="D207" s="165"/>
      <c r="E207" s="165"/>
      <c r="F207" s="165"/>
      <c r="G207" s="201"/>
      <c r="H207" s="201"/>
      <c r="I207" s="161"/>
      <c r="N207" s="331"/>
      <c r="O207" s="331"/>
    </row>
    <row r="208" spans="1:15" s="71" customFormat="1" ht="12.75" customHeight="1" x14ac:dyDescent="0.2">
      <c r="A208" s="70" t="s">
        <v>47</v>
      </c>
      <c r="B208" s="199" t="str">
        <f>IF(L="EN","Level of Energy Efficiency","Energieeffizienzgrad")</f>
        <v>Level of Energy Efficiency</v>
      </c>
      <c r="C208" s="187"/>
      <c r="D208" s="165" t="s">
        <v>48</v>
      </c>
      <c r="E208" s="165" t="s">
        <v>49</v>
      </c>
      <c r="F208" s="165" t="s">
        <v>50</v>
      </c>
      <c r="G208" s="501" t="s">
        <v>51</v>
      </c>
      <c r="H208" s="501"/>
      <c r="I208" s="161"/>
      <c r="N208" s="331"/>
      <c r="O208" s="331"/>
    </row>
    <row r="209" spans="1:15" s="71" customFormat="1" ht="89.25" x14ac:dyDescent="0.2">
      <c r="A209" s="70"/>
      <c r="B209" s="199"/>
      <c r="C209" s="187" t="str">
        <f>IF(L="EN","The DS-MAE-checklist for determination of the energy efficiency level was apllied together with the supplier upfront?
The Application of the checklist is obligatory for DS Projects and strongly recommended for all the others.","Wurde die DS-MAE-Checkliste zur Bestimmung des Energieeffizienzgrades im Vorfeld mit dem Lieferanten bearbeitet?
Die Anwendung der Checkliste ist bei DS-Projekten verbindlich, bei allen anderen zwingend empfohlen.")</f>
        <v>The DS-MAE-checklist for determination of the energy efficiency level was apllied together with the supplier upfront?
The Application of the checklist is obligatory for DS Projects and strongly recommended for all the others.</v>
      </c>
      <c r="D209" s="165"/>
      <c r="E209" s="165"/>
      <c r="F209" s="165"/>
      <c r="G209" s="201"/>
      <c r="H209" s="201"/>
      <c r="I209" s="161"/>
      <c r="N209" s="331"/>
      <c r="O209" s="331"/>
    </row>
    <row r="210" spans="1:15" s="71" customFormat="1" ht="25.5" x14ac:dyDescent="0.2">
      <c r="A210" s="70"/>
      <c r="B210" s="199"/>
      <c r="C210" s="187" t="str">
        <f>IF(L="EN","The agreed level of Energy Efficiency got achieved?","Wurde der vereinbarte Energieeffizienzgrad erreicht?")</f>
        <v>The agreed level of Energy Efficiency got achieved?</v>
      </c>
      <c r="D210" s="165"/>
      <c r="E210" s="165"/>
      <c r="F210" s="165"/>
      <c r="G210" s="201"/>
      <c r="H210" s="201"/>
      <c r="I210" s="161"/>
      <c r="N210" s="331"/>
      <c r="O210" s="331"/>
    </row>
    <row r="211" spans="1:15" s="71" customFormat="1" x14ac:dyDescent="0.2">
      <c r="A211" s="70"/>
      <c r="B211" s="199"/>
      <c r="C211" s="187"/>
      <c r="D211" s="165"/>
      <c r="E211" s="165"/>
      <c r="F211" s="165"/>
      <c r="G211" s="436"/>
      <c r="H211" s="436"/>
      <c r="I211" s="161"/>
      <c r="N211" s="331"/>
      <c r="O211" s="331"/>
    </row>
    <row r="212" spans="1:15" s="71" customFormat="1" x14ac:dyDescent="0.2">
      <c r="A212" s="70" t="s">
        <v>52</v>
      </c>
      <c r="B212" s="70" t="str">
        <f>IF(L="EN","Transport and assembly instructions","Transport- und Montagehinweise")</f>
        <v>Transport and assembly instructions</v>
      </c>
      <c r="C212" s="73"/>
      <c r="D212" s="165"/>
      <c r="E212" s="165"/>
      <c r="F212" s="165"/>
      <c r="G212" s="436"/>
      <c r="H212" s="436"/>
      <c r="I212" s="191"/>
      <c r="N212" s="331"/>
      <c r="O212" s="331"/>
    </row>
    <row r="213" spans="1:15" s="71" customFormat="1" ht="25.5" x14ac:dyDescent="0.2">
      <c r="A213" s="70"/>
      <c r="B213" s="70"/>
      <c r="C213" s="73" t="str">
        <f>IF(L="EN","Supplier instructions for internal transport and assembly are attached to the machine ","Vorschriften für Transport und Montage sind an der Maschine angebracht (Kennzeichnung Schwerpunkt)")</f>
        <v xml:space="preserve">Supplier instructions for internal transport and assembly are attached to the machine </v>
      </c>
      <c r="D213" s="165"/>
      <c r="E213" s="165"/>
      <c r="F213" s="165"/>
      <c r="G213" s="437"/>
      <c r="H213" s="437"/>
      <c r="I213" s="191"/>
      <c r="N213" s="331"/>
      <c r="O213" s="331"/>
    </row>
    <row r="214" spans="1:15" s="71" customFormat="1" ht="20.100000000000001" customHeight="1" x14ac:dyDescent="0.2">
      <c r="A214" s="70"/>
      <c r="B214" s="186"/>
      <c r="C214" s="73"/>
      <c r="D214" s="165"/>
      <c r="E214" s="165"/>
      <c r="F214" s="165"/>
      <c r="G214" s="438"/>
      <c r="H214" s="438"/>
      <c r="I214" s="161"/>
      <c r="N214" s="331"/>
      <c r="O214" s="331"/>
    </row>
    <row r="215" spans="1:15" s="71" customFormat="1" ht="12" customHeight="1" x14ac:dyDescent="0.2">
      <c r="A215" s="70" t="s">
        <v>53</v>
      </c>
      <c r="B215" s="70" t="str">
        <f>IF(L="EN","Documentation","Dokumentation")</f>
        <v>Documentation</v>
      </c>
      <c r="C215" s="73"/>
      <c r="D215" s="165"/>
      <c r="E215" s="165"/>
      <c r="F215" s="165"/>
      <c r="G215" s="436"/>
      <c r="H215" s="436"/>
      <c r="I215" s="191"/>
      <c r="N215" s="331"/>
      <c r="O215" s="331"/>
    </row>
    <row r="216" spans="1:15" s="71" customFormat="1" ht="12.75" customHeight="1" x14ac:dyDescent="0.2">
      <c r="A216" s="70"/>
      <c r="B216" s="506" t="str">
        <f>IF(L="EN","Complete set in german and also in hte language as per CMPE/FL-...Specification","(komplett 1x Deutsch sowie in Landessprache gemäß C/MPE / FL-.... Vorschrift)")</f>
        <v>Complete set in german and also in hte language as per CMPE/FL-...Specification</v>
      </c>
      <c r="C216" s="506"/>
      <c r="D216" s="506"/>
      <c r="E216" s="506"/>
      <c r="F216" s="506"/>
      <c r="G216" s="506"/>
      <c r="H216" s="506"/>
      <c r="I216" s="191"/>
      <c r="N216" s="331"/>
      <c r="O216" s="331"/>
    </row>
    <row r="217" spans="1:15" s="71" customFormat="1" x14ac:dyDescent="0.2">
      <c r="A217" s="70"/>
      <c r="B217" s="506" t="str">
        <f>IF(L="EN","The Preferred documentation is electrical.Neutral formats are standard,e.g. PDF(for exceptations","Die elektronische Dokumentation z.B. als PDF (Ausnahmen z.B. Elektrodokumentation, siehe ")</f>
        <v>The Preferred documentation is electrical.Neutral formats are standard,e.g. PDF(for exceptations</v>
      </c>
      <c r="C217" s="506"/>
      <c r="D217" s="506"/>
      <c r="E217" s="506"/>
      <c r="F217" s="506"/>
      <c r="G217" s="506"/>
      <c r="H217" s="506"/>
      <c r="I217" s="161"/>
      <c r="N217" s="331"/>
      <c r="O217" s="331"/>
    </row>
    <row r="218" spans="1:15" s="71" customFormat="1" x14ac:dyDescent="0.2">
      <c r="A218" s="70"/>
      <c r="B218" s="506" t="str">
        <f>IF(L="EN","such as electro_documentation refer to the following).The filing structure in accordance with folders","untere Tabelle) wird bevorzugt. Die Ablagestruktur Ordner 1-7 ist einzuhalten und gilt genauso für")</f>
        <v>such as electro_documentation refer to the following).The filing structure in accordance with folders</v>
      </c>
      <c r="C218" s="506"/>
      <c r="D218" s="506"/>
      <c r="E218" s="506"/>
      <c r="F218" s="506"/>
      <c r="G218" s="506"/>
      <c r="H218" s="506"/>
      <c r="I218" s="191"/>
      <c r="N218" s="331"/>
      <c r="O218" s="331"/>
    </row>
    <row r="219" spans="1:15" s="71" customFormat="1" ht="20.100000000000001" customHeight="1" x14ac:dyDescent="0.2">
      <c r="A219" s="70"/>
      <c r="B219" s="506" t="str">
        <f>IF(L="EN","1-7 is  validfoe electronic data mediums annd also for the printed versions.","elektronische Datenträger.")</f>
        <v>1-7 is  validfoe electronic data mediums annd also for the printed versions.</v>
      </c>
      <c r="C219" s="506"/>
      <c r="D219" s="506"/>
      <c r="E219" s="506"/>
      <c r="F219" s="506"/>
      <c r="G219" s="506"/>
      <c r="H219" s="506"/>
      <c r="I219" s="191"/>
      <c r="N219" s="331"/>
      <c r="O219" s="331"/>
    </row>
    <row r="220" spans="1:15" s="71" customFormat="1" ht="21.75" customHeight="1" x14ac:dyDescent="0.2">
      <c r="A220" s="70" t="s">
        <v>54</v>
      </c>
      <c r="B220" s="231" t="str">
        <f>IF(L="EN","Folder 1 - Operating Instructions","Ordner 1 - Betriebsanleitung")</f>
        <v>Folder 1 - Operating Instructions</v>
      </c>
      <c r="C220" s="232"/>
      <c r="D220" s="232"/>
      <c r="E220" s="232"/>
      <c r="F220" s="232"/>
      <c r="G220" s="232"/>
      <c r="H220" s="232"/>
      <c r="I220" s="161"/>
      <c r="N220" s="331"/>
      <c r="O220" s="331"/>
    </row>
    <row r="221" spans="1:15" s="135" customFormat="1" ht="21" customHeight="1" x14ac:dyDescent="0.2">
      <c r="A221" s="123"/>
      <c r="B221" s="233" t="s">
        <v>4</v>
      </c>
      <c r="C221" s="232" t="str">
        <f>IF(L="EN","Safety Measures","Sicherheitsmaßnahmen")</f>
        <v>Safety Measures</v>
      </c>
      <c r="D221" s="234"/>
      <c r="E221" s="234"/>
      <c r="F221" s="234"/>
      <c r="G221" s="437"/>
      <c r="H221" s="437"/>
      <c r="I221" s="235"/>
      <c r="N221" s="332"/>
      <c r="O221" s="332"/>
    </row>
    <row r="222" spans="1:15" s="71" customFormat="1" ht="61.5" customHeight="1" x14ac:dyDescent="0.2">
      <c r="A222" s="70"/>
      <c r="B222" s="233"/>
      <c r="C222" s="236" t="str">
        <f>IF(L="EN","'- use accoring to the rules
- safety equipment of the machine
- protective measures for the operating personal","'- bestimmungsgemäße Verwendung
- Sicherheitseinrichtung der Maschine
- Schutzmaßnahmen für das Bedienpersonal
- obligations of the operator")</f>
        <v>'- use accoring to the rules
- safety equipment of the machine
- protective measures for the operating personal</v>
      </c>
      <c r="D222" s="470" t="str">
        <f>IF(L="EN","'- remaining risks
- instructions for operating and working
- hydraulic equipments
- notes on hazardous materials","'- Restrisiko
- Bedien- und Arbeitshinweise
- Hydraulische Einrichtungen
- Hinweise zu Gefahrstoffen")</f>
        <v>'- remaining risks
- instructions for operating and working
- hydraulic equipments
- notes on hazardous materials</v>
      </c>
      <c r="E222" s="471"/>
      <c r="F222" s="471"/>
      <c r="G222" s="471"/>
      <c r="H222" s="471"/>
      <c r="I222" s="161"/>
      <c r="N222" s="331"/>
      <c r="O222" s="331"/>
    </row>
    <row r="223" spans="1:15" s="71" customFormat="1" ht="12.75" customHeight="1" x14ac:dyDescent="0.2">
      <c r="A223" s="70"/>
      <c r="B223" s="238" t="s">
        <v>5</v>
      </c>
      <c r="C223" s="239" t="str">
        <f>IF(L="EN","Transport, installation, connections, dismantling","Transport, Aufstellung, Anschluss, Abbau")</f>
        <v>Transport, installation, connections, dismantling</v>
      </c>
      <c r="D223" s="165"/>
      <c r="E223" s="165"/>
      <c r="F223" s="165"/>
      <c r="G223" s="437"/>
      <c r="H223" s="437"/>
      <c r="I223" s="161"/>
      <c r="N223" s="331"/>
      <c r="O223" s="331"/>
    </row>
    <row r="224" spans="1:15" s="71" customFormat="1" ht="45" x14ac:dyDescent="0.2">
      <c r="A224" s="70"/>
      <c r="B224" s="233"/>
      <c r="C224" s="236" t="str">
        <f>IF(L="EN","'- delivery
- transport
- placing and connecting
- notes on dismantling of the machine","'- Anlieferung
- Transport
- Aufstellung und Anschluss
- Lagerung und Konservierung")</f>
        <v>'- delivery
- transport
- placing and connecting
- notes on dismantling of the machine</v>
      </c>
      <c r="D224" s="471" t="str">
        <f>IF(L="EN","- Storage and preservation
- dismantling and installing devices
- dimensions and weights","'- Hinweise zum Abbau der Maschine
- Aus- und Einbau von Aggregaten
- Abmessungen und Gewichte")</f>
        <v>- Storage and preservation
- dismantling and installing devices
- dimensions and weights</v>
      </c>
      <c r="E224" s="471"/>
      <c r="F224" s="471"/>
      <c r="G224" s="471"/>
      <c r="H224" s="471"/>
      <c r="I224" s="240"/>
      <c r="N224" s="331"/>
      <c r="O224" s="331"/>
    </row>
    <row r="225" spans="1:15" s="71" customFormat="1" x14ac:dyDescent="0.2">
      <c r="A225" s="70"/>
      <c r="B225" s="238" t="s">
        <v>6</v>
      </c>
      <c r="C225" s="239" t="str">
        <f>IF(L="EN","Description of the machine","Beschreibung der Maschine")</f>
        <v>Description of the machine</v>
      </c>
      <c r="D225" s="165"/>
      <c r="E225" s="165"/>
      <c r="F225" s="165"/>
      <c r="G225" s="437"/>
      <c r="H225" s="437"/>
      <c r="I225" s="161"/>
      <c r="N225" s="331"/>
      <c r="O225" s="331"/>
    </row>
    <row r="226" spans="1:15" s="71" customFormat="1" ht="22.5" x14ac:dyDescent="0.2">
      <c r="A226" s="70"/>
      <c r="B226" s="233"/>
      <c r="C226" s="236" t="str">
        <f>IF(L="EN","'- description of the mechanical functions
- description of the stations","'- Funktionsbeschreibung Mechanik
- Stationsbeschreibung")</f>
        <v>'- description of the mechanical functions
- description of the stations</v>
      </c>
      <c r="D226" s="470" t="str">
        <f>IF(L="EN","'- assembly overview
- technical data","'- Baugruppenübersicht
- Technische Daten")</f>
        <v>'- assembly overview
- technical data</v>
      </c>
      <c r="E226" s="471"/>
      <c r="F226" s="471"/>
      <c r="G226" s="471"/>
      <c r="H226" s="471"/>
      <c r="I226" s="161"/>
      <c r="N226" s="331"/>
      <c r="O226" s="331"/>
    </row>
    <row r="227" spans="1:15" s="71" customFormat="1" x14ac:dyDescent="0.2">
      <c r="A227" s="70"/>
      <c r="B227" s="238" t="s">
        <v>7</v>
      </c>
      <c r="C227" s="239" t="str">
        <f>IF(L="EN","Operating the Machine","Bedienung der Maschine")</f>
        <v>Operating the Machine</v>
      </c>
      <c r="D227" s="165"/>
      <c r="E227" s="165"/>
      <c r="F227" s="165"/>
      <c r="G227" s="437"/>
      <c r="H227" s="437"/>
      <c r="I227" s="161"/>
      <c r="N227" s="331"/>
      <c r="O227" s="331"/>
    </row>
    <row r="228" spans="1:15" s="71" customFormat="1" ht="22.5" x14ac:dyDescent="0.2">
      <c r="A228" s="70"/>
      <c r="B228" s="233"/>
      <c r="C228" s="236" t="str">
        <f>IF(L="EN","'- Operating instructions
- start-up","'- Bedienungsanleitung
- Inbetriebnahme")</f>
        <v>'- Operating instructions
- start-up</v>
      </c>
      <c r="D228" s="471" t="str">
        <f>IF(L="EN","- modes of operations
- control desk/ panel","'- Betriebsarten
- Bedienpult/Bedientableau")</f>
        <v>- modes of operations
- control desk/ panel</v>
      </c>
      <c r="E228" s="471"/>
      <c r="F228" s="471"/>
      <c r="G228" s="471"/>
      <c r="H228" s="471"/>
      <c r="I228" s="161"/>
      <c r="N228" s="331"/>
      <c r="O228" s="331"/>
    </row>
    <row r="229" spans="1:15" s="71" customFormat="1" x14ac:dyDescent="0.2">
      <c r="A229" s="70"/>
      <c r="B229" s="238" t="s">
        <v>8</v>
      </c>
      <c r="C229" s="239" t="str">
        <f>IF(L="EN","Actions in case of failure","Verhalten bei Störungen")</f>
        <v>Actions in case of failure</v>
      </c>
      <c r="D229" s="165"/>
      <c r="E229" s="165"/>
      <c r="F229" s="165"/>
      <c r="G229" s="437"/>
      <c r="H229" s="437"/>
      <c r="I229" s="161"/>
      <c r="N229" s="331"/>
      <c r="O229" s="331"/>
    </row>
    <row r="230" spans="1:15" s="71" customFormat="1" ht="22.5" x14ac:dyDescent="0.2">
      <c r="A230" s="70"/>
      <c r="B230" s="233"/>
      <c r="C230" s="236" t="str">
        <f>IF(L="EN","'-Hotline-/Service number of installation supplier
- Procedure for failure control","'- Hotline-/Service-Nummer des Anlagenlieferanten
- Vorgehensweise zur Störungsbeseitigung")</f>
        <v>'-Hotline-/Service number of installation supplier
- Procedure for failure control</v>
      </c>
      <c r="D230" s="232"/>
      <c r="E230" s="232"/>
      <c r="F230" s="232"/>
      <c r="G230" s="232"/>
      <c r="H230" s="232"/>
      <c r="I230" s="161"/>
      <c r="N230" s="331"/>
      <c r="O230" s="331"/>
    </row>
    <row r="231" spans="1:15" s="71" customFormat="1" x14ac:dyDescent="0.2">
      <c r="A231" s="70"/>
      <c r="B231" s="233"/>
      <c r="C231" s="236"/>
      <c r="D231" s="232"/>
      <c r="E231" s="232"/>
      <c r="F231" s="232"/>
      <c r="G231" s="232"/>
      <c r="H231" s="232"/>
      <c r="I231" s="161"/>
      <c r="N231" s="331"/>
      <c r="O231" s="331"/>
    </row>
    <row r="232" spans="1:15" s="71" customFormat="1" x14ac:dyDescent="0.2">
      <c r="A232" s="70"/>
      <c r="B232" s="238" t="s">
        <v>9</v>
      </c>
      <c r="C232" s="239" t="str">
        <f>IF(L="EN","Changeover, Calibration","Umrüsten, Kalibrieren")</f>
        <v>Changeover, Calibration</v>
      </c>
      <c r="D232" s="165"/>
      <c r="E232" s="165"/>
      <c r="F232" s="165"/>
      <c r="G232" s="437"/>
      <c r="H232" s="437"/>
      <c r="I232" s="161"/>
      <c r="N232" s="331"/>
      <c r="O232" s="331"/>
    </row>
    <row r="233" spans="1:15" s="71" customFormat="1" ht="29.25" customHeight="1" x14ac:dyDescent="0.2">
      <c r="A233" s="70"/>
      <c r="B233" s="233"/>
      <c r="C233" s="237" t="str">
        <f>IF(L="EN","'- changeover
- calibration","'- Umrüsten
- Kalibrieren")</f>
        <v>'- changeover
- calibration</v>
      </c>
      <c r="D233" s="232"/>
      <c r="E233" s="232"/>
      <c r="F233" s="232"/>
      <c r="G233" s="232"/>
      <c r="H233" s="232"/>
      <c r="I233" s="161"/>
      <c r="N233" s="331"/>
      <c r="O233" s="331"/>
    </row>
    <row r="234" spans="1:15" s="71" customFormat="1" ht="29.25" customHeight="1" x14ac:dyDescent="0.2">
      <c r="A234" s="70"/>
      <c r="B234" s="233"/>
      <c r="C234" s="236"/>
      <c r="D234" s="232"/>
      <c r="E234" s="232"/>
      <c r="F234" s="232"/>
      <c r="G234" s="232"/>
      <c r="H234" s="232"/>
      <c r="I234" s="161"/>
      <c r="N234" s="331"/>
      <c r="O234" s="331"/>
    </row>
    <row r="235" spans="1:15" s="71" customFormat="1" ht="29.25" customHeight="1" thickBot="1" x14ac:dyDescent="0.25">
      <c r="A235" s="70"/>
      <c r="B235" s="233"/>
      <c r="C235" s="236"/>
      <c r="D235" s="232"/>
      <c r="E235" s="232"/>
      <c r="F235" s="232"/>
      <c r="G235" s="232"/>
      <c r="H235" s="232"/>
      <c r="I235" s="161"/>
      <c r="N235" s="331"/>
      <c r="O235" s="331"/>
    </row>
    <row r="236" spans="1:15" s="71" customFormat="1" ht="19.5" customHeight="1" x14ac:dyDescent="0.2">
      <c r="A236" s="419"/>
      <c r="B236" s="420"/>
      <c r="C236" s="423" t="str">
        <f>IF(L="EN","C/MPE Acceptance Report","C/MPE Abnahmeprotokoll")</f>
        <v>C/MPE Acceptance Report</v>
      </c>
      <c r="D236" s="423"/>
      <c r="E236" s="423"/>
      <c r="F236" s="424"/>
      <c r="G236" s="136" t="str">
        <f>IF(L="EN","Issue:","Ausgabe")</f>
        <v>Issue:</v>
      </c>
      <c r="H236" s="154" t="str">
        <f>IF(L="EN","Page","Blatt")</f>
        <v>Page</v>
      </c>
      <c r="I236" s="58"/>
      <c r="N236" s="331"/>
      <c r="O236" s="331"/>
    </row>
    <row r="237" spans="1:15" s="71" customFormat="1" ht="19.5" customHeight="1" thickBot="1" x14ac:dyDescent="0.25">
      <c r="A237" s="421"/>
      <c r="B237" s="422"/>
      <c r="C237" s="425"/>
      <c r="D237" s="425"/>
      <c r="E237" s="425"/>
      <c r="F237" s="426"/>
      <c r="G237" s="350" t="s">
        <v>433</v>
      </c>
      <c r="H237" s="156" t="s">
        <v>401</v>
      </c>
      <c r="I237" s="58"/>
      <c r="N237" s="331"/>
      <c r="O237" s="331"/>
    </row>
    <row r="238" spans="1:15" s="71" customFormat="1" ht="13.5" customHeight="1" thickBot="1" x14ac:dyDescent="0.25">
      <c r="A238" s="167" t="str">
        <f>IF(L="EN","section","Kapitel")</f>
        <v>section</v>
      </c>
      <c r="B238" s="427" t="str">
        <f>IF(L="EN","items to be checked","Prüfmerkmale")</f>
        <v>items to be checked</v>
      </c>
      <c r="C238" s="427"/>
      <c r="D238" s="168" t="s">
        <v>17</v>
      </c>
      <c r="E238" s="169" t="s">
        <v>18</v>
      </c>
      <c r="F238" s="170" t="s">
        <v>19</v>
      </c>
      <c r="G238" s="428" t="str">
        <f>IF(L="EN","remark","Bemerkung")</f>
        <v>remark</v>
      </c>
      <c r="H238" s="428"/>
      <c r="I238" s="58"/>
      <c r="N238" s="331"/>
      <c r="O238" s="331"/>
    </row>
    <row r="239" spans="1:15" s="71" customFormat="1" ht="14.25" customHeight="1" x14ac:dyDescent="0.2">
      <c r="A239" s="70"/>
      <c r="B239" s="199"/>
      <c r="C239" s="187"/>
      <c r="D239" s="165"/>
      <c r="E239" s="165"/>
      <c r="F239" s="165"/>
      <c r="G239" s="202"/>
      <c r="H239" s="202"/>
      <c r="I239" s="161"/>
      <c r="N239" s="331"/>
      <c r="O239" s="331"/>
    </row>
    <row r="240" spans="1:15" s="71" customFormat="1" ht="12.75" customHeight="1" x14ac:dyDescent="0.2">
      <c r="A240" s="70"/>
      <c r="B240" s="238" t="s">
        <v>10</v>
      </c>
      <c r="C240" s="239" t="str">
        <f>IF(L="EN","Appendix","Anhang")</f>
        <v>Appendix</v>
      </c>
      <c r="D240" s="165"/>
      <c r="E240" s="165"/>
      <c r="F240" s="165"/>
      <c r="G240" s="437"/>
      <c r="H240" s="437"/>
      <c r="I240" s="161"/>
      <c r="N240" s="331"/>
      <c r="O240" s="331"/>
    </row>
    <row r="241" spans="1:18" ht="33.75" x14ac:dyDescent="0.2">
      <c r="A241" s="70"/>
      <c r="B241" s="233"/>
      <c r="C241" s="236" t="str">
        <f>IF(L="EN","'- EG-Declaration of Conformity
- Declaration of incorporation
- Assembly declaration and instructions ( incomplete MAE)","EG-Konformitätserklärung
Einbauerklärung
Montageanleitung
Sicherheitsdatenblatt
Lieferumfang Dokumentation")</f>
        <v>'- EG-Declaration of Conformity
- Declaration of incorporation
- Assembly declaration and instructions ( incomplete MAE)</v>
      </c>
      <c r="D241" s="471" t="s">
        <v>55</v>
      </c>
      <c r="E241" s="471"/>
      <c r="F241" s="471"/>
      <c r="G241" s="471"/>
      <c r="H241" s="471"/>
      <c r="I241" s="241"/>
      <c r="M241" s="470"/>
      <c r="N241" s="470"/>
      <c r="O241" s="470"/>
      <c r="P241" s="470"/>
      <c r="Q241" s="470"/>
      <c r="R241" s="470"/>
    </row>
    <row r="242" spans="1:18" s="71" customFormat="1" ht="20.100000000000001" customHeight="1" x14ac:dyDescent="0.2">
      <c r="A242" s="70" t="s">
        <v>56</v>
      </c>
      <c r="B242" s="204" t="str">
        <f>IF(L="EN","Folder 2 - Maintenance","Ordner 2 - Instandhaltung")</f>
        <v>Folder 2 - Maintenance</v>
      </c>
      <c r="C242" s="239"/>
      <c r="D242" s="165"/>
      <c r="E242" s="165"/>
      <c r="F242" s="165"/>
      <c r="G242" s="364"/>
      <c r="H242" s="364"/>
      <c r="I242" s="161"/>
      <c r="M242" s="470"/>
      <c r="N242" s="470"/>
      <c r="O242" s="470"/>
      <c r="P242" s="470"/>
      <c r="Q242" s="470"/>
      <c r="R242" s="470"/>
    </row>
    <row r="243" spans="1:18" s="71" customFormat="1" ht="12.75" customHeight="1" x14ac:dyDescent="0.2">
      <c r="A243" s="70"/>
      <c r="B243" s="232"/>
      <c r="C243" s="508" t="str">
        <f>IF(L="EN","Documents and notes for maintenance including all purchased mechanical and electrical equipments","Unterlagen und Hinweise zur Instandhaltung inkl. aller Zukaufgeräte Mechanik und Elektrik")</f>
        <v>Documents and notes for maintenance including all purchased mechanical and electrical equipments</v>
      </c>
      <c r="D243" s="508"/>
      <c r="E243" s="508"/>
      <c r="F243" s="508"/>
      <c r="G243" s="508"/>
      <c r="H243" s="508"/>
      <c r="I243" s="161"/>
      <c r="M243" s="470"/>
      <c r="N243" s="470"/>
      <c r="O243" s="470"/>
      <c r="P243" s="470"/>
      <c r="Q243" s="470"/>
      <c r="R243" s="470"/>
    </row>
    <row r="244" spans="1:18" s="71" customFormat="1" ht="20.100000000000001" customHeight="1" x14ac:dyDescent="0.2">
      <c r="A244" s="70"/>
      <c r="B244" s="232"/>
      <c r="C244" s="507" t="str">
        <f>IF(L="EN"," Instruction for operating and working","Bedien- und Arbeitshinweise")</f>
        <v xml:space="preserve"> Instruction for operating and working</v>
      </c>
      <c r="D244" s="507"/>
      <c r="E244" s="507"/>
      <c r="F244" s="507"/>
      <c r="G244" s="507"/>
      <c r="H244" s="507"/>
      <c r="I244" s="161"/>
      <c r="M244" s="470"/>
      <c r="N244" s="470"/>
      <c r="O244" s="470"/>
      <c r="P244" s="470"/>
      <c r="Q244" s="470"/>
      <c r="R244" s="470"/>
    </row>
    <row r="245" spans="1:18" s="71" customFormat="1" ht="12.75" customHeight="1" x14ac:dyDescent="0.2">
      <c r="A245" s="70"/>
      <c r="B245" s="232"/>
      <c r="C245" s="507" t="str">
        <f>IF(L="EN"," Maintenance schedule (if possible with estimated  time), Lubrication schedule (DIN 8659, Part 2)","Wartungsplan (nach Möglichkeit mit Abschätzung Zeitaufwand), Schmierplan (DIN 8659, Teil 2)")</f>
        <v xml:space="preserve"> Maintenance schedule (if possible with estimated  time), Lubrication schedule (DIN 8659, Part 2)</v>
      </c>
      <c r="D245" s="507"/>
      <c r="E245" s="507"/>
      <c r="F245" s="507"/>
      <c r="G245" s="507"/>
      <c r="H245" s="507"/>
      <c r="I245" s="242"/>
      <c r="M245" s="470"/>
      <c r="N245" s="470"/>
      <c r="O245" s="470"/>
      <c r="P245" s="470"/>
      <c r="Q245" s="470"/>
      <c r="R245" s="470"/>
    </row>
    <row r="246" spans="1:18" s="71" customFormat="1" x14ac:dyDescent="0.2">
      <c r="A246" s="70"/>
      <c r="B246" s="232"/>
      <c r="C246" s="339" t="str">
        <f>IF(L="EN","Spare parts with order reference","Ersatzteilbestellhinweise")</f>
        <v>Spare parts with order reference</v>
      </c>
      <c r="D246" s="339"/>
      <c r="E246" s="339"/>
      <c r="F246" s="339"/>
      <c r="G246" s="339"/>
      <c r="H246" s="339"/>
      <c r="I246" s="161"/>
      <c r="N246" s="331"/>
      <c r="O246" s="331"/>
    </row>
    <row r="247" spans="1:18" s="71" customFormat="1" x14ac:dyDescent="0.2">
      <c r="A247" s="70"/>
      <c r="B247" s="232"/>
      <c r="C247" s="507" t="str">
        <f>IF(L="EN"," Replacement, wear parts and tool list (separately mechanical / electrical )","Ersatz-, Verschleißteil-, Werkzeug-Liste (Unterscheidung Mechanik/Elektrik)")</f>
        <v xml:space="preserve"> Replacement, wear parts and tool list (separately mechanical / electrical )</v>
      </c>
      <c r="D247" s="507"/>
      <c r="E247" s="507"/>
      <c r="F247" s="507"/>
      <c r="G247" s="507"/>
      <c r="H247" s="507"/>
      <c r="I247" s="161"/>
      <c r="N247" s="331"/>
      <c r="O247" s="331"/>
    </row>
    <row r="248" spans="1:18" s="71" customFormat="1" x14ac:dyDescent="0.2">
      <c r="A248" s="70" t="s">
        <v>57</v>
      </c>
      <c r="B248" s="204" t="str">
        <f>IF(L="EN","Folder  3 - Mechanical parts list","Ordner 3 - Stückliste Mechanik")</f>
        <v>Folder  3 - Mechanical parts list</v>
      </c>
      <c r="C248" s="239"/>
      <c r="D248" s="165"/>
      <c r="E248" s="165"/>
      <c r="F248" s="165"/>
      <c r="G248" s="364"/>
      <c r="H248" s="364"/>
      <c r="I248" s="161"/>
      <c r="N248" s="331"/>
      <c r="O248" s="331"/>
    </row>
    <row r="249" spans="1:18" s="71" customFormat="1" x14ac:dyDescent="0.2">
      <c r="A249" s="70"/>
      <c r="B249" s="232"/>
      <c r="C249" s="470" t="str">
        <f>IF(L="EN","'- In the parts lists norm parts and external procurement parts have to be recognizable
  under specification of supplier definition and the number
- all parts lists (including standard assemblies, calibration parts, change parts)","'- in den StüLi mechanisch müssen Fremdbezugs- und Normteile erkennbar sein 
  unter Angabe von Herstellerbezeichn. und -nummer
- alle StüLi (inkl. Standard-Baugruppen, Kalibrierteile, Wechselteile)")</f>
        <v>'- In the parts lists norm parts and external procurement parts have to be recognizable
  under specification of supplier definition and the number
- all parts lists (including standard assemblies, calibration parts, change parts)</v>
      </c>
      <c r="D249" s="470"/>
      <c r="E249" s="470"/>
      <c r="F249" s="470"/>
      <c r="G249" s="470"/>
      <c r="H249" s="470"/>
      <c r="I249" s="161"/>
      <c r="N249" s="331"/>
      <c r="O249" s="331"/>
    </row>
    <row r="250" spans="1:18" s="71" customFormat="1" x14ac:dyDescent="0.2">
      <c r="A250" s="70"/>
      <c r="B250" s="232"/>
      <c r="C250" s="470"/>
      <c r="D250" s="470"/>
      <c r="E250" s="470"/>
      <c r="F250" s="470"/>
      <c r="G250" s="470"/>
      <c r="H250" s="470"/>
      <c r="I250" s="161"/>
      <c r="N250" s="331"/>
      <c r="O250" s="331"/>
    </row>
    <row r="251" spans="1:18" s="71" customFormat="1" x14ac:dyDescent="0.2">
      <c r="A251" s="70"/>
      <c r="B251" s="232"/>
      <c r="C251" s="470"/>
      <c r="D251" s="470"/>
      <c r="E251" s="470"/>
      <c r="F251" s="470"/>
      <c r="G251" s="470"/>
      <c r="H251" s="470"/>
      <c r="I251" s="161"/>
      <c r="N251" s="331"/>
      <c r="O251" s="331"/>
    </row>
    <row r="252" spans="1:18" s="71" customFormat="1" x14ac:dyDescent="0.2">
      <c r="A252" s="70" t="s">
        <v>58</v>
      </c>
      <c r="B252" s="204" t="str">
        <f>IF(L="EN","Folder 4 - Mechanical Drawings","Ordner 4 - Zeichnungen Mechanik")</f>
        <v>Folder 4 - Mechanical Drawings</v>
      </c>
      <c r="C252" s="239"/>
      <c r="D252" s="165"/>
      <c r="E252" s="165"/>
      <c r="F252" s="165"/>
      <c r="G252" s="364"/>
      <c r="H252" s="364"/>
      <c r="I252" s="161"/>
      <c r="N252" s="331"/>
      <c r="O252" s="331"/>
    </row>
    <row r="253" spans="1:18" s="71" customFormat="1" ht="12.75" customHeight="1" x14ac:dyDescent="0.2">
      <c r="A253" s="70"/>
      <c r="B253" s="232"/>
      <c r="C253" s="338" t="str">
        <f>IF(L="EN","All sub-assembly drawings including standard components","alle Baugruppenzeichnungen inkl. Standardbaugruppen")</f>
        <v>All sub-assembly drawings including standard components</v>
      </c>
      <c r="D253" s="338"/>
      <c r="E253" s="338"/>
      <c r="F253" s="338"/>
      <c r="G253" s="338"/>
      <c r="H253" s="338"/>
      <c r="I253" s="161"/>
      <c r="N253" s="331"/>
      <c r="O253" s="331"/>
    </row>
    <row r="254" spans="1:18" s="71" customFormat="1" x14ac:dyDescent="0.2">
      <c r="A254" s="70"/>
      <c r="B254" s="232"/>
      <c r="C254" s="338" t="str">
        <f>IF(L="EN","Wear parts,toolings or workdays,drawing of measuring and inspection equipment","Verschleißteil-, Werkzeug- bzw. werkstückbezogene Zeichnungen, Prüfmittelzeichnungen")</f>
        <v>Wear parts,toolings or workdays,drawing of measuring and inspection equipment</v>
      </c>
      <c r="D254" s="338"/>
      <c r="E254" s="338"/>
      <c r="F254" s="338"/>
      <c r="G254" s="338"/>
      <c r="H254" s="338"/>
      <c r="I254" s="161"/>
      <c r="J254" s="470"/>
      <c r="K254" s="470"/>
      <c r="L254" s="470"/>
      <c r="M254" s="470"/>
      <c r="N254" s="470"/>
      <c r="O254" s="470"/>
    </row>
    <row r="255" spans="1:18" s="71" customFormat="1" x14ac:dyDescent="0.2">
      <c r="A255" s="70"/>
      <c r="B255" s="232"/>
      <c r="C255" s="472" t="str">
        <f>IF(L="EN","Pneumatics and hydraulics charts preferably in BR- Interaktive Fluidic Office, cooling lubricants- schedules ","Pneumatik- und Hydraulik-Schemata vorzugsweise in BR-Interaktive Fluidic Office, Kühl-Schmiermittelpläne und -Schemata")</f>
        <v xml:space="preserve">Pneumatics and hydraulics charts preferably in BR- Interaktive Fluidic Office, cooling lubricants- schedules </v>
      </c>
      <c r="D255" s="472"/>
      <c r="E255" s="472"/>
      <c r="F255" s="472"/>
      <c r="G255" s="472"/>
      <c r="H255" s="472"/>
      <c r="I255" s="243"/>
      <c r="J255" s="470"/>
      <c r="K255" s="470"/>
      <c r="L255" s="470"/>
      <c r="M255" s="470"/>
      <c r="N255" s="470"/>
      <c r="O255" s="470"/>
    </row>
    <row r="256" spans="1:18" s="71" customFormat="1" x14ac:dyDescent="0.2">
      <c r="A256" s="70" t="s">
        <v>59</v>
      </c>
      <c r="B256" s="204" t="str">
        <f>IF(L="EN","Folder 5 -Catalog parts mechanics/electrics (pur. devices)","Ordner 5 - Katalogteile-Mechanik/Elektrik (Zukaufgeräte)")</f>
        <v>Folder 5 -Catalog parts mechanics/electrics (pur. devices)</v>
      </c>
      <c r="C256" s="239"/>
      <c r="D256" s="165"/>
      <c r="E256" s="165"/>
      <c r="F256" s="165"/>
      <c r="G256" s="364"/>
      <c r="H256" s="364"/>
      <c r="I256" s="161"/>
      <c r="J256" s="470"/>
      <c r="K256" s="470"/>
      <c r="L256" s="470"/>
      <c r="M256" s="470"/>
      <c r="N256" s="470"/>
      <c r="O256" s="470"/>
    </row>
    <row r="257" spans="1:15" s="71" customFormat="1" x14ac:dyDescent="0.2">
      <c r="A257" s="70"/>
      <c r="B257" s="232"/>
      <c r="C257" s="470" t="str">
        <f>IF(L="EN","'- Sorted alphabetically according to supplier
- Technical documents
- Operating instructions","'- alphabetisch sortiert nach Lieferant
- techn. Unterlagen
- Bedienungsanleitungen")</f>
        <v>'- Sorted alphabetically according to supplier
- Technical documents
- Operating instructions</v>
      </c>
      <c r="D257" s="470"/>
      <c r="E257" s="470"/>
      <c r="F257" s="470"/>
      <c r="G257" s="470"/>
      <c r="H257" s="470"/>
      <c r="I257" s="161"/>
      <c r="N257" s="331"/>
      <c r="O257" s="331"/>
    </row>
    <row r="258" spans="1:15" s="71" customFormat="1" x14ac:dyDescent="0.2">
      <c r="A258" s="70"/>
      <c r="B258" s="232"/>
      <c r="C258" s="470"/>
      <c r="D258" s="470"/>
      <c r="E258" s="470"/>
      <c r="F258" s="470"/>
      <c r="G258" s="470"/>
      <c r="H258" s="470"/>
      <c r="I258" s="161"/>
      <c r="N258" s="331"/>
      <c r="O258" s="331"/>
    </row>
    <row r="259" spans="1:15" s="71" customFormat="1" x14ac:dyDescent="0.2">
      <c r="A259" s="70"/>
      <c r="B259" s="232"/>
      <c r="C259" s="470"/>
      <c r="D259" s="470"/>
      <c r="E259" s="470"/>
      <c r="F259" s="470"/>
      <c r="G259" s="470"/>
      <c r="H259" s="470"/>
      <c r="I259" s="161"/>
      <c r="N259" s="331"/>
      <c r="O259" s="331"/>
    </row>
    <row r="260" spans="1:15" s="71" customFormat="1" x14ac:dyDescent="0.2">
      <c r="A260" s="70" t="s">
        <v>60</v>
      </c>
      <c r="B260" s="204" t="str">
        <f>IF(L="EN","Folder  6 - Electronic documentation","Ordner 6 - Elektrodokumentation")</f>
        <v>Folder  6 - Electronic documentation</v>
      </c>
      <c r="C260" s="239"/>
      <c r="G260" s="364"/>
      <c r="H260" s="364"/>
      <c r="I260" s="161"/>
      <c r="N260" s="331"/>
      <c r="O260" s="331"/>
    </row>
    <row r="261" spans="1:15" s="71" customFormat="1" x14ac:dyDescent="0.2">
      <c r="A261" s="70"/>
      <c r="B261" s="244" t="s">
        <v>4</v>
      </c>
      <c r="C261" s="239" t="s">
        <v>61</v>
      </c>
      <c r="D261" s="165"/>
      <c r="E261" s="165"/>
      <c r="F261" s="165"/>
      <c r="G261" s="364"/>
      <c r="H261" s="364"/>
      <c r="I261" s="161"/>
      <c r="N261" s="331"/>
      <c r="O261" s="331"/>
    </row>
    <row r="262" spans="1:15" s="71" customFormat="1" x14ac:dyDescent="0.2">
      <c r="A262" s="70"/>
      <c r="B262" s="233"/>
      <c r="C262" s="470" t="str">
        <f>IF(L="EN","'- Electronic documentation in E-CAD, preferably EPLAN (see N54 D6) and 1 copy as print-out on paper
- Circuit diagrams and parts list (with manufacturer designation and number) on CD/DVD, 
  via network upon agreement","'- Elektrodokumentation in E-CAD, vorzugsweise EPLAN (siehe N54 D6) und 1x als Papierausdruck
- Stromlaufplan und StüLi (gegl. nach Herstellerbezeichnung und -nummer) auf CD/DVD, 
  nach Absprache über Netzwerk")</f>
        <v>'- Electronic documentation in E-CAD, preferably EPLAN (see N54 D6) and 1 copy as print-out on paper
- Circuit diagrams and parts list (with manufacturer designation and number) on CD/DVD, 
  via network upon agreement</v>
      </c>
      <c r="D262" s="470"/>
      <c r="E262" s="470"/>
      <c r="F262" s="470"/>
      <c r="G262" s="470"/>
      <c r="H262" s="470"/>
      <c r="I262" s="161"/>
      <c r="N262" s="331"/>
      <c r="O262" s="331"/>
    </row>
    <row r="263" spans="1:15" s="71" customFormat="1" x14ac:dyDescent="0.2">
      <c r="A263" s="70"/>
      <c r="B263" s="233"/>
      <c r="C263" s="470"/>
      <c r="D263" s="470"/>
      <c r="E263" s="470"/>
      <c r="F263" s="470"/>
      <c r="G263" s="470"/>
      <c r="H263" s="470"/>
      <c r="I263" s="161"/>
      <c r="N263" s="331"/>
      <c r="O263" s="331"/>
    </row>
    <row r="264" spans="1:15" s="71" customFormat="1" x14ac:dyDescent="0.2">
      <c r="A264" s="70"/>
      <c r="B264" s="233"/>
      <c r="C264" s="470"/>
      <c r="D264" s="470"/>
      <c r="E264" s="470"/>
      <c r="F264" s="470"/>
      <c r="G264" s="470"/>
      <c r="H264" s="470"/>
      <c r="I264" s="161"/>
      <c r="N264" s="331"/>
      <c r="O264" s="331"/>
    </row>
    <row r="265" spans="1:15" s="71" customFormat="1" ht="12.75" customHeight="1" x14ac:dyDescent="0.2">
      <c r="A265" s="70"/>
      <c r="B265" s="244" t="s">
        <v>5</v>
      </c>
      <c r="C265" s="239" t="s">
        <v>62</v>
      </c>
      <c r="D265" s="165"/>
      <c r="E265" s="165"/>
      <c r="F265" s="165"/>
      <c r="G265" s="364"/>
      <c r="H265" s="364"/>
      <c r="I265" s="161"/>
      <c r="N265" s="331"/>
      <c r="O265" s="331"/>
    </row>
    <row r="266" spans="1:15" s="71" customFormat="1" ht="12.75" customHeight="1" x14ac:dyDescent="0.2">
      <c r="A266" s="70"/>
      <c r="B266" s="233"/>
      <c r="C266" s="337" t="str">
        <f>IF(L="EN","'- SPS applications program","'- SPS-Applikations-Programm")</f>
        <v>'- SPS applications program</v>
      </c>
      <c r="D266" s="338"/>
      <c r="E266" s="338"/>
      <c r="F266" s="338"/>
      <c r="G266" s="338"/>
      <c r="H266" s="338"/>
      <c r="I266" s="161"/>
      <c r="J266" s="470"/>
      <c r="K266" s="470"/>
      <c r="L266" s="470"/>
      <c r="M266" s="470"/>
      <c r="N266" s="470"/>
      <c r="O266" s="470"/>
    </row>
    <row r="267" spans="1:15" s="71" customFormat="1" x14ac:dyDescent="0.2">
      <c r="A267" s="70"/>
      <c r="B267" s="233"/>
      <c r="C267" s="337" t="str">
        <f>IF(L="EN","'-Flow chart (function chart or function diagram function description or CTS)","- Ablaufplan (Funktionsplan, Funktionsdiagramm, Funktionsbeschreibung oder CTS)")</f>
        <v>'-Flow chart (function chart or function diagram function description or CTS)</v>
      </c>
      <c r="D267" s="338"/>
      <c r="E267" s="338"/>
      <c r="F267" s="338"/>
      <c r="G267" s="338"/>
      <c r="H267" s="338"/>
      <c r="I267" s="161"/>
      <c r="J267" s="470"/>
      <c r="K267" s="470"/>
      <c r="L267" s="470"/>
      <c r="M267" s="470"/>
      <c r="N267" s="470"/>
      <c r="O267" s="470"/>
    </row>
    <row r="268" spans="1:15" s="71" customFormat="1" x14ac:dyDescent="0.2">
      <c r="A268" s="70"/>
      <c r="B268" s="233"/>
      <c r="C268" s="337" t="str">
        <f>IF(L="EN","'-NC  or other additional programs","- NC- oder sonstige Zusatzprogramme")</f>
        <v>'-NC  or other additional programs</v>
      </c>
      <c r="D268" s="338"/>
      <c r="E268" s="338"/>
      <c r="F268" s="338"/>
      <c r="G268" s="338"/>
      <c r="H268" s="338"/>
      <c r="I268" s="161"/>
      <c r="J268" s="470"/>
      <c r="K268" s="470"/>
      <c r="L268" s="470"/>
      <c r="M268" s="470"/>
      <c r="N268" s="470"/>
      <c r="O268" s="470"/>
    </row>
    <row r="269" spans="1:15" s="71" customFormat="1" x14ac:dyDescent="0.2">
      <c r="A269" s="70"/>
      <c r="B269" s="233"/>
      <c r="C269" s="337" t="str">
        <f>IF(L="EN","'-Parameter sets/ lists and programs of intelligent equipment including necessary Software, Recovery-CD","- Parametersätze/-liste und Programme intelligenter Geräte inkl. evtl. notwendiger Software, Recovery-CD")</f>
        <v>'-Parameter sets/ lists and programs of intelligent equipment including necessary Software, Recovery-CD</v>
      </c>
      <c r="D269" s="338"/>
      <c r="E269" s="338"/>
      <c r="F269" s="338"/>
      <c r="G269" s="338"/>
      <c r="H269" s="338"/>
      <c r="I269" s="161"/>
      <c r="J269" s="470"/>
      <c r="K269" s="470"/>
      <c r="L269" s="470"/>
      <c r="M269" s="470"/>
      <c r="N269" s="470"/>
      <c r="O269" s="470"/>
    </row>
    <row r="270" spans="1:15" s="71" customFormat="1" x14ac:dyDescent="0.2">
      <c r="A270" s="70"/>
      <c r="B270" s="233"/>
      <c r="C270" s="337" t="str">
        <f>IF(L="EN","'-Image operating system PC-Control with description of recovery","- Image Betriebssystem PC-Steuerung mit Beschreibung der Wiederherstellung")</f>
        <v>'-Image operating system PC-Control with description of recovery</v>
      </c>
      <c r="D270" s="338"/>
      <c r="E270" s="338"/>
      <c r="F270" s="338"/>
      <c r="G270" s="338"/>
      <c r="H270" s="338"/>
      <c r="I270" s="161"/>
      <c r="J270" s="470"/>
      <c r="K270" s="470"/>
      <c r="L270" s="470"/>
      <c r="M270" s="470"/>
      <c r="N270" s="470"/>
      <c r="O270" s="470"/>
    </row>
    <row r="271" spans="1:15" s="71" customFormat="1" x14ac:dyDescent="0.2">
      <c r="A271" s="70"/>
      <c r="B271" s="233"/>
      <c r="C271" s="337" t="str">
        <f>IF(L="EN","'-Structured listing in PDF Format (Service) of all software revisions required for functionality (service)","- strukturierte Auflistung aller zur Funktionalität (Service) benötigten Softwareversionen im Format PDF")</f>
        <v>'-Structured listing in PDF Format (Service) of all software revisions required for functionality (service)</v>
      </c>
      <c r="D271" s="338"/>
      <c r="E271" s="338"/>
      <c r="F271" s="338"/>
      <c r="G271" s="338"/>
      <c r="H271" s="338"/>
      <c r="I271" s="161"/>
      <c r="J271" s="470"/>
      <c r="K271" s="470"/>
      <c r="L271" s="470"/>
      <c r="M271" s="470"/>
      <c r="N271" s="470"/>
      <c r="O271" s="470"/>
    </row>
    <row r="272" spans="1:15" s="71" customFormat="1" x14ac:dyDescent="0.2">
      <c r="A272" s="70"/>
      <c r="B272" s="233"/>
      <c r="C272" s="337" t="str">
        <f>IF(L="EN","'-Provision of all data  required for functionality (service) on CD/DVD,via network upon agreement","- Bereitstellung aller zu Funktionalkität (Service) benötigten Daten auf CCD/DVD, ")</f>
        <v>'-Provision of all data  required for functionality (service) on CD/DVD,via network upon agreement</v>
      </c>
      <c r="D272" s="338"/>
      <c r="E272" s="338"/>
      <c r="F272" s="338"/>
      <c r="G272" s="338"/>
      <c r="H272" s="338"/>
      <c r="I272" s="161"/>
      <c r="J272" s="470"/>
      <c r="K272" s="470"/>
      <c r="L272" s="470"/>
      <c r="M272" s="470"/>
      <c r="N272" s="470"/>
      <c r="O272" s="470"/>
    </row>
    <row r="273" spans="1:15" s="71" customFormat="1" x14ac:dyDescent="0.2">
      <c r="A273" s="70"/>
      <c r="B273" s="233"/>
      <c r="I273" s="161"/>
      <c r="J273" s="470"/>
      <c r="K273" s="470"/>
      <c r="L273" s="470"/>
      <c r="M273" s="470"/>
      <c r="N273" s="470"/>
      <c r="O273" s="470"/>
    </row>
    <row r="274" spans="1:15" s="71" customFormat="1" x14ac:dyDescent="0.2">
      <c r="A274" s="70"/>
      <c r="B274" s="233"/>
      <c r="I274" s="161"/>
      <c r="J274" s="470"/>
      <c r="K274" s="470"/>
      <c r="L274" s="470"/>
      <c r="M274" s="470"/>
      <c r="N274" s="470"/>
      <c r="O274" s="470"/>
    </row>
    <row r="275" spans="1:15" s="71" customFormat="1" x14ac:dyDescent="0.2">
      <c r="A275" s="70"/>
      <c r="B275" s="244" t="s">
        <v>6</v>
      </c>
      <c r="C275" s="239" t="str">
        <f>IF(L="EN","Network","Netzwerk")</f>
        <v>Network</v>
      </c>
      <c r="D275" s="165"/>
      <c r="E275" s="165"/>
      <c r="F275" s="165"/>
      <c r="G275" s="364"/>
      <c r="H275" s="364"/>
      <c r="I275" s="161"/>
      <c r="N275" s="331"/>
      <c r="O275" s="331"/>
    </row>
    <row r="276" spans="1:15" s="71" customFormat="1" x14ac:dyDescent="0.2">
      <c r="A276" s="70"/>
      <c r="B276" s="233"/>
      <c r="C276" s="470" t="str">
        <f>IF(L="EN","'- Determination of the network connection (e.g. IP-addresses), if required","'- Festlegung der Netzwerkanbindung (z.B. IP-Adressen), falls zutreffend")</f>
        <v>'- Determination of the network connection (e.g. IP-addresses), if required</v>
      </c>
      <c r="D276" s="470"/>
      <c r="E276" s="470"/>
      <c r="F276" s="470"/>
      <c r="G276" s="470"/>
      <c r="H276" s="470"/>
      <c r="I276" s="157"/>
      <c r="N276" s="331"/>
      <c r="O276" s="331"/>
    </row>
    <row r="277" spans="1:15" s="71" customFormat="1" x14ac:dyDescent="0.2">
      <c r="A277" s="58"/>
      <c r="B277" s="245"/>
      <c r="C277" s="470"/>
      <c r="D277" s="470"/>
      <c r="E277" s="470"/>
      <c r="F277" s="470"/>
      <c r="G277" s="470"/>
      <c r="H277" s="470"/>
      <c r="I277" s="161"/>
      <c r="N277" s="331"/>
      <c r="O277" s="331"/>
    </row>
    <row r="278" spans="1:15" s="71" customFormat="1" x14ac:dyDescent="0.2">
      <c r="A278" s="70"/>
      <c r="B278" s="244" t="s">
        <v>7</v>
      </c>
      <c r="C278" s="239" t="str">
        <f>IF(L="EN","Test engineering","Prüftechnik")</f>
        <v>Test engineering</v>
      </c>
      <c r="D278" s="165"/>
      <c r="E278" s="165"/>
      <c r="F278" s="165"/>
      <c r="G278" s="364"/>
      <c r="H278" s="364"/>
      <c r="I278" s="161"/>
      <c r="N278" s="331"/>
      <c r="O278" s="331"/>
    </row>
    <row r="279" spans="1:15" s="71" customFormat="1" x14ac:dyDescent="0.2">
      <c r="A279" s="70"/>
      <c r="B279" s="233"/>
      <c r="C279" s="236" t="str">
        <f>IF(L="EN","Test engineering","Prüftechnik")</f>
        <v>Test engineering</v>
      </c>
      <c r="D279" s="236"/>
      <c r="E279" s="236"/>
      <c r="F279" s="236"/>
      <c r="G279" s="236"/>
      <c r="H279" s="236"/>
      <c r="I279" s="161"/>
      <c r="N279" s="331"/>
      <c r="O279" s="331"/>
    </row>
    <row r="280" spans="1:15" s="71" customFormat="1" x14ac:dyDescent="0.2">
      <c r="A280" s="70" t="s">
        <v>63</v>
      </c>
      <c r="B280" s="204" t="str">
        <f>IF(L="EN","Folder 7 - Inspection documents and certificates","Ordner 7 - Prüfbescheinigungen und Zertifikate")</f>
        <v>Folder 7 - Inspection documents and certificates</v>
      </c>
      <c r="C280" s="239"/>
      <c r="D280" s="165"/>
      <c r="E280" s="165"/>
      <c r="F280" s="165"/>
      <c r="G280" s="364"/>
      <c r="H280" s="364"/>
      <c r="I280" s="161"/>
      <c r="N280" s="331"/>
      <c r="O280" s="331"/>
    </row>
    <row r="281" spans="1:15" s="71" customFormat="1" ht="12.75" customHeight="1" x14ac:dyDescent="0.2">
      <c r="A281" s="70"/>
      <c r="B281" s="232"/>
      <c r="C281" s="337" t="str">
        <f>IF(L="EN","'- Inspection documents and/or test manuals for equipment subject to monitoring (e.g. pressure vessels)","'- Prüfbescheinigungen und/oder Prüfbücher für überwachungspflichtige Einrichtungen (z.B. Druckbehälter)")</f>
        <v>'- Inspection documents and/or test manuals for equipment subject to monitoring (e.g. pressure vessels)</v>
      </c>
      <c r="D281" s="338"/>
      <c r="E281" s="338"/>
      <c r="F281" s="338"/>
      <c r="G281" s="338"/>
      <c r="H281" s="338"/>
      <c r="I281" s="470"/>
      <c r="J281" s="470"/>
      <c r="K281" s="470"/>
      <c r="L281" s="470"/>
      <c r="M281" s="470"/>
      <c r="N281" s="470"/>
      <c r="O281" s="331"/>
    </row>
    <row r="282" spans="1:15" s="71" customFormat="1" x14ac:dyDescent="0.2">
      <c r="A282" s="70"/>
      <c r="B282" s="232"/>
      <c r="C282" s="337" t="str">
        <f>IF(L="EN","'- Inspection reports on safety components","- Prüfprotokolle von Sicherheitskomponenten")</f>
        <v>'- Inspection reports on safety components</v>
      </c>
      <c r="D282" s="338"/>
      <c r="E282" s="338"/>
      <c r="F282" s="338"/>
      <c r="G282" s="338"/>
      <c r="H282" s="338"/>
      <c r="I282" s="470"/>
      <c r="J282" s="470"/>
      <c r="K282" s="470"/>
      <c r="L282" s="470"/>
      <c r="M282" s="470"/>
      <c r="N282" s="470"/>
      <c r="O282" s="331"/>
    </row>
    <row r="283" spans="1:15" s="71" customFormat="1" ht="19.5" customHeight="1" x14ac:dyDescent="0.2">
      <c r="A283" s="70"/>
      <c r="B283" s="232"/>
      <c r="C283" s="337" t="str">
        <f>IF(L="EN","'- Inspection report per DIN EN 60204-1, according N51MM20 provided from supplier. For ATMO: VDE protocol","- Prüfprotokoll nach DIN EN 60204-1 liefert nach N51M M20 der Hersteller. Bei ATMO VDE Protokoll")</f>
        <v>'- Inspection report per DIN EN 60204-1, according N51MM20 provided from supplier. For ATMO: VDE protocol</v>
      </c>
      <c r="D283" s="338"/>
      <c r="E283" s="338"/>
      <c r="F283" s="338"/>
      <c r="G283" s="338"/>
      <c r="H283" s="338"/>
      <c r="I283" s="470"/>
      <c r="J283" s="470"/>
      <c r="K283" s="470"/>
      <c r="L283" s="470"/>
      <c r="M283" s="470"/>
      <c r="N283" s="470"/>
      <c r="O283" s="331"/>
    </row>
    <row r="284" spans="1:15" s="71" customFormat="1" x14ac:dyDescent="0.2">
      <c r="A284" s="70"/>
      <c r="B284" s="232"/>
      <c r="C284" s="337" t="str">
        <f>IF(L="EN","'- BUS-Inspection reports (e.g. ProfiBus-DP, ETHERNET)","- BUS-Prüfprotokolle (z.B. ProfiBus-DP, ETHERNET)")</f>
        <v>'- BUS-Inspection reports (e.g. ProfiBus-DP, ETHERNET)</v>
      </c>
      <c r="D284" s="338"/>
      <c r="E284" s="338"/>
      <c r="F284" s="338"/>
      <c r="G284" s="338"/>
      <c r="H284" s="338"/>
      <c r="I284" s="470"/>
      <c r="J284" s="470"/>
      <c r="K284" s="470"/>
      <c r="L284" s="470"/>
      <c r="M284" s="470"/>
      <c r="N284" s="470"/>
      <c r="O284" s="331"/>
    </row>
    <row r="285" spans="1:15" s="71" customFormat="1" x14ac:dyDescent="0.2">
      <c r="A285" s="70"/>
      <c r="B285" s="232"/>
      <c r="C285" s="337" t="str">
        <f>IF(L="EN","'- Inspection documents/ certificates of catalog parts","- Prüfbescheinigungen/Zertifikate von Katalogteilen")</f>
        <v>'- Inspection documents/ certificates of catalog parts</v>
      </c>
      <c r="D285" s="338"/>
      <c r="E285" s="338"/>
      <c r="F285" s="338"/>
      <c r="G285" s="338"/>
      <c r="H285" s="338"/>
      <c r="I285" s="470"/>
      <c r="J285" s="470"/>
      <c r="K285" s="470"/>
      <c r="L285" s="470"/>
      <c r="M285" s="470"/>
      <c r="N285" s="470"/>
      <c r="O285" s="331"/>
    </row>
    <row r="286" spans="1:15" s="71" customFormat="1" x14ac:dyDescent="0.2">
      <c r="A286" s="70"/>
      <c r="B286" s="232"/>
      <c r="C286" s="337" t="str">
        <f>IF(L="EN","'- Calibration reports (assemblies, manufactured parts)","- Kalibrierprotokolle (Baugruppen, Anfertigungsteilen)")</f>
        <v>'- Calibration reports (assemblies, manufactured parts)</v>
      </c>
      <c r="D286" s="338"/>
      <c r="E286" s="338"/>
      <c r="F286" s="338"/>
      <c r="G286" s="338"/>
      <c r="H286" s="338"/>
      <c r="I286" s="470"/>
      <c r="J286" s="470"/>
      <c r="K286" s="470"/>
      <c r="L286" s="470"/>
      <c r="M286" s="470"/>
      <c r="N286" s="470"/>
      <c r="O286" s="331"/>
    </row>
    <row r="287" spans="1:15" s="71" customFormat="1" x14ac:dyDescent="0.2">
      <c r="A287" s="70"/>
      <c r="B287" s="232"/>
      <c r="C287" s="337" t="str">
        <f>IF(L="EN","'- Other documents (e.g. acceptance papers, machine capability)","- sonstige Unterlagen (z.B. Abnahmepapiere, Maschinenfähigkeit)")</f>
        <v>'- Other documents (e.g. acceptance papers, machine capability)</v>
      </c>
      <c r="D287" s="338"/>
      <c r="E287" s="338"/>
      <c r="F287" s="338"/>
      <c r="G287" s="338"/>
      <c r="H287" s="338"/>
      <c r="I287" s="470"/>
      <c r="J287" s="470"/>
      <c r="K287" s="470"/>
      <c r="L287" s="470"/>
      <c r="M287" s="470"/>
      <c r="N287" s="470"/>
      <c r="O287" s="331"/>
    </row>
    <row r="288" spans="1:15" s="71" customFormat="1" x14ac:dyDescent="0.2">
      <c r="A288" s="70"/>
      <c r="B288" s="232"/>
      <c r="I288" s="470"/>
      <c r="J288" s="470"/>
      <c r="K288" s="470"/>
      <c r="L288" s="470"/>
      <c r="M288" s="470"/>
      <c r="N288" s="470"/>
      <c r="O288" s="331"/>
    </row>
    <row r="289" spans="1:15" s="71" customFormat="1" x14ac:dyDescent="0.2">
      <c r="A289" s="70"/>
      <c r="B289" s="232"/>
      <c r="I289" s="470"/>
      <c r="J289" s="470"/>
      <c r="K289" s="470"/>
      <c r="L289" s="470"/>
      <c r="M289" s="470"/>
      <c r="N289" s="470"/>
      <c r="O289" s="331"/>
    </row>
    <row r="290" spans="1:15" s="71" customFormat="1" ht="13.5" thickBot="1" x14ac:dyDescent="0.25">
      <c r="A290" s="70"/>
      <c r="B290" s="232"/>
      <c r="I290" s="470"/>
      <c r="J290" s="470"/>
      <c r="K290" s="470"/>
      <c r="L290" s="470"/>
      <c r="M290" s="470"/>
      <c r="N290" s="470"/>
      <c r="O290" s="331"/>
    </row>
    <row r="291" spans="1:15" s="71" customFormat="1" ht="12.75" hidden="1" customHeight="1" x14ac:dyDescent="0.25">
      <c r="A291" s="70"/>
      <c r="B291" s="232"/>
      <c r="I291" s="473"/>
      <c r="J291" s="473"/>
      <c r="K291" s="473"/>
      <c r="L291" s="473"/>
      <c r="M291" s="473"/>
      <c r="N291" s="473"/>
      <c r="O291" s="331"/>
    </row>
    <row r="292" spans="1:15" s="71" customFormat="1" ht="19.5" customHeight="1" x14ac:dyDescent="0.2">
      <c r="A292" s="419"/>
      <c r="B292" s="420"/>
      <c r="C292" s="423" t="str">
        <f>IF(L="EN","C/MPE Acceptance Report","C/MPE Abnahmeprotokoll")</f>
        <v>C/MPE Acceptance Report</v>
      </c>
      <c r="D292" s="423"/>
      <c r="E292" s="423"/>
      <c r="F292" s="424"/>
      <c r="G292" s="136" t="str">
        <f>IF(L="EN","Issue:","Ausgabe")</f>
        <v>Issue:</v>
      </c>
      <c r="H292" s="154" t="str">
        <f>IF(L="EN","Page","Blatt")</f>
        <v>Page</v>
      </c>
      <c r="I292" s="58"/>
      <c r="N292" s="331"/>
      <c r="O292" s="331"/>
    </row>
    <row r="293" spans="1:15" s="71" customFormat="1" ht="19.5" customHeight="1" thickBot="1" x14ac:dyDescent="0.25">
      <c r="A293" s="421"/>
      <c r="B293" s="422"/>
      <c r="C293" s="425"/>
      <c r="D293" s="425"/>
      <c r="E293" s="425"/>
      <c r="F293" s="426"/>
      <c r="G293" s="350" t="s">
        <v>433</v>
      </c>
      <c r="H293" s="156" t="s">
        <v>402</v>
      </c>
      <c r="I293" s="58"/>
      <c r="N293" s="331"/>
      <c r="O293" s="331"/>
    </row>
    <row r="294" spans="1:15" s="71" customFormat="1" ht="13.5" customHeight="1" thickBot="1" x14ac:dyDescent="0.25">
      <c r="A294" s="167" t="str">
        <f>IF(L="EN","section","Kapitel")</f>
        <v>section</v>
      </c>
      <c r="B294" s="427" t="str">
        <f>IF(L="EN","items to be checked","Prüfmerkmale")</f>
        <v>items to be checked</v>
      </c>
      <c r="C294" s="427"/>
      <c r="D294" s="168" t="s">
        <v>17</v>
      </c>
      <c r="E294" s="169" t="s">
        <v>18</v>
      </c>
      <c r="F294" s="170" t="s">
        <v>19</v>
      </c>
      <c r="G294" s="428" t="str">
        <f>IF(L="EN","remark","Bemerkung")</f>
        <v>remark</v>
      </c>
      <c r="H294" s="428"/>
      <c r="I294" s="58"/>
      <c r="N294" s="331"/>
      <c r="O294" s="331"/>
    </row>
    <row r="295" spans="1:15" s="71" customFormat="1" x14ac:dyDescent="0.2">
      <c r="A295" s="70"/>
      <c r="B295" s="199"/>
      <c r="C295" s="187"/>
      <c r="D295" s="165"/>
      <c r="E295" s="165"/>
      <c r="F295" s="165"/>
      <c r="G295" s="202"/>
      <c r="H295" s="202"/>
      <c r="I295" s="191"/>
      <c r="N295" s="331"/>
      <c r="O295" s="331"/>
    </row>
    <row r="296" spans="1:15" s="71" customFormat="1" x14ac:dyDescent="0.2">
      <c r="A296" s="70" t="s">
        <v>64</v>
      </c>
      <c r="B296" s="70" t="str">
        <f>IF(L="EN","Other points, that have not been defined by norms","Sonstige Checkpunkte, die nicht durch Normen beschrieben werden")</f>
        <v>Other points, that have not been defined by norms</v>
      </c>
      <c r="C296" s="187"/>
      <c r="D296" s="165"/>
      <c r="E296" s="165"/>
      <c r="F296" s="165"/>
      <c r="G296" s="436"/>
      <c r="H296" s="436"/>
      <c r="I296" s="191"/>
      <c r="N296" s="331"/>
      <c r="O296" s="331"/>
    </row>
    <row r="297" spans="1:15" s="71" customFormat="1" ht="38.25" x14ac:dyDescent="0.2">
      <c r="A297" s="70"/>
      <c r="B297" s="70"/>
      <c r="C297" s="246" t="str">
        <f>IF(L="EN","Are the end positions of loading and unloading equipment independent in all axes and can they be adjusted with sufficent accuracy?","Endstellungen von Be-/Entladeeinrichtungen in allen Achsen unabhängig und mit ausreichender Genauigkeit einstellbar")</f>
        <v>Are the end positions of loading and unloading equipment independent in all axes and can they be adjusted with sufficent accuracy?</v>
      </c>
      <c r="D297" s="165"/>
      <c r="E297" s="165"/>
      <c r="F297" s="165"/>
      <c r="G297" s="437"/>
      <c r="H297" s="437"/>
      <c r="I297" s="191"/>
      <c r="N297" s="331"/>
      <c r="O297" s="331"/>
    </row>
    <row r="298" spans="1:15" s="71" customFormat="1" ht="12.75" customHeight="1" x14ac:dyDescent="0.2">
      <c r="A298" s="70"/>
      <c r="B298" s="70"/>
      <c r="C298" s="246" t="str">
        <f>IF(L="EN","Are workpieces transfered properly by the loading equipment, without interference (jamming or hanging up)?","Werkstücke werden an Beladeeinrichtungen störungsfrei, ohne Hakeln oder Verklemmen übergeben")</f>
        <v>Are workpieces transfered properly by the loading equipment, without interference (jamming or hanging up)?</v>
      </c>
      <c r="D298" s="165"/>
      <c r="E298" s="165"/>
      <c r="F298" s="165"/>
      <c r="G298" s="437"/>
      <c r="H298" s="437"/>
      <c r="I298" s="191"/>
      <c r="N298" s="331"/>
      <c r="O298" s="331"/>
    </row>
    <row r="299" spans="1:15" s="71" customFormat="1" ht="25.5" x14ac:dyDescent="0.2">
      <c r="A299" s="70"/>
      <c r="B299" s="70"/>
      <c r="C299" s="246" t="str">
        <f>IF(L="EN","The loading surface of the cutting tools will be flushed. (to ensure accuracy of the work)","die Auflagefläche bei Werkzeugmaschinen wird gespült (Genauigkeit der Auflage)")</f>
        <v>The loading surface of the cutting tools will be flushed. (to ensure accuracy of the work)</v>
      </c>
      <c r="D299" s="165"/>
      <c r="E299" s="165"/>
      <c r="F299" s="165"/>
      <c r="G299" s="437"/>
      <c r="H299" s="437"/>
      <c r="I299" s="191"/>
      <c r="N299" s="331"/>
      <c r="O299" s="331"/>
    </row>
    <row r="300" spans="1:15" s="71" customFormat="1" x14ac:dyDescent="0.2">
      <c r="A300" s="70"/>
      <c r="B300" s="70"/>
      <c r="C300" s="246" t="str">
        <f>IF(L="EN","Positioning aids for manual loading exist.","Fügehilfen bei manueller Beschickung sind vorhanden")</f>
        <v>Positioning aids for manual loading exist.</v>
      </c>
      <c r="D300" s="165"/>
      <c r="E300" s="165"/>
      <c r="F300" s="165"/>
      <c r="G300" s="437"/>
      <c r="H300" s="437"/>
      <c r="I300" s="191"/>
      <c r="N300" s="331"/>
      <c r="O300" s="331"/>
    </row>
    <row r="301" spans="1:15" s="71" customFormat="1" ht="25.5" x14ac:dyDescent="0.2">
      <c r="A301" s="70"/>
      <c r="B301" s="70"/>
      <c r="C301" s="246" t="str">
        <f>IF(L="EN","There are no detectable wear points at the loading and unloading areas.","es sind keine Verschleißstellen an der Beschickung oder Entladung erkennbar")</f>
        <v>There are no detectable wear points at the loading and unloading areas.</v>
      </c>
      <c r="D301" s="165"/>
      <c r="E301" s="165"/>
      <c r="F301" s="165"/>
      <c r="G301" s="437"/>
      <c r="H301" s="437"/>
      <c r="I301" s="191"/>
      <c r="N301" s="331"/>
      <c r="O301" s="331"/>
    </row>
    <row r="302" spans="1:15" s="71" customFormat="1" ht="38.25" x14ac:dyDescent="0.2">
      <c r="A302" s="70"/>
      <c r="B302" s="70"/>
      <c r="C302" s="246" t="str">
        <f>IF(L="EN","Imageinable part faults which could lead to damage of the equipment are controlled? (e.g. bore diameter too narrow)","denkbare Teilefehler, die zu Schäden an der Maschine führen, werden abgefragt (z.B. zu enge Bohrung)")</f>
        <v>Imageinable part faults which could lead to damage of the equipment are controlled? (e.g. bore diameter too narrow)</v>
      </c>
      <c r="D302" s="165"/>
      <c r="E302" s="165"/>
      <c r="F302" s="165"/>
      <c r="G302" s="437"/>
      <c r="H302" s="437"/>
      <c r="I302" s="191"/>
      <c r="N302" s="331"/>
      <c r="O302" s="331"/>
    </row>
    <row r="303" spans="1:15" s="71" customFormat="1" x14ac:dyDescent="0.2">
      <c r="A303" s="70"/>
      <c r="B303" s="70"/>
      <c r="C303" s="246"/>
      <c r="D303" s="165"/>
      <c r="E303" s="165"/>
      <c r="F303" s="165"/>
      <c r="G303" s="193"/>
      <c r="H303" s="193"/>
      <c r="I303" s="191"/>
      <c r="N303" s="331"/>
      <c r="O303" s="331"/>
    </row>
    <row r="304" spans="1:15" s="71" customFormat="1" x14ac:dyDescent="0.2">
      <c r="A304" s="70"/>
      <c r="B304" s="70" t="str">
        <f>IF(L="EN","where a vibrator feeder is installed:","bei Einsatz von Vibrationsförderern:")</f>
        <v>where a vibrator feeder is installed:</v>
      </c>
      <c r="C304" s="246"/>
      <c r="D304" s="165"/>
      <c r="E304" s="165"/>
      <c r="F304" s="165"/>
      <c r="G304" s="436"/>
      <c r="H304" s="436"/>
      <c r="I304" s="191"/>
      <c r="N304" s="331"/>
      <c r="O304" s="331"/>
    </row>
    <row r="305" spans="1:15" s="71" customFormat="1" ht="25.5" x14ac:dyDescent="0.2">
      <c r="A305" s="70"/>
      <c r="B305" s="70"/>
      <c r="C305" s="187" t="str">
        <f>IF(L="EN","is the vibrating track controlled by a sensor (MIN/MAX-switch)","die Staustrecke wird mit einem Stauschalter überwacht (MIN/MAX-Schaltung)")</f>
        <v>is the vibrating track controlled by a sensor (MIN/MAX-switch)</v>
      </c>
      <c r="D305" s="165"/>
      <c r="E305" s="165"/>
      <c r="F305" s="165"/>
      <c r="G305" s="437"/>
      <c r="H305" s="437"/>
      <c r="I305" s="191"/>
      <c r="N305" s="331"/>
      <c r="O305" s="331"/>
    </row>
    <row r="306" spans="1:15" s="71" customFormat="1" ht="38.25" x14ac:dyDescent="0.2">
      <c r="A306" s="70"/>
      <c r="B306" s="70"/>
      <c r="C306" s="187" t="str">
        <f>IF(L="EN","does the vibrator only get switched on when feeding of parts is requested (noise emission, protection of workpieces)","der Vibrationsförderer wird nur eingeschaltet, wenn eine Förderung notwendig ist (Lärm, Schonung der Werkstücke)")</f>
        <v>does the vibrator only get switched on when feeding of parts is requested (noise emission, protection of workpieces)</v>
      </c>
      <c r="D306" s="165"/>
      <c r="E306" s="165"/>
      <c r="F306" s="165"/>
      <c r="G306" s="437"/>
      <c r="H306" s="437"/>
      <c r="I306" s="191"/>
      <c r="N306" s="331"/>
      <c r="O306" s="331"/>
    </row>
    <row r="307" spans="1:15" s="71" customFormat="1" x14ac:dyDescent="0.2">
      <c r="A307" s="177" t="s">
        <v>6</v>
      </c>
      <c r="B307" s="177" t="str">
        <f>IF(L="EN","Extract from N51M M23","Auszug aus N51M M23")</f>
        <v>Extract from N51M M23</v>
      </c>
      <c r="C307" s="247"/>
      <c r="D307" s="248"/>
      <c r="E307" s="248"/>
      <c r="F307" s="248"/>
      <c r="G307" s="249"/>
      <c r="H307" s="249"/>
      <c r="I307" s="191"/>
      <c r="N307" s="331"/>
      <c r="O307" s="331"/>
    </row>
    <row r="308" spans="1:15" s="71" customFormat="1" x14ac:dyDescent="0.2">
      <c r="A308" s="70"/>
      <c r="B308" s="430" t="str">
        <f>IF(L="EN","Delivery specifications for electrical Measurement- and Testequipment and adjustments  ","Allgemeine Liefervorschriften für elektrische Ausrüstung von Maschinen, Anlagen u. Fertigungseinrichtungen (MAE)")</f>
        <v xml:space="preserve">Delivery specifications for electrical Measurement- and Testequipment and adjustments  </v>
      </c>
      <c r="C308" s="430"/>
      <c r="D308" s="430"/>
      <c r="E308" s="430"/>
      <c r="F308" s="173"/>
      <c r="G308" s="190" t="str">
        <f>IF(L="EN","Issue 09/2011","Ausgabe 09/2011")</f>
        <v>Issue 09/2011</v>
      </c>
      <c r="H308" s="190"/>
      <c r="I308" s="163"/>
      <c r="N308" s="331"/>
      <c r="O308" s="331"/>
    </row>
    <row r="309" spans="1:15" s="71" customFormat="1" x14ac:dyDescent="0.2">
      <c r="A309" s="70"/>
      <c r="B309" s="430"/>
      <c r="C309" s="430"/>
      <c r="D309" s="430"/>
      <c r="E309" s="430"/>
      <c r="F309" s="173"/>
      <c r="G309" s="430"/>
      <c r="H309" s="430"/>
      <c r="I309" s="191"/>
      <c r="N309" s="331"/>
      <c r="O309" s="331"/>
    </row>
    <row r="310" spans="1:15" s="71" customFormat="1" x14ac:dyDescent="0.2">
      <c r="A310" s="70"/>
      <c r="B310" s="180"/>
      <c r="C310" s="187"/>
      <c r="D310" s="173"/>
      <c r="E310" s="173"/>
      <c r="F310" s="173"/>
      <c r="G310" s="430"/>
      <c r="H310" s="430"/>
      <c r="I310" s="161"/>
      <c r="N310" s="331"/>
      <c r="O310" s="331"/>
    </row>
    <row r="311" spans="1:15" s="71" customFormat="1" x14ac:dyDescent="0.2">
      <c r="A311" s="70"/>
      <c r="B311" s="430" t="str">
        <f>IF(L="EN","Scope: Machinery, installations and equipment for carrying out electrical measurement. Inspection and calibration in the field of manufacturing, development and maintenance","Geltungsbereich: Maschinen, Anlagen  u. Einrichtungen zur Durchführung von elektrischen Messungen, Prüfungen und Justagen im Fertigungs-, Entwicklungs- und Instandsetzungsbereich.")</f>
        <v>Scope: Machinery, installations and equipment for carrying out electrical measurement. Inspection and calibration in the field of manufacturing, development and maintenance</v>
      </c>
      <c r="C311" s="430"/>
      <c r="D311" s="430"/>
      <c r="E311" s="430"/>
      <c r="F311" s="430"/>
      <c r="G311" s="430"/>
      <c r="H311" s="430"/>
      <c r="I311" s="161"/>
      <c r="N311" s="331"/>
      <c r="O311" s="331"/>
    </row>
    <row r="312" spans="1:15" s="71" customFormat="1" ht="13.5" customHeight="1" x14ac:dyDescent="0.2">
      <c r="A312" s="70"/>
      <c r="B312" s="430"/>
      <c r="C312" s="430"/>
      <c r="D312" s="430"/>
      <c r="E312" s="430"/>
      <c r="F312" s="430"/>
      <c r="G312" s="430"/>
      <c r="H312" s="430"/>
      <c r="I312" s="161"/>
      <c r="N312" s="331"/>
      <c r="O312" s="331"/>
    </row>
    <row r="313" spans="1:15" s="71" customFormat="1" x14ac:dyDescent="0.2">
      <c r="A313" s="70" t="s">
        <v>65</v>
      </c>
      <c r="B313" s="180" t="str">
        <f>IF(L="EN","Electrical connection values","Anschlusswerte")</f>
        <v>Electrical connection values</v>
      </c>
      <c r="C313" s="187"/>
      <c r="D313" s="173"/>
      <c r="E313" s="173"/>
      <c r="F313" s="173"/>
      <c r="G313" s="430"/>
      <c r="H313" s="430"/>
      <c r="I313" s="161"/>
      <c r="N313" s="331"/>
      <c r="O313" s="331"/>
    </row>
    <row r="314" spans="1:15" s="71" customFormat="1" ht="25.5" x14ac:dyDescent="0.2">
      <c r="A314" s="70"/>
      <c r="B314" s="180"/>
      <c r="C314" s="187" t="str">
        <f>IF(L="EN","are the connection values on the label in accordance with the C/MPE/FL…specifications?","die Anschlusswerte auf dem Typenschild entsprechen den C/MPE / FL...Vorschriften")</f>
        <v>are the connection values on the label in accordance with the C/MPE/FL…specifications?</v>
      </c>
      <c r="D314" s="173"/>
      <c r="E314" s="173"/>
      <c r="F314" s="173"/>
      <c r="G314" s="474"/>
      <c r="H314" s="474"/>
      <c r="I314" s="161"/>
      <c r="N314" s="331"/>
      <c r="O314" s="331"/>
    </row>
    <row r="315" spans="1:15" s="71" customFormat="1" x14ac:dyDescent="0.2">
      <c r="A315" s="70"/>
      <c r="B315" s="180"/>
      <c r="C315" s="187"/>
      <c r="D315" s="173"/>
      <c r="E315" s="173"/>
      <c r="F315" s="173"/>
      <c r="G315" s="430"/>
      <c r="H315" s="430"/>
      <c r="I315" s="161"/>
      <c r="N315" s="331"/>
      <c r="O315" s="331"/>
    </row>
    <row r="316" spans="1:15" s="71" customFormat="1" x14ac:dyDescent="0.2">
      <c r="A316" s="70" t="s">
        <v>66</v>
      </c>
      <c r="B316" s="180" t="str">
        <f>IF(L="EN","Work safety","Arbeitssicherheit")</f>
        <v>Work safety</v>
      </c>
      <c r="C316" s="187"/>
      <c r="D316" s="173"/>
      <c r="E316" s="173"/>
      <c r="F316" s="173"/>
      <c r="G316" s="430"/>
      <c r="H316" s="430"/>
      <c r="I316" s="161"/>
      <c r="N316" s="331"/>
      <c r="O316" s="331"/>
    </row>
    <row r="317" spans="1:15" s="71" customFormat="1" ht="38.25" x14ac:dyDescent="0.2">
      <c r="A317" s="70"/>
      <c r="B317" s="180"/>
      <c r="C317" s="187" t="str">
        <f>IF(L="EN","is there an inspection symbol GS or CE or is there a decleration of conformity with UVV- Accident prevention regulation? ","ein Prüfzeichen „GS“ bzw. „CE“ ist vorhanden bzw. eine Bestätigung über Einhaltung der Unfallverhütungsvorschriften (UVV) liegt vor")</f>
        <v xml:space="preserve">is there an inspection symbol GS or CE or is there a decleration of conformity with UVV- Accident prevention regulation? </v>
      </c>
      <c r="D317" s="173"/>
      <c r="E317" s="173"/>
      <c r="F317" s="173"/>
      <c r="G317" s="474"/>
      <c r="H317" s="474"/>
      <c r="I317" s="161"/>
      <c r="N317" s="331"/>
      <c r="O317" s="331"/>
    </row>
    <row r="318" spans="1:15" s="71" customFormat="1" x14ac:dyDescent="0.2">
      <c r="A318" s="70" t="s">
        <v>67</v>
      </c>
      <c r="B318" s="180" t="str">
        <f>IF(L="EN","Documentation (see Section 2.7)","Dokumentation (siehe Kapitel 2.7)")</f>
        <v>Documentation (see Section 2.7)</v>
      </c>
      <c r="C318" s="187"/>
      <c r="D318" s="250" t="s">
        <v>68</v>
      </c>
      <c r="E318" s="250" t="s">
        <v>68</v>
      </c>
      <c r="F318" s="250" t="s">
        <v>68</v>
      </c>
      <c r="G318" s="430"/>
      <c r="H318" s="430"/>
      <c r="I318" s="161"/>
      <c r="N318" s="331"/>
      <c r="O318" s="331"/>
    </row>
    <row r="319" spans="1:15" s="71" customFormat="1" ht="6.75" customHeight="1" x14ac:dyDescent="0.2">
      <c r="A319" s="70"/>
      <c r="B319" s="180"/>
      <c r="C319" s="187"/>
      <c r="D319" s="173"/>
      <c r="E319" s="173"/>
      <c r="F319" s="173"/>
      <c r="G319" s="430"/>
      <c r="H319" s="430"/>
      <c r="I319" s="161"/>
      <c r="N319" s="331"/>
      <c r="O319" s="331"/>
    </row>
    <row r="320" spans="1:15" s="71" customFormat="1" x14ac:dyDescent="0.2">
      <c r="A320" s="70" t="s">
        <v>69</v>
      </c>
      <c r="B320" s="180" t="str">
        <f>IF(L="EN","Connections, wiring","Leitungen, Verdrahtung")</f>
        <v>Connections, wiring</v>
      </c>
      <c r="C320" s="187"/>
      <c r="D320" s="173"/>
      <c r="E320" s="173"/>
      <c r="F320" s="173"/>
      <c r="G320" s="430"/>
      <c r="H320" s="430"/>
      <c r="I320" s="161"/>
      <c r="N320" s="331"/>
      <c r="O320" s="331"/>
    </row>
    <row r="321" spans="1:15" s="71" customFormat="1" ht="25.5" x14ac:dyDescent="0.2">
      <c r="A321" s="70"/>
      <c r="B321" s="180"/>
      <c r="C321" s="187" t="str">
        <f>IF(L="EN","Is the cable type and the laying designed to meet the expected load?","Kabelart und Verlegung sind entsprechend der zu erwartenden Belastung ausgelegt")</f>
        <v>Is the cable type and the laying designed to meet the expected load?</v>
      </c>
      <c r="D321" s="173"/>
      <c r="E321" s="173"/>
      <c r="F321" s="173"/>
      <c r="G321" s="474"/>
      <c r="H321" s="474"/>
      <c r="I321" s="161"/>
      <c r="N321" s="331"/>
      <c r="O321" s="331"/>
    </row>
    <row r="322" spans="1:15" s="71" customFormat="1" x14ac:dyDescent="0.2">
      <c r="A322" s="70"/>
      <c r="B322" s="180"/>
      <c r="C322" s="180" t="str">
        <f>IF(L="EN","Strain relief for wiring exists","Zugentlastungen sind vorhanden")</f>
        <v>Strain relief for wiring exists</v>
      </c>
      <c r="D322" s="173"/>
      <c r="E322" s="173"/>
      <c r="F322" s="173"/>
      <c r="G322" s="474"/>
      <c r="H322" s="474"/>
      <c r="I322" s="161"/>
      <c r="N322" s="331"/>
      <c r="O322" s="331"/>
    </row>
    <row r="323" spans="1:15" s="71" customFormat="1" ht="38.25" x14ac:dyDescent="0.2">
      <c r="A323" s="70"/>
      <c r="B323" s="190"/>
      <c r="C323" s="200" t="str">
        <f>IF(L="EN","are cable connections prevented from coming loose? (Terminal strips are not permitted to be used as connection cables)","Anschlüsse sind gegen ein Selbstlockern gesichert (Lüsterklemmen sind als Leitungsklemmen verboten)")</f>
        <v>are cable connections prevented from coming loose? (Terminal strips are not permitted to be used as connection cables)</v>
      </c>
      <c r="D323" s="173"/>
      <c r="E323" s="173"/>
      <c r="F323" s="173"/>
      <c r="G323" s="474"/>
      <c r="H323" s="474"/>
      <c r="I323" s="161"/>
      <c r="N323" s="331"/>
      <c r="O323" s="331"/>
    </row>
    <row r="324" spans="1:15" s="71" customFormat="1" ht="6.75" customHeight="1" x14ac:dyDescent="0.2">
      <c r="A324" s="70"/>
      <c r="B324" s="180"/>
      <c r="C324" s="187"/>
      <c r="D324" s="173"/>
      <c r="E324" s="173"/>
      <c r="F324" s="173"/>
      <c r="G324" s="430"/>
      <c r="H324" s="430"/>
      <c r="I324" s="161"/>
      <c r="N324" s="331"/>
      <c r="O324" s="331"/>
    </row>
    <row r="325" spans="1:15" s="71" customFormat="1" x14ac:dyDescent="0.2">
      <c r="A325" s="177" t="s">
        <v>7</v>
      </c>
      <c r="B325" s="177" t="str">
        <f>IF(L="EN","Extract from N51M M23","Auszug aus N51M M23")</f>
        <v>Extract from N51M M23</v>
      </c>
      <c r="C325" s="178"/>
      <c r="D325" s="162"/>
      <c r="E325" s="162"/>
      <c r="F325" s="162"/>
      <c r="G325" s="179"/>
      <c r="H325" s="179"/>
      <c r="I325" s="161"/>
      <c r="N325" s="331"/>
      <c r="O325" s="331"/>
    </row>
    <row r="326" spans="1:15" s="71" customFormat="1" x14ac:dyDescent="0.2">
      <c r="A326" s="70"/>
      <c r="B326" s="430" t="str">
        <f>IF(L="EN","Delivery specifications for electrical and electronic measurements and test machines, installations and equipment ","Allgemeine Liefervorschriften für elektrische Ausrüstung von Maschinen, Anlagen u. Fertigungseinrichtungen (MAE)")</f>
        <v xml:space="preserve">Delivery specifications for electrical and electronic measurements and test machines, installations and equipment </v>
      </c>
      <c r="C326" s="430"/>
      <c r="D326" s="430"/>
      <c r="E326" s="430"/>
      <c r="F326" s="165"/>
      <c r="G326" s="190" t="str">
        <f>IF(L="EN","Issue 09/2011","Ausgabe 09/2011")</f>
        <v>Issue 09/2011</v>
      </c>
      <c r="H326" s="123"/>
      <c r="I326" s="163"/>
      <c r="N326" s="331"/>
      <c r="O326" s="331"/>
    </row>
    <row r="327" spans="1:15" s="71" customFormat="1" x14ac:dyDescent="0.2">
      <c r="A327" s="70"/>
      <c r="B327" s="430"/>
      <c r="C327" s="430"/>
      <c r="D327" s="430"/>
      <c r="E327" s="430"/>
      <c r="F327" s="165"/>
      <c r="G327" s="436"/>
      <c r="H327" s="436"/>
      <c r="I327" s="191"/>
      <c r="N327" s="331"/>
      <c r="O327" s="331"/>
    </row>
    <row r="328" spans="1:15" s="71" customFormat="1" ht="1.5" customHeight="1" x14ac:dyDescent="0.2">
      <c r="A328" s="70"/>
      <c r="B328" s="430"/>
      <c r="C328" s="430"/>
      <c r="D328" s="430"/>
      <c r="E328" s="430"/>
      <c r="F328" s="165"/>
      <c r="G328" s="436"/>
      <c r="H328" s="436"/>
      <c r="I328" s="161"/>
      <c r="N328" s="331"/>
      <c r="O328" s="331"/>
    </row>
    <row r="329" spans="1:15" s="71" customFormat="1" ht="12.75" customHeight="1" x14ac:dyDescent="0.2">
      <c r="A329" s="70"/>
      <c r="B329" s="475" t="str">
        <f>IF(L="EN","Following questions are taken from acceptance protocol of CR/APA3 Electrical inspection in accordance with EN","Folgende Fragen werden aus dem Abnahmeprotokoll der CR / APA3 Elektrische Inspektion nach EN")</f>
        <v>Following questions are taken from acceptance protocol of CR/APA3 Electrical inspection in accordance with EN</v>
      </c>
      <c r="C329" s="475"/>
      <c r="D329" s="475"/>
      <c r="E329" s="475"/>
      <c r="F329" s="475"/>
      <c r="G329" s="475"/>
      <c r="H329" s="475"/>
      <c r="I329" s="161"/>
      <c r="N329" s="331"/>
      <c r="O329" s="331"/>
    </row>
    <row r="330" spans="1:15" s="71" customFormat="1" x14ac:dyDescent="0.2">
      <c r="A330" s="70"/>
      <c r="B330" s="475" t="str">
        <f>IF(L="EN"," 60204-1  and are intended to enable non-electricians to check conformity with Bosch Norms for simple","60204-1 und sollen den Nicht-Elektriker die Möglichkeit bieten, die Übereinstimmung mit Bosch Norms für einfaches zu überprüfen")</f>
        <v xml:space="preserve"> 60204-1  and are intended to enable non-electricians to check conformity with Bosch Norms for simple</v>
      </c>
      <c r="C330" s="475"/>
      <c r="D330" s="475"/>
      <c r="E330" s="475"/>
      <c r="F330" s="475"/>
      <c r="G330" s="475"/>
      <c r="H330" s="475"/>
      <c r="I330" s="191"/>
      <c r="N330" s="331"/>
      <c r="O330" s="331"/>
    </row>
    <row r="331" spans="1:15" s="71" customFormat="1" x14ac:dyDescent="0.2">
      <c r="A331" s="70"/>
      <c r="B331" s="475" t="str">
        <f>IF(L="EN"," machine installations","Maschineninstallationen")</f>
        <v xml:space="preserve"> machine installations</v>
      </c>
      <c r="C331" s="475"/>
      <c r="D331" s="475"/>
      <c r="E331" s="475"/>
      <c r="F331" s="475"/>
      <c r="G331" s="475"/>
      <c r="H331" s="475"/>
      <c r="I331" s="191"/>
      <c r="N331" s="331"/>
      <c r="O331" s="331"/>
    </row>
    <row r="332" spans="1:15" s="71" customFormat="1" ht="13.5" customHeight="1" x14ac:dyDescent="0.2">
      <c r="A332" s="70"/>
      <c r="B332" s="475" t="str">
        <f>IF(L="EN","In case of pre-acceptance by CR/APA3 this set of questions is replaced by the CR/APA3 acceptance protocol.","Bei Abnahme durch CR/APA3 ersetzt das CR/APA3 Abnahmeprotokoll diesen Fragenkatalog.")</f>
        <v>In case of pre-acceptance by CR/APA3 this set of questions is replaced by the CR/APA3 acceptance protocol.</v>
      </c>
      <c r="C332" s="475"/>
      <c r="D332" s="475"/>
      <c r="E332" s="475"/>
      <c r="F332" s="475"/>
      <c r="G332" s="475"/>
      <c r="H332" s="475"/>
      <c r="I332" s="161"/>
      <c r="N332" s="331"/>
      <c r="O332" s="331"/>
    </row>
    <row r="333" spans="1:15" s="71" customFormat="1" ht="13.5" thickBot="1" x14ac:dyDescent="0.25">
      <c r="A333" s="70"/>
      <c r="B333" s="232"/>
      <c r="C333" s="232"/>
      <c r="D333" s="232"/>
      <c r="E333" s="232"/>
      <c r="F333" s="232"/>
      <c r="G333" s="232"/>
      <c r="H333" s="232"/>
      <c r="I333" s="161"/>
      <c r="N333" s="331"/>
      <c r="O333" s="331"/>
    </row>
    <row r="334" spans="1:15" s="71" customFormat="1" ht="19.5" customHeight="1" x14ac:dyDescent="0.2">
      <c r="A334" s="419"/>
      <c r="B334" s="420"/>
      <c r="C334" s="423" t="str">
        <f>IF(L="EN","C/MPE Acceptance Report","C/MPE Abnahmeprotokoll")</f>
        <v>C/MPE Acceptance Report</v>
      </c>
      <c r="D334" s="423"/>
      <c r="E334" s="423"/>
      <c r="F334" s="424"/>
      <c r="G334" s="136" t="str">
        <f>IF(L="EN","Issue:","Ausgabe")</f>
        <v>Issue:</v>
      </c>
      <c r="H334" s="154" t="str">
        <f>IF(L="EN","Page","Blatt")</f>
        <v>Page</v>
      </c>
      <c r="I334" s="58"/>
      <c r="N334" s="331"/>
      <c r="O334" s="331"/>
    </row>
    <row r="335" spans="1:15" s="71" customFormat="1" ht="19.5" customHeight="1" thickBot="1" x14ac:dyDescent="0.25">
      <c r="A335" s="421"/>
      <c r="B335" s="422"/>
      <c r="C335" s="425"/>
      <c r="D335" s="425"/>
      <c r="E335" s="425"/>
      <c r="F335" s="426"/>
      <c r="G335" s="350" t="s">
        <v>433</v>
      </c>
      <c r="H335" s="156" t="s">
        <v>403</v>
      </c>
      <c r="I335" s="58"/>
      <c r="N335" s="331"/>
      <c r="O335" s="331"/>
    </row>
    <row r="336" spans="1:15" s="71" customFormat="1" ht="13.5" customHeight="1" thickBot="1" x14ac:dyDescent="0.25">
      <c r="A336" s="167" t="str">
        <f>IF(L="EN","section","Kapitel")</f>
        <v>section</v>
      </c>
      <c r="B336" s="427" t="str">
        <f>IF(L="EN","items to be checked","Prüfmerkmale")</f>
        <v>items to be checked</v>
      </c>
      <c r="C336" s="427"/>
      <c r="D336" s="168" t="s">
        <v>17</v>
      </c>
      <c r="E336" s="169" t="s">
        <v>18</v>
      </c>
      <c r="F336" s="170" t="s">
        <v>19</v>
      </c>
      <c r="G336" s="428" t="str">
        <f>IF(L="EN","remark","Bemerkung")</f>
        <v>remark</v>
      </c>
      <c r="H336" s="428"/>
      <c r="I336" s="58"/>
      <c r="N336" s="331"/>
      <c r="O336" s="331"/>
    </row>
    <row r="337" spans="1:15" s="71" customFormat="1" x14ac:dyDescent="0.2">
      <c r="A337" s="70"/>
      <c r="B337" s="70"/>
      <c r="C337" s="73"/>
      <c r="D337" s="165"/>
      <c r="E337" s="165"/>
      <c r="F337" s="165"/>
      <c r="G337" s="436"/>
      <c r="H337" s="436"/>
      <c r="I337" s="161"/>
      <c r="N337" s="331"/>
      <c r="O337" s="331"/>
    </row>
    <row r="338" spans="1:15" s="71" customFormat="1" x14ac:dyDescent="0.2">
      <c r="A338" s="70" t="s">
        <v>70</v>
      </c>
      <c r="B338" s="70" t="str">
        <f>IF(L="EN","Inspections, measurements","Prüfungen, Messungen")</f>
        <v>Inspections, measurements</v>
      </c>
      <c r="C338" s="73"/>
      <c r="D338" s="165"/>
      <c r="E338" s="165"/>
      <c r="F338" s="165"/>
      <c r="G338" s="436"/>
      <c r="H338" s="436"/>
      <c r="I338" s="161"/>
      <c r="N338" s="331"/>
      <c r="O338" s="331"/>
    </row>
    <row r="339" spans="1:15" s="71" customFormat="1" ht="38.25" x14ac:dyDescent="0.2">
      <c r="A339" s="70"/>
      <c r="B339" s="123"/>
      <c r="C339" s="73" t="str">
        <f>IF(L="EN","Is there evidence that testing of internal grounding and insulation resistance has been succesfully completed and documented?","das Protokoll über Schutzleiter- und Isolationswiderstandsprüfung liegt vor")</f>
        <v>Is there evidence that testing of internal grounding and insulation resistance has been succesfully completed and documented?</v>
      </c>
      <c r="D339" s="165"/>
      <c r="E339" s="165"/>
      <c r="F339" s="165"/>
      <c r="G339" s="437"/>
      <c r="H339" s="437"/>
      <c r="I339" s="161"/>
      <c r="N339" s="331"/>
      <c r="O339" s="331"/>
    </row>
    <row r="340" spans="1:15" s="71" customFormat="1" ht="25.5" x14ac:dyDescent="0.2">
      <c r="A340" s="70"/>
      <c r="B340" s="123"/>
      <c r="C340" s="73" t="str">
        <f>IF(L="EN","Has ESD Testing (machinery for electronics manufacturing) been completed?","eine ESD-Prüfung (bei Elektronikfertigung) wurde durchgeführt")</f>
        <v>Has ESD Testing (machinery for electronics manufacturing) been completed?</v>
      </c>
      <c r="D340" s="165"/>
      <c r="E340" s="165"/>
      <c r="F340" s="165"/>
      <c r="G340" s="437"/>
      <c r="H340" s="437"/>
      <c r="I340" s="161"/>
      <c r="N340" s="331"/>
      <c r="O340" s="331"/>
    </row>
    <row r="341" spans="1:15" s="71" customFormat="1" x14ac:dyDescent="0.2">
      <c r="A341" s="70"/>
      <c r="B341" s="70"/>
      <c r="C341" s="73"/>
      <c r="D341" s="165"/>
      <c r="E341" s="165"/>
      <c r="F341" s="165"/>
      <c r="G341" s="436"/>
      <c r="H341" s="436"/>
      <c r="I341" s="161"/>
      <c r="N341" s="331"/>
      <c r="O341" s="331"/>
    </row>
    <row r="342" spans="1:15" s="71" customFormat="1" x14ac:dyDescent="0.2">
      <c r="A342" s="70" t="s">
        <v>71</v>
      </c>
      <c r="B342" s="70" t="str">
        <f>IF(L="EN","Control system and diagnostic aids","Steuerungssystem und Diagnosehilfsmittel")</f>
        <v>Control system and diagnostic aids</v>
      </c>
      <c r="C342" s="73"/>
      <c r="D342" s="165"/>
      <c r="E342" s="165"/>
      <c r="F342" s="165"/>
      <c r="G342" s="436"/>
      <c r="H342" s="436"/>
      <c r="I342" s="161"/>
      <c r="N342" s="331"/>
      <c r="O342" s="331"/>
    </row>
    <row r="343" spans="1:15" s="71" customFormat="1" ht="25.5" x14ac:dyDescent="0.2">
      <c r="A343" s="70"/>
      <c r="B343" s="123"/>
      <c r="C343" s="73" t="str">
        <f>IF(L="EN","Are control system and diagnostics aids (error diagnostics) in line with the order or the quote?","Steuerungssystem und Diagnosehilfsmittel (Fehlerdiagnose) entsprechen der Bestellung bzw. dem Angebot")</f>
        <v>Are control system and diagnostics aids (error diagnostics) in line with the order or the quote?</v>
      </c>
      <c r="D343" s="165"/>
      <c r="E343" s="165"/>
      <c r="F343" s="165"/>
      <c r="G343" s="437"/>
      <c r="H343" s="437"/>
      <c r="I343" s="161"/>
      <c r="N343" s="331"/>
      <c r="O343" s="331"/>
    </row>
    <row r="344" spans="1:15" s="71" customFormat="1" ht="25.5" x14ac:dyDescent="0.2">
      <c r="A344" s="70"/>
      <c r="B344" s="123"/>
      <c r="C344" s="73" t="str">
        <f>IF(L="EN","Is the user language in line with the instructions of the C/MPE/FL .. specifications?","die Bediener-Dialogsprache sowie die Fehlerdiagnose entsprechen den Angaben der C/MPE / FL.. Vorschrift")</f>
        <v>Is the user language in line with the instructions of the C/MPE/FL .. specifications?</v>
      </c>
      <c r="D344" s="165"/>
      <c r="E344" s="165"/>
      <c r="F344" s="165"/>
      <c r="G344" s="437"/>
      <c r="H344" s="437"/>
      <c r="I344" s="161"/>
      <c r="N344" s="331"/>
      <c r="O344" s="331"/>
    </row>
    <row r="345" spans="1:15" s="71" customFormat="1" x14ac:dyDescent="0.2">
      <c r="A345" s="70"/>
      <c r="B345" s="123"/>
      <c r="C345" s="73"/>
      <c r="D345" s="165"/>
      <c r="E345" s="165"/>
      <c r="F345" s="165"/>
      <c r="G345" s="436"/>
      <c r="H345" s="436"/>
      <c r="I345" s="161"/>
      <c r="N345" s="331"/>
      <c r="O345" s="331"/>
    </row>
    <row r="346" spans="1:15" s="71" customFormat="1" x14ac:dyDescent="0.2">
      <c r="A346" s="70" t="s">
        <v>72</v>
      </c>
      <c r="B346" s="123" t="str">
        <f>IF(L="EN","Control cabinet","Schaltschrank")</f>
        <v>Control cabinet</v>
      </c>
      <c r="C346" s="73"/>
      <c r="D346" s="165"/>
      <c r="E346" s="165"/>
      <c r="F346" s="165"/>
      <c r="G346" s="436"/>
      <c r="H346" s="436"/>
      <c r="I346" s="161"/>
      <c r="N346" s="331"/>
      <c r="O346" s="331"/>
    </row>
    <row r="347" spans="1:15" s="71" customFormat="1" x14ac:dyDescent="0.2">
      <c r="A347" s="70" t="s">
        <v>73</v>
      </c>
      <c r="B347" s="70" t="str">
        <f>IF(L="EN","Label","Bezeichnungsschild")</f>
        <v>Label</v>
      </c>
      <c r="C347" s="73"/>
      <c r="D347" s="165"/>
      <c r="E347" s="165"/>
      <c r="F347" s="165"/>
      <c r="G347" s="436"/>
      <c r="H347" s="436"/>
      <c r="I347" s="161"/>
      <c r="N347" s="331"/>
      <c r="O347" s="331"/>
    </row>
    <row r="348" spans="1:15" s="71" customFormat="1" ht="25.5" x14ac:dyDescent="0.2">
      <c r="A348" s="70"/>
      <c r="B348" s="123"/>
      <c r="C348" s="73" t="str">
        <f>IF(L="EN","Is there a label with the electrical details per VDE?","ein Schild mit mit den elektrischen Angaben nach VDE ist vorhanden")</f>
        <v>Is there a label with the electrical details per VDE?</v>
      </c>
      <c r="D348" s="165"/>
      <c r="E348" s="165"/>
      <c r="F348" s="165"/>
      <c r="G348" s="437"/>
      <c r="H348" s="437"/>
      <c r="I348" s="161"/>
      <c r="N348" s="331"/>
      <c r="O348" s="331"/>
    </row>
    <row r="349" spans="1:15" s="71" customFormat="1" x14ac:dyDescent="0.2">
      <c r="A349" s="70"/>
      <c r="B349" s="70"/>
      <c r="C349" s="73"/>
      <c r="D349" s="165"/>
      <c r="E349" s="165"/>
      <c r="F349" s="165"/>
      <c r="G349" s="193"/>
      <c r="H349" s="193"/>
      <c r="I349" s="161"/>
      <c r="N349" s="331"/>
      <c r="O349" s="331"/>
    </row>
    <row r="350" spans="1:15" s="71" customFormat="1" x14ac:dyDescent="0.2">
      <c r="A350" s="70" t="s">
        <v>74</v>
      </c>
      <c r="B350" s="70" t="str">
        <f>IF(L="EN","Flash symbol","Blitzpfeil")</f>
        <v>Flash symbol</v>
      </c>
      <c r="C350" s="73"/>
      <c r="D350" s="165"/>
      <c r="E350" s="165"/>
      <c r="F350" s="165"/>
      <c r="G350" s="436"/>
      <c r="H350" s="436"/>
      <c r="I350" s="161"/>
      <c r="N350" s="331"/>
      <c r="O350" s="331"/>
    </row>
    <row r="351" spans="1:15" s="71" customFormat="1" ht="25.5" x14ac:dyDescent="0.2">
      <c r="A351" s="70"/>
      <c r="B351" s="123"/>
      <c r="C351" s="73" t="str">
        <f>IF(L="EN","Electrical flash symbol used and permanently affixed?","der Blitzpfeil ist vorhanden und wurde dauerhaft befestigt")</f>
        <v>Electrical flash symbol used and permanently affixed?</v>
      </c>
      <c r="D351" s="165"/>
      <c r="E351" s="165"/>
      <c r="F351" s="165"/>
      <c r="G351" s="437"/>
      <c r="H351" s="437"/>
      <c r="I351" s="161"/>
      <c r="N351" s="331"/>
      <c r="O351" s="331"/>
    </row>
    <row r="352" spans="1:15" s="71" customFormat="1" ht="24" customHeight="1" x14ac:dyDescent="0.2">
      <c r="A352" s="70"/>
      <c r="B352" s="70"/>
      <c r="C352" s="73"/>
      <c r="D352" s="165"/>
      <c r="E352" s="165"/>
      <c r="F352" s="165"/>
      <c r="G352" s="436"/>
      <c r="H352" s="436"/>
      <c r="I352" s="161"/>
      <c r="N352" s="331"/>
      <c r="O352" s="331"/>
    </row>
    <row r="353" spans="1:15" s="71" customFormat="1" x14ac:dyDescent="0.2">
      <c r="A353" s="70" t="s">
        <v>75</v>
      </c>
      <c r="B353" s="70" t="str">
        <f>IF(L="EN","Protection against mediums","Schutz gegen Medien")</f>
        <v>Protection against mediums</v>
      </c>
      <c r="C353" s="73"/>
      <c r="D353" s="165"/>
      <c r="E353" s="165"/>
      <c r="F353" s="165"/>
      <c r="G353" s="436"/>
      <c r="H353" s="436"/>
      <c r="I353" s="161"/>
      <c r="N353" s="331"/>
      <c r="O353" s="331"/>
    </row>
    <row r="354" spans="1:15" s="71" customFormat="1" ht="34.5" customHeight="1" x14ac:dyDescent="0.2">
      <c r="A354" s="70"/>
      <c r="B354" s="123"/>
      <c r="C354" s="73" t="str">
        <f>IF(L="EN","Is the control cabinet protected against water, dirt (e.g. oil)(the IP is in line with the local conditions)","der Schaltschrank ist gegen Wasser und Schmutz (z.B. Öl) geschützt (der IP entspricht den örtlichen Gegebenheiten)")</f>
        <v>Is the control cabinet protected against water, dirt (e.g. oil)(the IP is in line with the local conditions)</v>
      </c>
      <c r="D354" s="165"/>
      <c r="E354" s="165"/>
      <c r="F354" s="165"/>
      <c r="G354" s="437"/>
      <c r="H354" s="437"/>
      <c r="I354" s="161"/>
      <c r="N354" s="331"/>
      <c r="O354" s="331"/>
    </row>
    <row r="355" spans="1:15" s="71" customFormat="1" x14ac:dyDescent="0.2">
      <c r="A355" s="70"/>
      <c r="B355" s="70"/>
      <c r="C355" s="73"/>
      <c r="D355" s="165"/>
      <c r="E355" s="165"/>
      <c r="F355" s="165"/>
      <c r="G355" s="436"/>
      <c r="H355" s="436"/>
      <c r="I355" s="191"/>
      <c r="N355" s="331"/>
      <c r="O355" s="331"/>
    </row>
    <row r="356" spans="1:15" s="71" customFormat="1" x14ac:dyDescent="0.2">
      <c r="A356" s="70" t="s">
        <v>76</v>
      </c>
      <c r="B356" s="70" t="str">
        <f>IF(L="EN","Control cabinet locks","Schaltschrankverschluss")</f>
        <v>Control cabinet locks</v>
      </c>
      <c r="C356" s="73"/>
      <c r="D356" s="165"/>
      <c r="E356" s="165"/>
      <c r="F356" s="165"/>
      <c r="G356" s="436"/>
      <c r="H356" s="436"/>
      <c r="I356" s="161"/>
      <c r="N356" s="331"/>
      <c r="O356" s="331"/>
    </row>
    <row r="357" spans="1:15" s="71" customFormat="1" ht="27" customHeight="1" x14ac:dyDescent="0.2">
      <c r="A357" s="70"/>
      <c r="B357" s="123"/>
      <c r="C357" s="194" t="str">
        <f>IF(L="EN","Do the locks of the control cabinet require a special double-cam key (Size 5 as per DIN 43668) ","die Türen sind mit Einreibeverschlüssen für Doppelbartschlüssel (Größe 5 nach DIN 43668) versehen")</f>
        <v xml:space="preserve">Do the locks of the control cabinet require a special double-cam key (Size 5 as per DIN 43668) </v>
      </c>
      <c r="D357" s="165"/>
      <c r="E357" s="165"/>
      <c r="F357" s="165"/>
      <c r="G357" s="437"/>
      <c r="H357" s="437"/>
      <c r="I357" s="161"/>
      <c r="N357" s="331"/>
      <c r="O357" s="331"/>
    </row>
    <row r="358" spans="1:15" s="71" customFormat="1" x14ac:dyDescent="0.2">
      <c r="A358" s="70"/>
      <c r="B358" s="70"/>
      <c r="C358" s="73"/>
      <c r="D358" s="165"/>
      <c r="E358" s="165"/>
      <c r="F358" s="165"/>
      <c r="G358" s="436"/>
      <c r="H358" s="436"/>
      <c r="I358" s="161"/>
      <c r="N358" s="331"/>
      <c r="O358" s="331"/>
    </row>
    <row r="359" spans="1:15" s="71" customFormat="1" x14ac:dyDescent="0.2">
      <c r="A359" s="70" t="s">
        <v>77</v>
      </c>
      <c r="B359" s="70" t="str">
        <f>IF(L="EN","Control cabinet door assembled components","Montierte Teile auf Schaltschranktür")</f>
        <v>Control cabinet door assembled components</v>
      </c>
      <c r="C359" s="73"/>
      <c r="D359" s="165"/>
      <c r="E359" s="165"/>
      <c r="F359" s="165"/>
      <c r="G359" s="436"/>
      <c r="H359" s="436"/>
      <c r="I359" s="161"/>
      <c r="N359" s="331"/>
      <c r="O359" s="331"/>
    </row>
    <row r="360" spans="1:15" s="71" customFormat="1" ht="38.25" x14ac:dyDescent="0.2">
      <c r="A360" s="70"/>
      <c r="B360" s="123"/>
      <c r="C360" s="73" t="str">
        <f>IF(L="EN","Are only control, indicator and measurement devices mounted on the doors? (excluding air-conditioning devices)","auf den Türen sind nur Befehls-, Melde- oder Messgeräte montiert (Ausnahme Klimagerät)")</f>
        <v>Are only control, indicator and measurement devices mounted on the doors? (excluding air-conditioning devices)</v>
      </c>
      <c r="D360" s="165"/>
      <c r="E360" s="165"/>
      <c r="F360" s="165"/>
      <c r="G360" s="437"/>
      <c r="H360" s="437"/>
      <c r="I360" s="161"/>
      <c r="N360" s="331"/>
      <c r="O360" s="331"/>
    </row>
    <row r="361" spans="1:15" s="71" customFormat="1" x14ac:dyDescent="0.2">
      <c r="A361" s="70" t="s">
        <v>78</v>
      </c>
      <c r="B361" s="70" t="str">
        <f>IF(L="EN","Pocket","Schaltplantasche")</f>
        <v>Pocket</v>
      </c>
      <c r="C361" s="73"/>
      <c r="D361" s="165"/>
      <c r="E361" s="165"/>
      <c r="F361" s="165"/>
      <c r="G361" s="436"/>
      <c r="H361" s="436"/>
      <c r="I361" s="161"/>
      <c r="N361" s="331"/>
      <c r="O361" s="331"/>
    </row>
    <row r="362" spans="1:15" s="71" customFormat="1" ht="25.5" x14ac:dyDescent="0.2">
      <c r="A362" s="70"/>
      <c r="B362" s="123"/>
      <c r="C362" s="73" t="str">
        <f>IF(L="EN","is there a document holder for electrical schematics?","eine Schaltplantasche ist im Schaltschrank vorhanden")</f>
        <v>is there a document holder for electrical schematics?</v>
      </c>
      <c r="D362" s="165"/>
      <c r="E362" s="165"/>
      <c r="F362" s="165"/>
      <c r="G362" s="437"/>
      <c r="H362" s="437"/>
      <c r="I362" s="161"/>
      <c r="N362" s="331"/>
      <c r="O362" s="331"/>
    </row>
    <row r="363" spans="1:15" s="71" customFormat="1" x14ac:dyDescent="0.2">
      <c r="A363" s="70" t="s">
        <v>79</v>
      </c>
      <c r="B363" s="70" t="str">
        <f>IF(L="EN","Assembly height of the operating components","Einbauhöhen der Bedienelemente")</f>
        <v>Assembly height of the operating components</v>
      </c>
      <c r="C363" s="73"/>
      <c r="D363" s="165"/>
      <c r="E363" s="165"/>
      <c r="F363" s="165"/>
      <c r="G363" s="436"/>
      <c r="H363" s="436"/>
      <c r="I363" s="161"/>
      <c r="N363" s="331"/>
      <c r="O363" s="331"/>
    </row>
    <row r="364" spans="1:15" s="71" customFormat="1" ht="25.5" x14ac:dyDescent="0.2">
      <c r="A364" s="70"/>
      <c r="B364" s="123"/>
      <c r="C364" s="73" t="str">
        <f>IF(L="EN","is the assembly height of operating and switch elements between 0.6-1,7m?","alle Bedien- und Stellelemente sind innerhalb einer Einbauhöhe von 0,6 m - 1,7 m angeordnet")</f>
        <v>is the assembly height of operating and switch elements between 0.6-1,7m?</v>
      </c>
      <c r="D364" s="165"/>
      <c r="E364" s="165"/>
      <c r="F364" s="165"/>
      <c r="G364" s="437"/>
      <c r="H364" s="437"/>
      <c r="I364" s="161"/>
      <c r="N364" s="331"/>
      <c r="O364" s="331"/>
    </row>
    <row r="365" spans="1:15" s="71" customFormat="1" ht="22.5" customHeight="1" x14ac:dyDescent="0.2">
      <c r="A365" s="70"/>
      <c r="B365" s="123"/>
      <c r="C365" s="73" t="str">
        <f>IF(L="EN","are all terminal blocks and transformers above 0.2m?","alle Klemmleisten und Trafos sind höher als 0,2 m über Bodenhöhe angeordnet")</f>
        <v>are all terminal blocks and transformers above 0.2m?</v>
      </c>
      <c r="D365" s="165"/>
      <c r="E365" s="165"/>
      <c r="F365" s="165"/>
      <c r="G365" s="437"/>
      <c r="H365" s="437"/>
      <c r="I365" s="191"/>
      <c r="N365" s="331"/>
      <c r="O365" s="331"/>
    </row>
    <row r="366" spans="1:15" s="71" customFormat="1" x14ac:dyDescent="0.2">
      <c r="A366" s="70" t="s">
        <v>80</v>
      </c>
      <c r="B366" s="70" t="str">
        <f>IF(L="EN","Built-in devices","Eingebaute Betriebsmittel")</f>
        <v>Built-in devices</v>
      </c>
      <c r="C366" s="73"/>
      <c r="D366" s="165"/>
      <c r="E366" s="165"/>
      <c r="F366" s="165"/>
      <c r="G366" s="436"/>
      <c r="H366" s="436"/>
      <c r="I366" s="161"/>
      <c r="N366" s="331"/>
      <c r="O366" s="331"/>
    </row>
    <row r="367" spans="1:15" s="71" customFormat="1" x14ac:dyDescent="0.2">
      <c r="A367" s="70"/>
      <c r="B367" s="123"/>
      <c r="C367" s="73" t="str">
        <f>IF(L="EN","clearly arranged and easily accessible?","Betriebsmittel sind gut und zugänglich im Schaltschrank angeordnet")</f>
        <v>clearly arranged and easily accessible?</v>
      </c>
      <c r="D367" s="165"/>
      <c r="E367" s="165"/>
      <c r="F367" s="329"/>
      <c r="G367" s="437"/>
      <c r="H367" s="437"/>
      <c r="I367" s="161"/>
      <c r="N367" s="331"/>
      <c r="O367" s="331"/>
    </row>
    <row r="368" spans="1:15" s="71" customFormat="1" x14ac:dyDescent="0.2">
      <c r="A368" s="70"/>
      <c r="B368" s="123"/>
      <c r="C368" s="73" t="str">
        <f>IF(L="EN","assembled in their original condition?","die Betriebsmittel sind im Originalzustand eingebaut")</f>
        <v>assembled in their original condition?</v>
      </c>
      <c r="D368" s="165"/>
      <c r="E368" s="165"/>
      <c r="F368" s="165"/>
      <c r="G368" s="437"/>
      <c r="H368" s="437"/>
      <c r="I368" s="161"/>
      <c r="N368" s="331"/>
      <c r="O368" s="331"/>
    </row>
    <row r="369" spans="1:15" s="71" customFormat="1" ht="38.25" x14ac:dyDescent="0.2">
      <c r="A369" s="70"/>
      <c r="B369" s="123"/>
      <c r="C369" s="73" t="str">
        <f>IF(L="EN","all devices are identified as per DIN EN 61346-1 and DIN EN 61346-2 according to the circuit diagram? (on the device or on the mounting plate)","alle Betriebsmittel sind nach DIN EN 61346-1 und DIN EN 61346-2 gemäß dem Schaltplan dauerhaft bezeichnet (auf Gerät oder Montageplatte)")</f>
        <v>all devices are identified as per DIN EN 61346-1 and DIN EN 61346-2 according to the circuit diagram? (on the device or on the mounting plate)</v>
      </c>
      <c r="D369" s="165"/>
      <c r="E369" s="165"/>
      <c r="F369" s="165"/>
      <c r="G369" s="437"/>
      <c r="H369" s="437"/>
      <c r="I369" s="161"/>
      <c r="N369" s="331"/>
      <c r="O369" s="331"/>
    </row>
    <row r="370" spans="1:15" s="71" customFormat="1" ht="25.5" x14ac:dyDescent="0.2">
      <c r="A370" s="70"/>
      <c r="B370" s="123"/>
      <c r="C370" s="73" t="str">
        <f>IF(L="EN","There are no external fixtures?(mechanical,pneumatic or hydraulic)","es sind keine Fremdeinbauten vorhanden (Mechanik, Pneumatik, Hydraulik)")</f>
        <v>There are no external fixtures?(mechanical,pneumatic or hydraulic)</v>
      </c>
      <c r="D370" s="165"/>
      <c r="E370" s="165"/>
      <c r="F370" s="165"/>
      <c r="G370" s="437"/>
      <c r="H370" s="437"/>
      <c r="I370" s="195"/>
      <c r="N370" s="331"/>
      <c r="O370" s="331"/>
    </row>
    <row r="371" spans="1:15" s="71" customFormat="1" x14ac:dyDescent="0.2">
      <c r="A371" s="70"/>
      <c r="B371" s="123"/>
      <c r="C371" s="73"/>
      <c r="D371" s="165"/>
      <c r="E371" s="165"/>
      <c r="F371" s="165"/>
      <c r="G371" s="202"/>
      <c r="H371" s="202"/>
      <c r="I371" s="195"/>
      <c r="N371" s="331"/>
      <c r="O371" s="331"/>
    </row>
    <row r="372" spans="1:15" s="71" customFormat="1" x14ac:dyDescent="0.2">
      <c r="A372" s="70"/>
      <c r="B372" s="123"/>
      <c r="C372" s="73"/>
      <c r="D372" s="165"/>
      <c r="E372" s="165"/>
      <c r="F372" s="165"/>
      <c r="G372" s="202"/>
      <c r="H372" s="202"/>
      <c r="I372" s="195"/>
      <c r="N372" s="331"/>
      <c r="O372" s="331"/>
    </row>
    <row r="373" spans="1:15" s="71" customFormat="1" x14ac:dyDescent="0.2">
      <c r="A373" s="70"/>
      <c r="B373" s="123"/>
      <c r="C373" s="73"/>
      <c r="D373" s="165"/>
      <c r="E373" s="165"/>
      <c r="F373" s="165"/>
      <c r="G373" s="202"/>
      <c r="H373" s="202"/>
      <c r="I373" s="195"/>
      <c r="N373" s="331"/>
      <c r="O373" s="331"/>
    </row>
    <row r="374" spans="1:15" s="71" customFormat="1" x14ac:dyDescent="0.2">
      <c r="A374" s="70"/>
      <c r="B374" s="123"/>
      <c r="C374" s="73"/>
      <c r="D374" s="165"/>
      <c r="E374" s="165"/>
      <c r="F374" s="165"/>
      <c r="G374" s="202"/>
      <c r="H374" s="202"/>
      <c r="I374" s="195"/>
      <c r="N374" s="331"/>
      <c r="O374" s="331"/>
    </row>
    <row r="375" spans="1:15" s="71" customFormat="1" ht="13.5" thickBot="1" x14ac:dyDescent="0.25">
      <c r="A375" s="70"/>
      <c r="B375" s="123"/>
      <c r="C375" s="73"/>
      <c r="D375" s="165"/>
      <c r="E375" s="165"/>
      <c r="F375" s="165"/>
      <c r="G375" s="202"/>
      <c r="H375" s="202"/>
      <c r="I375" s="195"/>
      <c r="N375" s="331"/>
      <c r="O375" s="331"/>
    </row>
    <row r="376" spans="1:15" s="71" customFormat="1" ht="19.5" customHeight="1" x14ac:dyDescent="0.2">
      <c r="A376" s="419"/>
      <c r="B376" s="420"/>
      <c r="C376" s="423" t="str">
        <f>IF(L="EN","C/MPE Acceptance Report","C/MPE Abnahmeprotokoll")</f>
        <v>C/MPE Acceptance Report</v>
      </c>
      <c r="D376" s="423"/>
      <c r="E376" s="423"/>
      <c r="F376" s="424"/>
      <c r="G376" s="136" t="str">
        <f>IF(L="EN","Issue:","Ausgabe")</f>
        <v>Issue:</v>
      </c>
      <c r="H376" s="154" t="str">
        <f>IF(L="EN","Page","Blatt")</f>
        <v>Page</v>
      </c>
      <c r="I376" s="58"/>
      <c r="N376" s="331"/>
      <c r="O376" s="331"/>
    </row>
    <row r="377" spans="1:15" s="71" customFormat="1" ht="19.5" customHeight="1" thickBot="1" x14ac:dyDescent="0.25">
      <c r="A377" s="421"/>
      <c r="B377" s="422"/>
      <c r="C377" s="425"/>
      <c r="D377" s="425"/>
      <c r="E377" s="425"/>
      <c r="F377" s="426"/>
      <c r="G377" s="350" t="s">
        <v>433</v>
      </c>
      <c r="H377" s="156" t="s">
        <v>404</v>
      </c>
      <c r="I377" s="58"/>
      <c r="N377" s="331"/>
      <c r="O377" s="331"/>
    </row>
    <row r="378" spans="1:15" s="71" customFormat="1" ht="13.5" customHeight="1" thickBot="1" x14ac:dyDescent="0.25">
      <c r="A378" s="167" t="str">
        <f>IF(L="EN","section","Kapitel")</f>
        <v>section</v>
      </c>
      <c r="B378" s="427" t="str">
        <f>IF(L="EN","items to be checked","Prüfmerkmale")</f>
        <v>items to be checked</v>
      </c>
      <c r="C378" s="427"/>
      <c r="D378" s="168" t="s">
        <v>17</v>
      </c>
      <c r="E378" s="169" t="s">
        <v>18</v>
      </c>
      <c r="F378" s="170" t="s">
        <v>19</v>
      </c>
      <c r="G378" s="428" t="str">
        <f>IF(L="EN","remark","Bemerkung")</f>
        <v>remark</v>
      </c>
      <c r="H378" s="428"/>
      <c r="I378" s="58"/>
      <c r="N378" s="331"/>
      <c r="O378" s="331"/>
    </row>
    <row r="379" spans="1:15" s="71" customFormat="1" x14ac:dyDescent="0.2">
      <c r="A379" s="70"/>
      <c r="B379" s="70"/>
      <c r="C379" s="73"/>
      <c r="D379" s="165"/>
      <c r="E379" s="165"/>
      <c r="F379" s="165"/>
      <c r="G379" s="436"/>
      <c r="H379" s="436"/>
      <c r="I379" s="161"/>
      <c r="N379" s="331"/>
      <c r="O379" s="331"/>
    </row>
    <row r="380" spans="1:15" s="71" customFormat="1" x14ac:dyDescent="0.2">
      <c r="A380" s="70" t="s">
        <v>81</v>
      </c>
      <c r="B380" s="70" t="str">
        <f>IF(L="EN","Spare space","Mindestreserve")</f>
        <v>Spare space</v>
      </c>
      <c r="C380" s="73"/>
      <c r="D380" s="165"/>
      <c r="E380" s="165"/>
      <c r="F380" s="165"/>
      <c r="G380" s="436"/>
      <c r="H380" s="436"/>
      <c r="I380" s="161"/>
      <c r="N380" s="331"/>
      <c r="O380" s="331"/>
    </row>
    <row r="381" spans="1:15" s="71" customFormat="1" ht="24" customHeight="1" x14ac:dyDescent="0.2">
      <c r="A381" s="70"/>
      <c r="B381" s="123"/>
      <c r="C381" s="73" t="str">
        <f>IF(L="EN","A minimum of 10% spare space is available for the control cabinet, PLC Panel and wire ways.","eine Mindestplatzreserve von 10% im Schaltschrank, der SPS und in Kabelkanälen ist vorhanden")</f>
        <v>A minimum of 10% spare space is available for the control cabinet, PLC Panel and wire ways.</v>
      </c>
      <c r="D381" s="165"/>
      <c r="E381" s="165"/>
      <c r="F381" s="165"/>
      <c r="G381" s="437"/>
      <c r="H381" s="437"/>
      <c r="I381" s="161"/>
      <c r="N381" s="331"/>
      <c r="O381" s="331"/>
    </row>
    <row r="382" spans="1:15" s="71" customFormat="1" ht="13.5" customHeight="1" x14ac:dyDescent="0.2">
      <c r="A382" s="70" t="s">
        <v>82</v>
      </c>
      <c r="B382" s="70" t="str">
        <f>IF(L="EN","Climatic requirements","Klimatische Bedingungen")</f>
        <v>Climatic requirements</v>
      </c>
      <c r="C382" s="73"/>
      <c r="D382" s="165"/>
      <c r="E382" s="165"/>
      <c r="F382" s="165"/>
      <c r="G382" s="436"/>
      <c r="H382" s="436"/>
      <c r="I382" s="161"/>
      <c r="N382" s="331"/>
      <c r="O382" s="331"/>
    </row>
    <row r="383" spans="1:15" s="71" customFormat="1" ht="23.25" customHeight="1" x14ac:dyDescent="0.2">
      <c r="A383" s="70"/>
      <c r="B383" s="123"/>
      <c r="C383" s="73" t="str">
        <f>IF(L="EN","have the climatic requirements defined in the C/MPE/FL- specifications been taken into account?","die in der C/MPE / FL....-Vorschrift genannten klimatischen Bedingungen wurden berücksichtigt")</f>
        <v>have the climatic requirements defined in the C/MPE/FL- specifications been taken into account?</v>
      </c>
      <c r="D383" s="165"/>
      <c r="E383" s="165"/>
      <c r="F383" s="165"/>
      <c r="G383" s="437"/>
      <c r="H383" s="437"/>
      <c r="I383" s="161"/>
      <c r="N383" s="331"/>
      <c r="O383" s="331"/>
    </row>
    <row r="384" spans="1:15" s="71" customFormat="1" ht="24.75" customHeight="1" x14ac:dyDescent="0.2">
      <c r="A384" s="70"/>
      <c r="B384" s="123"/>
      <c r="C384" s="187" t="str">
        <f>IF(L="EN","An air conditioning unit shall be installed in cases of unacceptable heating inside the cabinet.","eine Klimatisierung ist für den Fall der Gefahr einer unzulässigen Erwärmung eingebaut")</f>
        <v>An air conditioning unit shall be installed in cases of unacceptable heating inside the cabinet.</v>
      </c>
      <c r="D384" s="165"/>
      <c r="E384" s="165"/>
      <c r="F384" s="165"/>
      <c r="G384" s="437"/>
      <c r="H384" s="437"/>
      <c r="I384" s="161"/>
      <c r="N384" s="331"/>
      <c r="O384" s="331"/>
    </row>
    <row r="385" spans="1:15" s="71" customFormat="1" ht="15.75" customHeight="1" x14ac:dyDescent="0.2">
      <c r="A385" s="70" t="s">
        <v>83</v>
      </c>
      <c r="B385" s="70" t="str">
        <f>IF(L="EN","Main supply connection","Netzzuleitung")</f>
        <v>Main supply connection</v>
      </c>
      <c r="C385" s="73"/>
      <c r="D385" s="165"/>
      <c r="E385" s="165"/>
      <c r="F385" s="165"/>
      <c r="G385" s="436"/>
      <c r="H385" s="436"/>
      <c r="I385" s="161"/>
      <c r="N385" s="331"/>
      <c r="O385" s="331"/>
    </row>
    <row r="386" spans="1:15" s="71" customFormat="1" ht="25.5" x14ac:dyDescent="0.2">
      <c r="A386" s="70"/>
      <c r="B386" s="123"/>
      <c r="C386" s="73" t="str">
        <f>IF(L="EN","Is there an entry point with strain relief and IP Protection?","eine Einführung mit Zugentlastung und IP Schutzart ist vorhanden")</f>
        <v>Is there an entry point with strain relief and IP Protection?</v>
      </c>
      <c r="D386" s="165"/>
      <c r="E386" s="165"/>
      <c r="F386" s="165"/>
      <c r="G386" s="437"/>
      <c r="H386" s="437"/>
      <c r="I386" s="161"/>
      <c r="N386" s="331"/>
      <c r="O386" s="331"/>
    </row>
    <row r="387" spans="1:15" s="71" customFormat="1" ht="25.5" x14ac:dyDescent="0.2">
      <c r="A387" s="70"/>
      <c r="B387" s="123"/>
      <c r="C387" s="73" t="str">
        <f>IF(L="EN","Does the main supply connection have seperate connections for PE and neutral (isolated)","für Schutzleiter PE und Neutralleiter N sind getrennte Klemmanschlüse vorhanden (der N-Anschluss ist isoliert ausgeführt)")</f>
        <v>Does the main supply connection have seperate connections for PE and neutral (isolated)</v>
      </c>
      <c r="D387" s="165"/>
      <c r="E387" s="165"/>
      <c r="F387" s="165"/>
      <c r="G387" s="437"/>
      <c r="H387" s="437"/>
      <c r="I387" s="161"/>
      <c r="N387" s="331"/>
      <c r="O387" s="331"/>
    </row>
    <row r="388" spans="1:15" s="71" customFormat="1" ht="25.5" x14ac:dyDescent="0.2">
      <c r="A388" s="70"/>
      <c r="B388" s="123"/>
      <c r="C388" s="73" t="str">
        <f>IF(L="EN","Is the main supply connection covered to prevent contact; does it bear the electrical flash symbol?","Netzanschlussklemmen sind berührungssicher ausgeführt und mit Blitzpfeil versehen")</f>
        <v>Is the main supply connection covered to prevent contact; does it bear the electrical flash symbol?</v>
      </c>
      <c r="D388" s="165"/>
      <c r="E388" s="165"/>
      <c r="F388" s="165"/>
      <c r="G388" s="437"/>
      <c r="H388" s="437"/>
      <c r="I388" s="161"/>
      <c r="N388" s="331"/>
      <c r="O388" s="331"/>
    </row>
    <row r="389" spans="1:15" s="71" customFormat="1" ht="21.75" customHeight="1" x14ac:dyDescent="0.2">
      <c r="A389" s="70"/>
      <c r="B389" s="123"/>
      <c r="C389" s="73" t="str">
        <f>IF(L="EN","Live connections to the main switch must be either distinguishably separated or yellow in color","spannungsführende Leitungen zum Hauptschalter sind entweder unterscheidbar getrennt oder gelb ummantelt verlegt")</f>
        <v>Live connections to the main switch must be either distinguishably separated or yellow in color</v>
      </c>
      <c r="D389" s="165"/>
      <c r="E389" s="165"/>
      <c r="F389" s="165"/>
      <c r="G389" s="437"/>
      <c r="H389" s="437"/>
      <c r="I389" s="161"/>
      <c r="N389" s="331"/>
      <c r="O389" s="331"/>
    </row>
    <row r="390" spans="1:15" s="71" customFormat="1" x14ac:dyDescent="0.2">
      <c r="A390" s="70" t="s">
        <v>84</v>
      </c>
      <c r="B390" s="70" t="str">
        <f>IF(L="EN","Main switch  (required for &gt; 3kW / 16A )","Hauptschalter (bei &gt; 3kW / 16A vorgeschrieben)")</f>
        <v>Main switch  (required for &gt; 3kW / 16A )</v>
      </c>
      <c r="C390" s="70"/>
      <c r="D390" s="165"/>
      <c r="E390" s="165"/>
      <c r="F390" s="165"/>
      <c r="G390" s="436"/>
      <c r="H390" s="436"/>
      <c r="I390" s="161"/>
      <c r="N390" s="331"/>
      <c r="O390" s="331"/>
    </row>
    <row r="391" spans="1:15" s="71" customFormat="1" x14ac:dyDescent="0.2">
      <c r="A391" s="70"/>
      <c r="B391" s="123"/>
      <c r="C391" s="194" t="str">
        <f>IF(L="EN","Is the main switch easily accessible ?","der Hauptschalter ist leicht zugänglich")</f>
        <v>Is the main switch easily accessible ?</v>
      </c>
      <c r="D391" s="165"/>
      <c r="E391" s="165"/>
      <c r="F391" s="165"/>
      <c r="G391" s="437"/>
      <c r="H391" s="437"/>
      <c r="I391" s="191"/>
      <c r="N391" s="331"/>
      <c r="O391" s="331"/>
    </row>
    <row r="392" spans="1:15" s="71" customFormat="1" ht="25.5" x14ac:dyDescent="0.2">
      <c r="A392" s="70"/>
      <c r="B392" s="123"/>
      <c r="C392" s="194" t="str">
        <f>IF(L="EN","the main switch can be locked and tagged in off-position?","der Hauptschalter ist in der AUS-Stellung abschließbar")</f>
        <v>the main switch can be locked and tagged in off-position?</v>
      </c>
      <c r="D392" s="165"/>
      <c r="E392" s="165"/>
      <c r="F392" s="165"/>
      <c r="G392" s="437"/>
      <c r="H392" s="437"/>
      <c r="I392" s="161"/>
      <c r="N392" s="331"/>
      <c r="O392" s="331"/>
    </row>
    <row r="393" spans="1:15" s="71" customFormat="1" ht="27.75" customHeight="1" x14ac:dyDescent="0.2">
      <c r="A393" s="70"/>
      <c r="B393" s="123"/>
      <c r="C393" s="194" t="str">
        <f>IF(L="EN","where it is also an emergency switch: Is the handle red and the base under the handle yellow?","wenn zugleich Not-Halt: die Handhabe ist rot und und die dahinterliegende Fläche gelb ausgeführt")</f>
        <v>where it is also an emergency switch: Is the handle red and the base under the handle yellow?</v>
      </c>
      <c r="D393" s="165"/>
      <c r="E393" s="165"/>
      <c r="F393" s="165"/>
      <c r="G393" s="437"/>
      <c r="H393" s="437"/>
      <c r="I393" s="161"/>
      <c r="N393" s="331"/>
      <c r="O393" s="331"/>
    </row>
    <row r="394" spans="1:15" s="71" customFormat="1" ht="25.5" x14ac:dyDescent="0.2">
      <c r="A394" s="70"/>
      <c r="B394" s="123"/>
      <c r="C394" s="73" t="str">
        <f>IF(L="EN","Are connections L1, L2, and L3 covered? Do they bear the electrical flash symbol?","die Anschlussklemmen L1, L2 und L3 sind abgedeckt und mit Blitzpfeil versehen")</f>
        <v>Are connections L1, L2, and L3 covered? Do they bear the electrical flash symbol?</v>
      </c>
      <c r="D394" s="165"/>
      <c r="E394" s="165"/>
      <c r="F394" s="165"/>
      <c r="G394" s="437"/>
      <c r="H394" s="437"/>
      <c r="I394" s="191"/>
      <c r="N394" s="331"/>
      <c r="O394" s="331"/>
    </row>
    <row r="395" spans="1:15" s="71" customFormat="1" ht="36" customHeight="1" x14ac:dyDescent="0.2">
      <c r="A395" s="70"/>
      <c r="B395" s="123"/>
      <c r="C395" s="187" t="str">
        <f>IF(L="EN","Is equipment which is still voltage-carrying after the main switch is turned off covered and identified?","Einrichtungen, die nach Abschalten des Hauptschalters noch Spannung führen, sind abgedeckt und gekennzeichnet")</f>
        <v>Is equipment which is still voltage-carrying after the main switch is turned off covered and identified?</v>
      </c>
      <c r="D395" s="165"/>
      <c r="E395" s="165"/>
      <c r="F395" s="165"/>
      <c r="G395" s="437"/>
      <c r="H395" s="437"/>
      <c r="I395" s="161"/>
      <c r="N395" s="331"/>
      <c r="O395" s="331"/>
    </row>
    <row r="396" spans="1:15" s="71" customFormat="1" x14ac:dyDescent="0.2">
      <c r="A396" s="70" t="s">
        <v>85</v>
      </c>
      <c r="B396" s="436" t="str">
        <f>IF(L="EN","Protection against direct contact, indirect contact and against unintentional start-up due to short-circuits to ground","Schutz gegen direktes Berühren, indirektes Berühren und gegen unbeabsichtigten Anlauf durch Erdschlüsse")</f>
        <v>Protection against direct contact, indirect contact and against unintentional start-up due to short-circuits to ground</v>
      </c>
      <c r="C396" s="436"/>
      <c r="D396" s="436"/>
      <c r="E396" s="436"/>
      <c r="F396" s="436"/>
      <c r="G396" s="436"/>
      <c r="H396" s="436"/>
      <c r="I396" s="161"/>
      <c r="N396" s="331"/>
      <c r="O396" s="331"/>
    </row>
    <row r="397" spans="1:15" s="71" customFormat="1" x14ac:dyDescent="0.2">
      <c r="A397" s="70"/>
      <c r="B397" s="436"/>
      <c r="C397" s="436"/>
      <c r="D397" s="436"/>
      <c r="E397" s="436"/>
      <c r="F397" s="436"/>
      <c r="G397" s="436"/>
      <c r="H397" s="436"/>
      <c r="I397" s="161"/>
      <c r="N397" s="331"/>
      <c r="O397" s="331"/>
    </row>
    <row r="398" spans="1:15" s="71" customFormat="1" ht="25.5" x14ac:dyDescent="0.2">
      <c r="A398" s="70"/>
      <c r="B398" s="123"/>
      <c r="C398" s="194" t="str">
        <f>IF(L="EN","are active parts and high voltage components  identified and covered to prevent contact?","aktive Teile und Hochspannungsbaugruppen sind berührungssicher abgedeckt und gekennzeichnet")</f>
        <v>are active parts and high voltage components  identified and covered to prevent contact?</v>
      </c>
      <c r="D398" s="165"/>
      <c r="E398" s="165"/>
      <c r="F398" s="165"/>
      <c r="G398" s="437"/>
      <c r="H398" s="437"/>
      <c r="I398" s="161"/>
      <c r="N398" s="331"/>
      <c r="O398" s="331"/>
    </row>
    <row r="399" spans="1:15" s="71" customFormat="1" ht="38.25" x14ac:dyDescent="0.2">
      <c r="A399" s="70"/>
      <c r="B399" s="123"/>
      <c r="C399" s="73" t="str">
        <f>IF(L="EN","Do residual voltages (e.g. in capacitors) drop within 5 s. under 60V. If not, is there a warning label?","Restspannungen (z.B. Kondensatoren) werden innerhalb von 5 sek. unter 60V abgesenkt. Wenn nicht ist ein Warnschild vorhanden")</f>
        <v>Do residual voltages (e.g. in capacitors) drop within 5 s. under 60V. If not, is there a warning label?</v>
      </c>
      <c r="D399" s="165"/>
      <c r="E399" s="165"/>
      <c r="F399" s="165"/>
      <c r="G399" s="437"/>
      <c r="H399" s="437"/>
      <c r="I399" s="161"/>
      <c r="N399" s="331"/>
      <c r="O399" s="331"/>
    </row>
    <row r="400" spans="1:15" s="71" customFormat="1" ht="9" customHeight="1" x14ac:dyDescent="0.2">
      <c r="A400" s="70"/>
      <c r="B400" s="70"/>
      <c r="C400" s="73"/>
      <c r="D400" s="165"/>
      <c r="E400" s="165"/>
      <c r="F400" s="165"/>
      <c r="G400" s="436"/>
      <c r="H400" s="436"/>
      <c r="I400" s="161"/>
      <c r="N400" s="331"/>
      <c r="O400" s="331"/>
    </row>
    <row r="401" spans="1:15" s="71" customFormat="1" x14ac:dyDescent="0.2">
      <c r="A401" s="70" t="s">
        <v>86</v>
      </c>
      <c r="B401" s="70" t="str">
        <f>IF(L="EN","Earthing","Erdung")</f>
        <v>Earthing</v>
      </c>
      <c r="C401" s="73"/>
      <c r="D401" s="165"/>
      <c r="E401" s="165"/>
      <c r="F401" s="165"/>
      <c r="G401" s="436"/>
      <c r="H401" s="436"/>
      <c r="I401" s="161"/>
      <c r="N401" s="331"/>
      <c r="O401" s="331"/>
    </row>
    <row r="402" spans="1:15" ht="66.75" customHeight="1" x14ac:dyDescent="0.2">
      <c r="A402" s="70"/>
      <c r="B402" s="123"/>
      <c r="C402" s="73" t="str">
        <f>IF(L="EN","Is the PE (protective earth) cable green/yellow and has the appropriate cable diameter been used (minimum as current carrying conductor)?
Note.: Exception are short PE cables and symbols next to the connecting points","die Schutzleiterverbindung ist durchgehend grün/gelb und in entsprechendem Querschnitt (mind. wie stromführender Leiter) ausgeführt?
Anm.: Sonderfall sind kurze Erdungsbänder und Schutzleiterzeichen neben den Anschlussstellen.")</f>
        <v>Is the PE (protective earth) cable green/yellow and has the appropriate cable diameter been used (minimum as current carrying conductor)?
Note.: Exception are short PE cables and symbols next to the connecting points</v>
      </c>
      <c r="D402" s="165"/>
      <c r="E402" s="165"/>
      <c r="F402" s="165"/>
      <c r="G402" s="437"/>
      <c r="H402" s="437"/>
      <c r="I402" s="161"/>
    </row>
    <row r="403" spans="1:15" ht="22.5" customHeight="1" x14ac:dyDescent="0.2">
      <c r="A403" s="70"/>
      <c r="B403" s="123"/>
      <c r="C403" s="73" t="str">
        <f>IF(L="EN","Is there a starpoint ground? (no loops)","es liegt eine sternpunktförmige Erdung vor
(Keine Erdschleifen)")</f>
        <v>Is there a starpoint ground? (no loops)</v>
      </c>
      <c r="D403" s="165"/>
      <c r="E403" s="165"/>
      <c r="F403" s="165"/>
      <c r="G403" s="437"/>
      <c r="H403" s="437"/>
      <c r="I403" s="90"/>
    </row>
    <row r="404" spans="1:15" ht="25.5" x14ac:dyDescent="0.2">
      <c r="A404" s="70"/>
      <c r="B404" s="123"/>
      <c r="C404" s="73" t="str">
        <f>IF(L="EN","Is an individual connector present for all incoming and outgoing grounding cables?","für jeden ankommenden und abgehenden Schutzleiter ist ein eigener Klemmenanschlusspunkt vorhanden")</f>
        <v>Is an individual connector present for all incoming and outgoing grounding cables?</v>
      </c>
      <c r="D404" s="165"/>
      <c r="E404" s="165"/>
      <c r="F404" s="165"/>
      <c r="G404" s="437"/>
      <c r="H404" s="437"/>
      <c r="I404" s="161"/>
    </row>
    <row r="405" spans="1:15" ht="48.75" customHeight="1" x14ac:dyDescent="0.2">
      <c r="A405" s="70"/>
      <c r="B405" s="123"/>
      <c r="C405" s="194" t="str">
        <f>IF(L="EN","are the grounding connections bare metal, well fixed and marked with the ground symbol (seperately fixed , not via the equipment screws)
note: Exception: Rittal-PE cable contact shims for connection on Eloxal surfaces","Anschlussstellen sind blank, festsitzend und mit Erdungskennzeichen gekennzeichnet?
(separate Befestigung; nicht unter Montageschrauben)
Anm.: Rittal-Schutzleiter-Kontaktscheiben verwenden für Anschluss auf Eloxalflächen.")</f>
        <v>are the grounding connections bare metal, well fixed and marked with the ground symbol (seperately fixed , not via the equipment screws)
note: Exception: Rittal-PE cable contact shims for connection on Eloxal surfaces</v>
      </c>
      <c r="D405" s="165"/>
      <c r="E405" s="165"/>
      <c r="F405" s="165"/>
      <c r="G405" s="437"/>
      <c r="H405" s="437"/>
      <c r="I405" s="161"/>
    </row>
    <row r="406" spans="1:15" ht="51" x14ac:dyDescent="0.2">
      <c r="A406" s="70"/>
      <c r="B406" s="123"/>
      <c r="C406" s="73" t="str">
        <f>IF(L="EN","are control cabinets, panels, racks and doors (where electrical parts are attached) and the metal casings and bases of devices individually connected to the ground","Schaltschrank, Montageplatte, Dreh- und  Schwenkrahmen, Türen (wenn el. Bauteile montiert), Metallgehäuse und -sockel der Geräte sind jeweils einzeln mit einem Schutzleiter verbunden (und nicht über metallführende Bauelemente geerdet)")</f>
        <v>are control cabinets, panels, racks and doors (where electrical parts are attached) and the metal casings and bases of devices individually connected to the ground</v>
      </c>
      <c r="D406" s="165"/>
      <c r="E406" s="165"/>
      <c r="F406" s="165"/>
      <c r="G406" s="437"/>
      <c r="H406" s="437"/>
      <c r="I406" s="90"/>
    </row>
    <row r="407" spans="1:15" x14ac:dyDescent="0.2">
      <c r="A407" s="70"/>
      <c r="B407" s="123"/>
      <c r="C407" s="73"/>
      <c r="D407" s="165"/>
      <c r="E407" s="165"/>
      <c r="F407" s="165"/>
      <c r="G407" s="202"/>
      <c r="H407" s="202"/>
      <c r="I407" s="90"/>
    </row>
    <row r="408" spans="1:15" x14ac:dyDescent="0.2">
      <c r="A408" s="70"/>
      <c r="B408" s="123"/>
      <c r="C408" s="73"/>
      <c r="D408" s="165"/>
      <c r="E408" s="165"/>
      <c r="F408" s="165"/>
      <c r="G408" s="202"/>
      <c r="H408" s="202"/>
      <c r="I408" s="90"/>
    </row>
    <row r="409" spans="1:15" x14ac:dyDescent="0.2">
      <c r="A409" s="70"/>
      <c r="B409" s="123"/>
      <c r="C409" s="73"/>
      <c r="D409" s="165"/>
      <c r="E409" s="165"/>
      <c r="F409" s="165"/>
      <c r="G409" s="202"/>
      <c r="H409" s="202"/>
      <c r="I409" s="90"/>
    </row>
    <row r="410" spans="1:15" ht="13.5" thickBot="1" x14ac:dyDescent="0.25">
      <c r="A410" s="70"/>
      <c r="B410" s="123"/>
      <c r="C410" s="73"/>
      <c r="D410" s="165"/>
      <c r="E410" s="165"/>
      <c r="F410" s="165"/>
      <c r="G410" s="202"/>
      <c r="H410" s="202"/>
      <c r="I410" s="90"/>
    </row>
    <row r="411" spans="1:15" s="71" customFormat="1" ht="19.5" customHeight="1" x14ac:dyDescent="0.2">
      <c r="A411" s="419"/>
      <c r="B411" s="420"/>
      <c r="C411" s="423" t="str">
        <f>IF(L="EN","C/MPE Acceptance Report","C/MPE Abnahmeprotokoll")</f>
        <v>C/MPE Acceptance Report</v>
      </c>
      <c r="D411" s="423"/>
      <c r="E411" s="423"/>
      <c r="F411" s="424"/>
      <c r="G411" s="136" t="str">
        <f>IF(L="EN","Issue:","Ausgabe")</f>
        <v>Issue:</v>
      </c>
      <c r="H411" s="154" t="str">
        <f>IF(L="EN","Page","Blatt")</f>
        <v>Page</v>
      </c>
      <c r="I411" s="58"/>
      <c r="N411" s="331"/>
      <c r="O411" s="331"/>
    </row>
    <row r="412" spans="1:15" s="71" customFormat="1" ht="19.5" customHeight="1" thickBot="1" x14ac:dyDescent="0.25">
      <c r="A412" s="421"/>
      <c r="B412" s="422"/>
      <c r="C412" s="425"/>
      <c r="D412" s="425"/>
      <c r="E412" s="425"/>
      <c r="F412" s="426"/>
      <c r="G412" s="350" t="s">
        <v>433</v>
      </c>
      <c r="H412" s="156" t="s">
        <v>405</v>
      </c>
      <c r="I412" s="58"/>
      <c r="N412" s="331"/>
      <c r="O412" s="331"/>
    </row>
    <row r="413" spans="1:15" s="71" customFormat="1" ht="13.5" customHeight="1" thickBot="1" x14ac:dyDescent="0.25">
      <c r="A413" s="167" t="str">
        <f>IF(L="EN","section","Kapitel")</f>
        <v>section</v>
      </c>
      <c r="B413" s="427" t="str">
        <f>IF(L="EN","items to be checked","Prüfmerkmale")</f>
        <v>items to be checked</v>
      </c>
      <c r="C413" s="427"/>
      <c r="D413" s="168" t="s">
        <v>17</v>
      </c>
      <c r="E413" s="169" t="s">
        <v>18</v>
      </c>
      <c r="F413" s="170" t="s">
        <v>19</v>
      </c>
      <c r="G413" s="428" t="str">
        <f>IF(L="EN","remark","Bemerkung")</f>
        <v>remark</v>
      </c>
      <c r="H413" s="428"/>
      <c r="I413" s="58"/>
      <c r="N413" s="331"/>
      <c r="O413" s="331"/>
    </row>
    <row r="414" spans="1:15" s="71" customFormat="1" x14ac:dyDescent="0.2">
      <c r="A414" s="70"/>
      <c r="B414" s="70"/>
      <c r="C414" s="73"/>
      <c r="D414" s="165"/>
      <c r="E414" s="165"/>
      <c r="F414" s="165"/>
      <c r="G414" s="436"/>
      <c r="H414" s="436"/>
      <c r="I414" s="161"/>
      <c r="N414" s="331"/>
      <c r="O414" s="331"/>
    </row>
    <row r="415" spans="1:15" s="71" customFormat="1" ht="20.100000000000001" customHeight="1" x14ac:dyDescent="0.2">
      <c r="A415" s="70" t="s">
        <v>87</v>
      </c>
      <c r="B415" s="70" t="str">
        <f>IF(L="EN","Short circuit and overload safeguards;","Kurzschluss und Überlastschutz")</f>
        <v>Short circuit and overload safeguards;</v>
      </c>
      <c r="C415" s="73"/>
      <c r="D415" s="165"/>
      <c r="E415" s="165"/>
      <c r="F415" s="165"/>
      <c r="G415" s="436"/>
      <c r="H415" s="436"/>
      <c r="I415" s="161"/>
      <c r="N415" s="331"/>
      <c r="O415" s="331"/>
    </row>
    <row r="416" spans="1:15" ht="25.5" x14ac:dyDescent="0.2">
      <c r="A416" s="70"/>
      <c r="B416" s="123"/>
      <c r="C416" s="73" t="str">
        <f>IF(L="EN","are all motors &gt; 0.5 kW protected against overload?","alle Motoren &gt; 0,5 kW sind gegen Überlast geschützt")</f>
        <v>are all motors &gt; 0.5 kW protected against overload?</v>
      </c>
      <c r="D416" s="165"/>
      <c r="E416" s="165"/>
      <c r="F416" s="165"/>
      <c r="G416" s="437"/>
      <c r="H416" s="437"/>
      <c r="I416" s="161"/>
    </row>
    <row r="417" spans="1:15" ht="51" x14ac:dyDescent="0.2">
      <c r="A417" s="70"/>
      <c r="B417" s="123"/>
      <c r="C417" s="73" t="str">
        <f>IF(L="EN","Does equipment stay switched off following short circuits and overloads, where danger could result from a restart? (no automatic restart after cooling -down)","die Abschaltung bei Überlast oder Kurzschluss ist bleibend, wenn vom Wiederanlauf eine Gefahr ausgehen kann (kein selbständiger Wiederanlauf nach Abkühlung)")</f>
        <v>Does equipment stay switched off following short circuits and overloads, where danger could result from a restart? (no automatic restart after cooling -down)</v>
      </c>
      <c r="D417" s="165"/>
      <c r="E417" s="165"/>
      <c r="F417" s="165"/>
      <c r="G417" s="437"/>
      <c r="H417" s="437"/>
      <c r="I417" s="161"/>
    </row>
    <row r="418" spans="1:15" ht="13.5" customHeight="1" x14ac:dyDescent="0.2">
      <c r="A418" s="70"/>
      <c r="B418" s="70"/>
      <c r="C418" s="73"/>
      <c r="D418" s="165"/>
      <c r="E418" s="165"/>
      <c r="F418" s="165"/>
      <c r="G418" s="436"/>
      <c r="H418" s="436"/>
      <c r="I418" s="161"/>
    </row>
    <row r="419" spans="1:15" ht="13.5" customHeight="1" x14ac:dyDescent="0.2">
      <c r="A419" s="70" t="s">
        <v>88</v>
      </c>
      <c r="B419" s="70" t="str">
        <f>IF(L="EN","Wiring (leads, connections, plugs)","Verdrahtung (Leitungen, Klemmen, Stecker)")</f>
        <v>Wiring (leads, connections, plugs)</v>
      </c>
      <c r="C419" s="73"/>
      <c r="D419" s="165"/>
      <c r="E419" s="165"/>
      <c r="F419" s="165"/>
      <c r="G419" s="436"/>
      <c r="H419" s="436"/>
      <c r="I419" s="161"/>
    </row>
    <row r="420" spans="1:15" ht="13.5" customHeight="1" x14ac:dyDescent="0.2">
      <c r="A420" s="70" t="s">
        <v>89</v>
      </c>
      <c r="B420" s="70" t="str">
        <f>IF(L="EN","Cable colours","Drahtfarben")</f>
        <v>Cable colours</v>
      </c>
      <c r="C420" s="73"/>
      <c r="D420" s="165"/>
      <c r="E420" s="165"/>
      <c r="F420" s="165"/>
      <c r="G420" s="436"/>
      <c r="H420" s="436"/>
      <c r="I420" s="161"/>
    </row>
    <row r="421" spans="1:15" ht="13.5" customHeight="1" x14ac:dyDescent="0.2">
      <c r="A421" s="70"/>
      <c r="B421" s="123"/>
      <c r="C421" s="181" t="str">
        <f>IF(L="EN","main current cable circuit cable AC and DC (black)","Hauptstromkreis Wechsel- u. Gleichstrom (schwarz)")</f>
        <v>main current cable circuit cable AC and DC (black)</v>
      </c>
      <c r="D421" s="165"/>
      <c r="E421" s="165"/>
      <c r="F421" s="165"/>
      <c r="G421" s="437"/>
      <c r="H421" s="437"/>
      <c r="I421" s="161"/>
    </row>
    <row r="422" spans="1:15" ht="13.5" customHeight="1" x14ac:dyDescent="0.2">
      <c r="A422" s="70"/>
      <c r="B422" s="123"/>
      <c r="C422" s="181" t="str">
        <f>IF(L="EN","neutral cable(N) from main current circuit (lightblue)","Neutralleiter (N) vom Hauptstromkreis (hellblau)")</f>
        <v>neutral cable(N) from main current circuit (lightblue)</v>
      </c>
      <c r="D422" s="165"/>
      <c r="E422" s="165"/>
      <c r="F422" s="165"/>
      <c r="G422" s="437"/>
      <c r="H422" s="437"/>
      <c r="I422" s="161"/>
    </row>
    <row r="423" spans="1:15" ht="13.5" customHeight="1" x14ac:dyDescent="0.2">
      <c r="A423" s="70"/>
      <c r="B423" s="123"/>
      <c r="C423" s="181" t="str">
        <f>IF(L="EN","control circuit DC (darkblue)","Hilfsstromkreis für Gleichspannung (dunkelblau)")</f>
        <v>control circuit DC (darkblue)</v>
      </c>
      <c r="D423" s="165"/>
      <c r="E423" s="165"/>
      <c r="F423" s="165"/>
      <c r="G423" s="437"/>
      <c r="H423" s="437"/>
      <c r="I423" s="161"/>
    </row>
    <row r="424" spans="1:15" ht="13.5" customHeight="1" x14ac:dyDescent="0.2">
      <c r="A424" s="70"/>
      <c r="B424" s="123"/>
      <c r="C424" s="181" t="str">
        <f>IF(L="EN","ground cable (PEN) (green/yellow)","Erdleiter (PE) (grüngelb)")</f>
        <v>ground cable (PEN) (green/yellow)</v>
      </c>
      <c r="D424" s="165"/>
      <c r="E424" s="165"/>
      <c r="F424" s="165"/>
      <c r="G424" s="437"/>
      <c r="H424" s="437"/>
      <c r="I424" s="161"/>
    </row>
    <row r="425" spans="1:15" s="71" customFormat="1" ht="13.5" customHeight="1" x14ac:dyDescent="0.2">
      <c r="A425" s="70"/>
      <c r="B425" s="123"/>
      <c r="C425" s="251" t="str">
        <f>IF(L="EN","chaining current (integrated cr. of other utilities) (orange)","Verkettungsspannung (eingeschleifte Fremdspannung)")</f>
        <v>chaining current (integrated cr. of other utilities) (orange)</v>
      </c>
      <c r="D425" s="165"/>
      <c r="E425" s="165"/>
      <c r="F425" s="165"/>
      <c r="G425" s="437"/>
      <c r="H425" s="437"/>
      <c r="I425" s="161"/>
      <c r="N425" s="331"/>
      <c r="O425" s="331"/>
    </row>
    <row r="426" spans="1:15" ht="13.5" customHeight="1" x14ac:dyDescent="0.2">
      <c r="A426" s="70"/>
      <c r="B426" s="123"/>
      <c r="C426" s="181" t="str">
        <f>IF(L="EN","central control systems (weiß)","Leitungen der zentralen Leittechnik (weiß)")</f>
        <v>central control systems (weiß)</v>
      </c>
      <c r="D426" s="165"/>
      <c r="E426" s="165"/>
      <c r="F426" s="165"/>
      <c r="G426" s="437"/>
      <c r="H426" s="437"/>
      <c r="I426" s="252"/>
    </row>
    <row r="427" spans="1:15" ht="13.5" customHeight="1" x14ac:dyDescent="0.2">
      <c r="A427" s="70"/>
      <c r="B427" s="123"/>
      <c r="C427" s="181" t="str">
        <f>IF(L="EN","control circuit for AC (red)","Hilfsstromkreis für Wechselspannungen (rot)")</f>
        <v>control circuit for AC (red)</v>
      </c>
      <c r="D427" s="165"/>
      <c r="E427" s="165"/>
      <c r="F427" s="165"/>
      <c r="G427" s="437"/>
      <c r="H427" s="437"/>
      <c r="I427" s="161"/>
    </row>
    <row r="428" spans="1:15" x14ac:dyDescent="0.2">
      <c r="A428" s="70"/>
      <c r="B428" s="70"/>
      <c r="C428" s="73"/>
      <c r="D428" s="165"/>
      <c r="E428" s="165"/>
      <c r="F428" s="165"/>
      <c r="G428" s="436"/>
      <c r="H428" s="436"/>
      <c r="I428" s="161"/>
    </row>
    <row r="429" spans="1:15" x14ac:dyDescent="0.2">
      <c r="A429" s="70" t="s">
        <v>90</v>
      </c>
      <c r="B429" s="70" t="str">
        <f>IF(L="EN","Markings of cabels","Leitungskennzeichnung")</f>
        <v>Markings of cabels</v>
      </c>
      <c r="C429" s="73"/>
      <c r="D429" s="165"/>
      <c r="E429" s="165"/>
      <c r="F429" s="165"/>
      <c r="G429" s="436"/>
      <c r="H429" s="436"/>
      <c r="I429" s="161"/>
    </row>
    <row r="430" spans="1:15" ht="25.5" x14ac:dyDescent="0.2">
      <c r="A430" s="70"/>
      <c r="B430" s="123"/>
      <c r="C430" s="73" t="str">
        <f>IF(L="EN","Are multiple-wire cables marked with numbering (priority) or colouring","Mehraderleitungen sind bevorzugt nummeriert gekennzeichnet (oder farblich)")</f>
        <v>Are multiple-wire cables marked with numbering (priority) or colouring</v>
      </c>
      <c r="D430" s="165"/>
      <c r="E430" s="165"/>
      <c r="F430" s="165"/>
      <c r="G430" s="437"/>
      <c r="H430" s="437"/>
      <c r="I430" s="161"/>
    </row>
    <row r="431" spans="1:15" ht="20.100000000000001" customHeight="1" x14ac:dyDescent="0.2">
      <c r="A431" s="70" t="s">
        <v>91</v>
      </c>
      <c r="B431" s="70" t="str">
        <f>IF(L="EN","Marking of terminals and terminal strips","Kennzeichnung Klemmen und Klemmleisten")</f>
        <v>Marking of terminals and terminal strips</v>
      </c>
      <c r="C431" s="73"/>
      <c r="D431" s="165"/>
      <c r="E431" s="165"/>
      <c r="F431" s="165"/>
      <c r="G431" s="436"/>
      <c r="H431" s="436"/>
      <c r="I431" s="161"/>
    </row>
    <row r="432" spans="1:15" ht="25.5" x14ac:dyDescent="0.2">
      <c r="A432" s="70"/>
      <c r="B432" s="123"/>
      <c r="C432" s="73" t="str">
        <f>IF(L="EN","terminals and terminal strips are permanently labelled according to the circuit diagram","Klemmen und Klemmleisten sind gemäß Stromlaufplan dauerhaft gekennzeichnet")</f>
        <v>terminals and terminal strips are permanently labelled according to the circuit diagram</v>
      </c>
      <c r="D432" s="165"/>
      <c r="E432" s="165"/>
      <c r="F432" s="165"/>
      <c r="G432" s="437"/>
      <c r="H432" s="437"/>
      <c r="I432" s="161"/>
    </row>
    <row r="433" spans="1:9" x14ac:dyDescent="0.2">
      <c r="A433" s="70" t="s">
        <v>92</v>
      </c>
      <c r="B433" s="70" t="str">
        <f>IF(L="EN","Plug-in connectors","Steckverbindungen")</f>
        <v>Plug-in connectors</v>
      </c>
      <c r="C433" s="73"/>
      <c r="D433" s="165"/>
      <c r="E433" s="165"/>
      <c r="F433" s="165"/>
      <c r="G433" s="436"/>
      <c r="H433" s="436"/>
      <c r="I433" s="161"/>
    </row>
    <row r="434" spans="1:9" ht="23.25" customHeight="1" x14ac:dyDescent="0.2">
      <c r="A434" s="70"/>
      <c r="B434" s="123"/>
      <c r="C434" s="73" t="str">
        <f>IF(L="EN","only appropriate connectors are used","es sind nur geeignete Steckverbindungen vorhanden")</f>
        <v>only appropriate connectors are used</v>
      </c>
      <c r="D434" s="165"/>
      <c r="E434" s="165"/>
      <c r="F434" s="165"/>
      <c r="G434" s="437"/>
      <c r="H434" s="437"/>
      <c r="I434" s="161"/>
    </row>
    <row r="435" spans="1:9" ht="38.25" x14ac:dyDescent="0.2">
      <c r="A435" s="70"/>
      <c r="B435" s="123"/>
      <c r="C435" s="187" t="str">
        <f>IF(L="EN","the insertion of connectors into the wrong receptacle is impossible or through clear identification the proper connection is ensured","elektrische Steckkarten sind gegen Herausfallen gesichert")</f>
        <v>the insertion of connectors into the wrong receptacle is impossible or through clear identification the proper connection is ensured</v>
      </c>
      <c r="D435" s="165"/>
      <c r="E435" s="165"/>
      <c r="F435" s="165"/>
      <c r="G435" s="437"/>
      <c r="H435" s="437"/>
      <c r="I435" s="161"/>
    </row>
    <row r="436" spans="1:9" x14ac:dyDescent="0.2">
      <c r="A436" s="161"/>
      <c r="B436" s="161"/>
      <c r="C436" s="90"/>
      <c r="D436" s="115"/>
      <c r="E436" s="115"/>
      <c r="F436" s="115"/>
      <c r="G436" s="438"/>
      <c r="H436" s="438"/>
      <c r="I436" s="161"/>
    </row>
    <row r="437" spans="1:9" x14ac:dyDescent="0.2">
      <c r="A437" s="161" t="s">
        <v>93</v>
      </c>
      <c r="B437" s="161" t="str">
        <f>IF(L="EN","Control panel / Operator panel","Steuerpult / Bedienfeld")</f>
        <v>Control panel / Operator panel</v>
      </c>
      <c r="C437" s="90"/>
      <c r="D437" s="115"/>
      <c r="E437" s="115"/>
      <c r="F437" s="115"/>
      <c r="G437" s="438"/>
      <c r="H437" s="438"/>
      <c r="I437" s="161"/>
    </row>
    <row r="438" spans="1:9" x14ac:dyDescent="0.2">
      <c r="A438" s="70" t="s">
        <v>94</v>
      </c>
      <c r="B438" s="70" t="str">
        <f>IF(L="EN","Degree of protection","Schutzart")</f>
        <v>Degree of protection</v>
      </c>
      <c r="C438" s="73"/>
      <c r="D438" s="165"/>
      <c r="E438" s="165"/>
      <c r="F438" s="165"/>
      <c r="G438" s="436"/>
      <c r="H438" s="436"/>
      <c r="I438" s="161"/>
    </row>
    <row r="439" spans="1:9" ht="25.5" x14ac:dyDescent="0.2">
      <c r="A439" s="70"/>
      <c r="B439" s="123"/>
      <c r="C439" s="73" t="str">
        <f>IF(L="EN","Does IP Degree of protection match local requirements?","die Schutzart IP entspricht den örtlichen Gegebenheiten")</f>
        <v>Does IP Degree of protection match local requirements?</v>
      </c>
      <c r="D439" s="165"/>
      <c r="E439" s="165"/>
      <c r="F439" s="165"/>
      <c r="G439" s="437"/>
      <c r="H439" s="437"/>
      <c r="I439" s="161"/>
    </row>
    <row r="440" spans="1:9" x14ac:dyDescent="0.2">
      <c r="A440" s="70" t="s">
        <v>95</v>
      </c>
      <c r="B440" s="70" t="str">
        <f>IF(L="EN","Protection against contact","Berührungsschutz")</f>
        <v>Protection against contact</v>
      </c>
      <c r="C440" s="73"/>
      <c r="D440" s="165"/>
      <c r="E440" s="165"/>
      <c r="F440" s="165"/>
      <c r="G440" s="436"/>
      <c r="H440" s="436"/>
    </row>
    <row r="441" spans="1:9" ht="23.25" customHeight="1" x14ac:dyDescent="0.2">
      <c r="A441" s="70"/>
      <c r="B441" s="123"/>
      <c r="C441" s="73" t="str">
        <f>IF(L="EN","Are active parts protected against unintentional or accidental contact, or safe for fingers?","aktive Teile auf der Innenseite sind handrücken- bzw. fingersicher""")</f>
        <v>Are active parts protected against unintentional or accidental contact, or safe for fingers?</v>
      </c>
      <c r="D441" s="165"/>
      <c r="E441" s="165"/>
      <c r="F441" s="165"/>
      <c r="G441" s="437"/>
      <c r="H441" s="437"/>
    </row>
    <row r="442" spans="1:9" x14ac:dyDescent="0.2">
      <c r="A442" s="57" t="s">
        <v>96</v>
      </c>
      <c r="B442" s="57" t="str">
        <f>IF(L="EN","Switches, buttons, display lamps","Schalter, Taster und Meldeleuchten")</f>
        <v>Switches, buttons, display lamps</v>
      </c>
      <c r="C442" s="73"/>
      <c r="D442" s="165"/>
      <c r="E442" s="165"/>
      <c r="F442" s="165"/>
      <c r="G442" s="436"/>
      <c r="H442" s="436"/>
    </row>
    <row r="443" spans="1:9" ht="20.100000000000001" customHeight="1" x14ac:dyDescent="0.2">
      <c r="A443" s="70"/>
      <c r="B443" s="123"/>
      <c r="C443" s="73" t="str">
        <f>IF(L="EN","clearly arranged and ergonomical?","sind übersichtlich und ergonomisch angeordnet")</f>
        <v>clearly arranged and ergonomical?</v>
      </c>
      <c r="D443" s="165"/>
      <c r="E443" s="165"/>
      <c r="F443" s="165"/>
      <c r="G443" s="437"/>
      <c r="H443" s="437"/>
    </row>
    <row r="444" spans="1:9" ht="13.5" customHeight="1" x14ac:dyDescent="0.2">
      <c r="A444" s="70"/>
      <c r="B444" s="123"/>
      <c r="C444" s="73" t="str">
        <f>IF(L="EN","protected against unintentional switching off ","gegen unbeabsichtigtes Auslösen gesichert")</f>
        <v xml:space="preserve">protected against unintentional switching off </v>
      </c>
      <c r="D444" s="165"/>
      <c r="E444" s="165"/>
      <c r="F444" s="165"/>
      <c r="G444" s="437"/>
      <c r="H444" s="437"/>
      <c r="I444" s="161"/>
    </row>
    <row r="445" spans="1:9" ht="25.5" x14ac:dyDescent="0.2">
      <c r="A445" s="57"/>
      <c r="B445" s="123"/>
      <c r="C445" s="73" t="str">
        <f>IF(L="EN","Are the colours as per 
C/MPE / FL.... Specification","Farben entsprechen der 
C/MPE / FL...... Vorschrift")</f>
        <v>Are the colours as per 
C/MPE / FL.... Specification</v>
      </c>
      <c r="D445" s="165"/>
      <c r="E445" s="165"/>
      <c r="F445" s="165"/>
      <c r="G445" s="437"/>
      <c r="H445" s="437"/>
      <c r="I445" s="161"/>
    </row>
    <row r="446" spans="1:9" x14ac:dyDescent="0.2">
      <c r="A446" s="57"/>
      <c r="B446" s="57"/>
      <c r="C446" s="73"/>
      <c r="D446" s="165"/>
      <c r="E446" s="165"/>
      <c r="F446" s="165"/>
      <c r="G446" s="436"/>
      <c r="H446" s="436"/>
      <c r="I446" s="161"/>
    </row>
    <row r="447" spans="1:9" x14ac:dyDescent="0.2">
      <c r="A447" s="57" t="s">
        <v>97</v>
      </c>
      <c r="B447" s="57" t="str">
        <f>IF(L="EN","Marking of built-in devices","Bezeichnung der Betriebsmittel")</f>
        <v>Marking of built-in devices</v>
      </c>
      <c r="C447" s="73"/>
      <c r="D447" s="165"/>
      <c r="E447" s="165"/>
      <c r="F447" s="165"/>
      <c r="G447" s="436"/>
      <c r="H447" s="436"/>
    </row>
    <row r="448" spans="1:9" ht="38.25" x14ac:dyDescent="0.2">
      <c r="A448" s="70"/>
      <c r="B448" s="123"/>
      <c r="C448" s="73" t="str">
        <f>IF(L="EN","Are built-in devices as per DIN EN 61346-1 and DIN EN 61346-2 permanently marked on the equipment or mounting plate?","alle Betriebsmittel sind nach DIN EN 61346-1 und DIN EN 61346-2 gemäß dem Schaltplan dauerhaft bezeichnet (auf Gerät oder Montageplatte)")</f>
        <v>Are built-in devices as per DIN EN 61346-1 and DIN EN 61346-2 permanently marked on the equipment or mounting plate?</v>
      </c>
      <c r="D448" s="165"/>
      <c r="E448" s="165"/>
      <c r="F448" s="165"/>
      <c r="G448" s="437"/>
      <c r="H448" s="437"/>
    </row>
    <row r="449" spans="1:15" x14ac:dyDescent="0.2">
      <c r="A449" s="70"/>
      <c r="B449" s="123"/>
      <c r="C449" s="73"/>
      <c r="D449" s="165"/>
      <c r="E449" s="165"/>
      <c r="F449" s="165"/>
      <c r="G449" s="201"/>
      <c r="H449" s="201"/>
    </row>
    <row r="450" spans="1:15" x14ac:dyDescent="0.2">
      <c r="A450" s="70"/>
      <c r="B450" s="123"/>
      <c r="C450" s="73"/>
      <c r="D450" s="165"/>
      <c r="E450" s="165"/>
      <c r="F450" s="165"/>
      <c r="G450" s="201"/>
      <c r="H450" s="201"/>
    </row>
    <row r="451" spans="1:15" x14ac:dyDescent="0.2">
      <c r="A451" s="70"/>
      <c r="B451" s="123"/>
      <c r="C451" s="73"/>
      <c r="D451" s="165"/>
      <c r="E451" s="165"/>
      <c r="F451" s="165"/>
      <c r="G451" s="201"/>
      <c r="H451" s="201"/>
    </row>
    <row r="452" spans="1:15" x14ac:dyDescent="0.2">
      <c r="A452" s="70"/>
      <c r="B452" s="123"/>
      <c r="C452" s="73"/>
      <c r="D452" s="165"/>
      <c r="E452" s="165"/>
      <c r="F452" s="165"/>
      <c r="G452" s="201"/>
      <c r="H452" s="201"/>
    </row>
    <row r="453" spans="1:15" x14ac:dyDescent="0.2">
      <c r="A453" s="70"/>
      <c r="B453" s="123"/>
      <c r="C453" s="73"/>
      <c r="D453" s="165"/>
      <c r="E453" s="165"/>
      <c r="F453" s="165"/>
      <c r="G453" s="201"/>
      <c r="H453" s="201"/>
    </row>
    <row r="454" spans="1:15" ht="13.5" thickBot="1" x14ac:dyDescent="0.25">
      <c r="A454" s="57"/>
      <c r="B454" s="57"/>
      <c r="C454" s="73"/>
      <c r="D454" s="165"/>
      <c r="E454" s="165"/>
      <c r="F454" s="165"/>
      <c r="G454" s="436"/>
      <c r="H454" s="436"/>
      <c r="I454" s="195"/>
    </row>
    <row r="455" spans="1:15" s="71" customFormat="1" ht="19.5" customHeight="1" x14ac:dyDescent="0.2">
      <c r="A455" s="419"/>
      <c r="B455" s="420"/>
      <c r="C455" s="423" t="str">
        <f>IF(L="EN","C/MPE Acceptance Report","C/MPE Abnahmeprotokoll")</f>
        <v>C/MPE Acceptance Report</v>
      </c>
      <c r="D455" s="423"/>
      <c r="E455" s="423"/>
      <c r="F455" s="424"/>
      <c r="G455" s="136" t="str">
        <f>IF(L="EN","Issue:","Ausgabe")</f>
        <v>Issue:</v>
      </c>
      <c r="H455" s="154" t="str">
        <f>IF(L="EN","Page","Blatt")</f>
        <v>Page</v>
      </c>
      <c r="I455" s="58"/>
      <c r="N455" s="331"/>
      <c r="O455" s="331"/>
    </row>
    <row r="456" spans="1:15" s="71" customFormat="1" ht="19.5" customHeight="1" thickBot="1" x14ac:dyDescent="0.25">
      <c r="A456" s="421"/>
      <c r="B456" s="422"/>
      <c r="C456" s="425"/>
      <c r="D456" s="425"/>
      <c r="E456" s="425"/>
      <c r="F456" s="426"/>
      <c r="G456" s="350" t="s">
        <v>433</v>
      </c>
      <c r="H456" s="156" t="s">
        <v>406</v>
      </c>
      <c r="I456" s="58"/>
      <c r="N456" s="331"/>
      <c r="O456" s="331"/>
    </row>
    <row r="457" spans="1:15" s="71" customFormat="1" ht="13.5" customHeight="1" thickBot="1" x14ac:dyDescent="0.25">
      <c r="A457" s="167" t="str">
        <f>IF(L="EN","section","Kapitel")</f>
        <v>section</v>
      </c>
      <c r="B457" s="427" t="str">
        <f>IF(L="EN","items to be checked","Prüfmerkmale")</f>
        <v>items to be checked</v>
      </c>
      <c r="C457" s="427"/>
      <c r="D457" s="168" t="s">
        <v>17</v>
      </c>
      <c r="E457" s="169" t="s">
        <v>18</v>
      </c>
      <c r="F457" s="170" t="s">
        <v>19</v>
      </c>
      <c r="G457" s="428" t="str">
        <f>IF(L="EN","remark","Bemerkung")</f>
        <v>remark</v>
      </c>
      <c r="H457" s="428"/>
      <c r="I457" s="58"/>
      <c r="N457" s="331"/>
      <c r="O457" s="331"/>
    </row>
    <row r="458" spans="1:15" x14ac:dyDescent="0.2">
      <c r="A458" s="70"/>
      <c r="B458" s="70"/>
      <c r="C458" s="73"/>
      <c r="D458" s="165"/>
      <c r="E458" s="165"/>
      <c r="F458" s="165"/>
      <c r="G458" s="436"/>
      <c r="H458" s="436"/>
      <c r="I458" s="195"/>
    </row>
    <row r="459" spans="1:15" x14ac:dyDescent="0.2">
      <c r="A459" s="57" t="s">
        <v>77</v>
      </c>
      <c r="B459" s="57" t="str">
        <f>IF(L="EN","Grounding","Erdung")</f>
        <v>Grounding</v>
      </c>
      <c r="C459" s="73"/>
      <c r="D459" s="165"/>
      <c r="E459" s="165"/>
      <c r="F459" s="165"/>
      <c r="G459" s="436"/>
      <c r="H459" s="436"/>
    </row>
    <row r="460" spans="1:15" ht="38.25" x14ac:dyDescent="0.2">
      <c r="A460" s="57"/>
      <c r="B460" s="123"/>
      <c r="C460" s="73" t="str">
        <f>IF(L="EN","Are the control panel, mounting plates and doors grounded and are the terminals provided with the ground symbol?","Steuerpult, Montageplatten und Türen sind geerdet und die Schutzleiteranschlussklemmen mit Erdungskennzeichen versehen")</f>
        <v>Are the control panel, mounting plates and doors grounded and are the terminals provided with the ground symbol?</v>
      </c>
      <c r="D460" s="165"/>
      <c r="E460" s="165"/>
      <c r="F460" s="165"/>
      <c r="G460" s="437"/>
      <c r="H460" s="437"/>
    </row>
    <row r="461" spans="1:15" x14ac:dyDescent="0.2">
      <c r="A461" s="57"/>
      <c r="B461" s="57"/>
      <c r="C461" s="73"/>
      <c r="D461" s="165"/>
      <c r="E461" s="165"/>
      <c r="F461" s="165"/>
      <c r="G461" s="436"/>
      <c r="H461" s="436"/>
    </row>
    <row r="462" spans="1:15" x14ac:dyDescent="0.2">
      <c r="A462" s="57" t="s">
        <v>98</v>
      </c>
      <c r="B462" s="57" t="str">
        <f>IF(L="EN","Cables, wiring, connectors","Kabel, Verdrahtung, Steckverbindungen")</f>
        <v>Cables, wiring, connectors</v>
      </c>
      <c r="C462" s="73"/>
      <c r="D462" s="165"/>
      <c r="E462" s="165"/>
      <c r="F462" s="165"/>
      <c r="G462" s="436"/>
      <c r="H462" s="436"/>
    </row>
    <row r="463" spans="1:15" x14ac:dyDescent="0.2">
      <c r="A463" s="70"/>
      <c r="B463" s="123"/>
      <c r="C463" s="73" t="str">
        <f>IF(L="EN","are correct wiring colours used (4.3.16.1)?","Drahtfarben wie oben ausgeführt (4.3.16.1)")</f>
        <v>are correct wiring colours used (4.3.16.1)?</v>
      </c>
      <c r="D463" s="165"/>
      <c r="E463" s="165"/>
      <c r="F463" s="165"/>
      <c r="G463" s="437"/>
      <c r="H463" s="437"/>
    </row>
    <row r="464" spans="1:15" ht="25.5" x14ac:dyDescent="0.2">
      <c r="A464" s="70"/>
      <c r="B464" s="123"/>
      <c r="C464" s="73" t="str">
        <f>IF(L="EN","are cables, terminals, and terminalstrips permanently marked as per the circuit diagram?","Leitungen, Klemmen und Klemmleisten sind gemäß Stromlaufplan dauerhaft gekennzeichnet")</f>
        <v>are cables, terminals, and terminalstrips permanently marked as per the circuit diagram?</v>
      </c>
      <c r="D464" s="165"/>
      <c r="E464" s="165"/>
      <c r="F464" s="165"/>
      <c r="G464" s="437"/>
      <c r="H464" s="437"/>
      <c r="I464" s="161"/>
    </row>
    <row r="465" spans="1:9" ht="38.25" x14ac:dyDescent="0.2">
      <c r="A465" s="57"/>
      <c r="B465" s="123"/>
      <c r="C465" s="73" t="str">
        <f>IF(L="EN","The insertion of connectors into the wrong receptacle is impossible or through clear identification the proper connection is ensured.","eine Vertauschung von Steckverbindungen ist ausgeschlossen oder durch eindeutige Kennzeichnung bzw. mechanische Kodierung sichergestellt")</f>
        <v>The insertion of connectors into the wrong receptacle is impossible or through clear identification the proper connection is ensured.</v>
      </c>
      <c r="D465" s="165"/>
      <c r="E465" s="165"/>
      <c r="F465" s="165"/>
      <c r="G465" s="437"/>
      <c r="H465" s="437"/>
    </row>
    <row r="466" spans="1:9" x14ac:dyDescent="0.2">
      <c r="A466" s="57"/>
      <c r="B466" s="123"/>
      <c r="C466" s="73" t="str">
        <f>IF(L="EN","Are all spare wires connected to terminals?","Reservedrähte sind sämtlich auf Klemmen oder Stecker gelegt")</f>
        <v>Are all spare wires connected to terminals?</v>
      </c>
      <c r="D466" s="165"/>
      <c r="E466" s="165"/>
      <c r="F466" s="165"/>
      <c r="G466" s="437"/>
      <c r="H466" s="437"/>
    </row>
    <row r="467" spans="1:9" ht="38.25" x14ac:dyDescent="0.2">
      <c r="A467" s="57"/>
      <c r="B467" s="123"/>
      <c r="C467" s="73" t="str">
        <f>IF(L="EN","Are there no indentations on the connection leads between doors and control console? (prefarebly flexible conduit)","Verbindungsleitungen weisen keine Druck- oder Quetschstellen zwischen Türen, Steuerpulte, etc. auf (Verlegung vorzugsweise im Schlauch)")</f>
        <v>Are there no indentations on the connection leads between doors and control console? (prefarebly flexible conduit)</v>
      </c>
      <c r="D467" s="165"/>
      <c r="E467" s="165"/>
      <c r="F467" s="165"/>
      <c r="G467" s="437"/>
      <c r="H467" s="437"/>
    </row>
    <row r="468" spans="1:9" x14ac:dyDescent="0.2">
      <c r="A468" s="57"/>
      <c r="B468" s="57"/>
      <c r="C468" s="73"/>
      <c r="D468" s="165"/>
      <c r="E468" s="165"/>
      <c r="F468" s="165"/>
      <c r="G468" s="436"/>
      <c r="H468" s="436"/>
    </row>
    <row r="469" spans="1:9" x14ac:dyDescent="0.2">
      <c r="A469" s="57" t="s">
        <v>99</v>
      </c>
      <c r="B469" s="57" t="str">
        <f>IF(L="EN","Machine installation","Maschineninstallation")</f>
        <v>Machine installation</v>
      </c>
      <c r="C469" s="73"/>
      <c r="D469" s="165"/>
      <c r="E469" s="165"/>
      <c r="F469" s="165"/>
      <c r="G469" s="436"/>
      <c r="H469" s="436"/>
    </row>
    <row r="470" spans="1:9" x14ac:dyDescent="0.2">
      <c r="A470" s="57" t="s">
        <v>100</v>
      </c>
      <c r="B470" s="57" t="str">
        <f>IF(L="EN","Terminal boxes","Klemmenkästen")</f>
        <v>Terminal boxes</v>
      </c>
      <c r="C470" s="73"/>
      <c r="D470" s="165"/>
      <c r="E470" s="165"/>
      <c r="F470" s="165"/>
      <c r="G470" s="436"/>
      <c r="H470" s="436"/>
    </row>
    <row r="471" spans="1:9" x14ac:dyDescent="0.2">
      <c r="A471" s="57" t="s">
        <v>101</v>
      </c>
      <c r="B471" s="157" t="str">
        <f>IF(L="EN","General","Allgemein")</f>
        <v>General</v>
      </c>
      <c r="C471" s="73"/>
      <c r="D471" s="165"/>
      <c r="E471" s="165"/>
      <c r="F471" s="165"/>
      <c r="G471" s="436"/>
      <c r="H471" s="436"/>
    </row>
    <row r="472" spans="1:9" x14ac:dyDescent="0.2">
      <c r="A472" s="70"/>
      <c r="B472" s="123"/>
      <c r="C472" s="73" t="str">
        <f>IF(L="EN","Is a flash symbol attached?","Blitzpfeile sind angebracht")</f>
        <v>Is a flash symbol attached?</v>
      </c>
      <c r="D472" s="165"/>
      <c r="E472" s="165"/>
      <c r="F472" s="165"/>
      <c r="G472" s="437"/>
      <c r="H472" s="437"/>
    </row>
    <row r="473" spans="1:9" x14ac:dyDescent="0.2">
      <c r="A473" s="57"/>
      <c r="B473" s="123"/>
      <c r="C473" s="73" t="str">
        <f>IF(L="EN","Does IP protection conform to local requirements?","Schutzart IP entspricht den örtlichen Gegebenheiten")</f>
        <v>Does IP protection conform to local requirements?</v>
      </c>
      <c r="D473" s="165"/>
      <c r="E473" s="165"/>
      <c r="F473" s="165"/>
      <c r="G473" s="437"/>
      <c r="H473" s="437"/>
      <c r="I473" s="161"/>
    </row>
    <row r="474" spans="1:9" ht="15" customHeight="1" x14ac:dyDescent="0.2">
      <c r="A474" s="57"/>
      <c r="B474" s="123"/>
      <c r="C474" s="73" t="str">
        <f>IF(L="EN","Are all spare openings covered as per IP?","Reserveöffnungen sind gemäß IP verschlossen")</f>
        <v>Are all spare openings covered as per IP?</v>
      </c>
      <c r="D474" s="165"/>
      <c r="E474" s="165"/>
      <c r="F474" s="165"/>
      <c r="G474" s="437"/>
      <c r="H474" s="437"/>
    </row>
    <row r="475" spans="1:9" ht="25.5" x14ac:dyDescent="0.2">
      <c r="A475" s="57"/>
      <c r="B475" s="123"/>
      <c r="C475" s="194" t="str">
        <f>IF(L="EN","Can the terminal box only be opened with a tool, preferably a double-cam key?","der Klemmenkasten ist nur mit Werkzeug, vorzugsweise mit Doppelbartschlüssen zu öffnen  ")</f>
        <v>Can the terminal box only be opened with a tool, preferably a double-cam key?</v>
      </c>
      <c r="D475" s="165"/>
      <c r="E475" s="165"/>
      <c r="F475" s="165"/>
      <c r="G475" s="437"/>
      <c r="H475" s="437"/>
    </row>
    <row r="476" spans="1:9" ht="20.100000000000001" customHeight="1" x14ac:dyDescent="0.2">
      <c r="A476" s="57" t="s">
        <v>102</v>
      </c>
      <c r="B476" s="57" t="str">
        <f>IF(L="EN","Grounding","Erdung")</f>
        <v>Grounding</v>
      </c>
      <c r="C476" s="73"/>
      <c r="D476" s="165"/>
      <c r="E476" s="165"/>
      <c r="F476" s="165"/>
      <c r="G476" s="436"/>
      <c r="H476" s="436"/>
    </row>
    <row r="477" spans="1:9" ht="25.5" x14ac:dyDescent="0.2">
      <c r="A477" s="57"/>
      <c r="B477" s="123"/>
      <c r="C477" s="73" t="str">
        <f>IF(L="EN","Are terminal boxes grounded and do ground  connection terminals carry a ground making?","die Klemmenkästen sind geerdet und die Schutzleiteranschlussklemmen mit dem Erdungskennzeichen versehen")</f>
        <v>Are terminal boxes grounded and do ground  connection terminals carry a ground making?</v>
      </c>
      <c r="D477" s="165"/>
      <c r="E477" s="165"/>
      <c r="F477" s="165"/>
      <c r="G477" s="437"/>
      <c r="H477" s="437"/>
    </row>
    <row r="478" spans="1:9" x14ac:dyDescent="0.2">
      <c r="A478" s="57"/>
      <c r="B478" s="57"/>
      <c r="C478" s="73"/>
      <c r="D478" s="165"/>
      <c r="E478" s="165"/>
      <c r="F478" s="165"/>
      <c r="G478" s="436"/>
      <c r="H478" s="436"/>
    </row>
    <row r="479" spans="1:9" x14ac:dyDescent="0.2">
      <c r="A479" s="57" t="s">
        <v>103</v>
      </c>
      <c r="B479" s="57" t="str">
        <f>IF(L="EN","Cables, wiring, connectors","Kabel, Verdrahtung, Steckverbindungen")</f>
        <v>Cables, wiring, connectors</v>
      </c>
      <c r="C479" s="73"/>
      <c r="D479" s="165"/>
      <c r="E479" s="165"/>
      <c r="F479" s="165"/>
      <c r="G479" s="436"/>
      <c r="H479" s="436"/>
    </row>
    <row r="480" spans="1:9" ht="25.5" x14ac:dyDescent="0.2">
      <c r="A480" s="57"/>
      <c r="B480" s="123"/>
      <c r="C480" s="73" t="str">
        <f>IF(L="EN","Do the main leads enter from below or from the side and is taped screw used? (tension relieved)","Leitungseinführungen sind mit Konus-verschraubungen (Zugentlastung) ausgeführt")</f>
        <v>Do the main leads enter from below or from the side and is taped screw used? (tension relieved)</v>
      </c>
      <c r="D480" s="165"/>
      <c r="E480" s="165"/>
      <c r="F480" s="165"/>
      <c r="G480" s="437"/>
      <c r="H480" s="437"/>
    </row>
    <row r="481" spans="1:15" ht="25.5" x14ac:dyDescent="0.2">
      <c r="A481" s="57"/>
      <c r="B481" s="123"/>
      <c r="C481" s="73" t="str">
        <f>IF(L="EN","Are the main leads secured/strain relieved at the entry into the control panel?","Leitungseinführung nur von unten bzw. seitlich")</f>
        <v>Are the main leads secured/strain relieved at the entry into the control panel?</v>
      </c>
      <c r="D481" s="165"/>
      <c r="E481" s="165"/>
      <c r="F481" s="165"/>
      <c r="G481" s="437"/>
      <c r="H481" s="437"/>
    </row>
    <row r="482" spans="1:15" x14ac:dyDescent="0.2">
      <c r="A482" s="57"/>
      <c r="B482" s="123"/>
      <c r="C482" s="73" t="str">
        <f>IF(L="EN","10% reserve exists","10% Reserve vorhanden")</f>
        <v>10% reserve exists</v>
      </c>
      <c r="D482" s="165"/>
      <c r="E482" s="165"/>
      <c r="F482" s="165"/>
      <c r="G482" s="437"/>
      <c r="H482" s="437"/>
    </row>
    <row r="483" spans="1:15" s="71" customFormat="1" x14ac:dyDescent="0.2">
      <c r="A483" s="57"/>
      <c r="B483" s="123"/>
      <c r="C483" s="73" t="str">
        <f>IF(L="EN","no non-electrical devices (pneumatic, hydraulic)","keine Fremdeinbauten (Pneumatik, Hydraulik)")</f>
        <v>no non-electrical devices (pneumatic, hydraulic)</v>
      </c>
      <c r="D483" s="165"/>
      <c r="E483" s="165"/>
      <c r="F483" s="165"/>
      <c r="G483" s="437"/>
      <c r="H483" s="437"/>
      <c r="I483" s="157"/>
      <c r="N483" s="331"/>
      <c r="O483" s="331"/>
    </row>
    <row r="484" spans="1:15" s="71" customFormat="1" ht="15.75" customHeight="1" x14ac:dyDescent="0.2">
      <c r="A484" s="57"/>
      <c r="B484" s="123"/>
      <c r="C484" s="73" t="str">
        <f>IF(L="EN","Are correct wiring colours used?(4.3.16.1)","Drahtfarben wie oben ausgeführt (4.3.16.1)")</f>
        <v>Are correct wiring colours used?(4.3.16.1)</v>
      </c>
      <c r="D484" s="165"/>
      <c r="E484" s="165"/>
      <c r="F484" s="165"/>
      <c r="G484" s="437"/>
      <c r="H484" s="437"/>
      <c r="I484" s="157"/>
      <c r="N484" s="331"/>
      <c r="O484" s="331"/>
    </row>
    <row r="485" spans="1:15" ht="38.25" x14ac:dyDescent="0.2">
      <c r="A485" s="70"/>
      <c r="B485" s="123"/>
      <c r="C485" s="73" t="str">
        <f>IF(L="EN","Wires, terminals and terminal strips are permanently labelled according to the circuit diagram","Leitungen, Klemmen und Klemmleisten sind gemäß Stromlaufplan dauerhaft gekennzeichnet")</f>
        <v>Wires, terminals and terminal strips are permanently labelled according to the circuit diagram</v>
      </c>
      <c r="D485" s="165"/>
      <c r="E485" s="165"/>
      <c r="F485" s="165"/>
      <c r="G485" s="437"/>
      <c r="H485" s="437"/>
    </row>
    <row r="486" spans="1:15" x14ac:dyDescent="0.2">
      <c r="A486" s="57" t="s">
        <v>104</v>
      </c>
      <c r="B486" s="171" t="str">
        <f>IF(L="EN","Sensors and actuators","Signal-, Stell- und Antriebsglieder")</f>
        <v>Sensors and actuators</v>
      </c>
      <c r="C486" s="73"/>
      <c r="D486" s="165"/>
      <c r="E486" s="165"/>
      <c r="F486" s="165"/>
      <c r="G486" s="436"/>
      <c r="H486" s="436"/>
    </row>
    <row r="487" spans="1:15" x14ac:dyDescent="0.2">
      <c r="A487" s="57" t="s">
        <v>105</v>
      </c>
      <c r="B487" s="57" t="str">
        <f>IF(L="EN","General","Allgemein")</f>
        <v>General</v>
      </c>
      <c r="C487" s="73"/>
      <c r="D487" s="165"/>
      <c r="E487" s="165"/>
      <c r="F487" s="165"/>
      <c r="G487" s="193"/>
      <c r="H487" s="193"/>
    </row>
    <row r="488" spans="1:15" ht="41.25" customHeight="1" x14ac:dyDescent="0.2">
      <c r="A488" s="57"/>
      <c r="B488" s="190"/>
      <c r="C488" s="200" t="str">
        <f>IF(L="EN","Are proximity /limit switches, light-barriers, valves, motors etc. easily accessible, clearly arranged and permanently marked per the circuit diagram?","Näherungsschalter, Endschalter, Lichtschranken, Ventile, Motoren usw. sind gut zugänglich u. übersichtlich angeordnet und dauerhaft gemäß Stromlaufplan bezeichnet")</f>
        <v>Are proximity /limit switches, light-barriers, valves, motors etc. easily accessible, clearly arranged and permanently marked per the circuit diagram?</v>
      </c>
      <c r="D488" s="165"/>
      <c r="E488" s="165"/>
      <c r="F488" s="165"/>
      <c r="G488" s="437"/>
      <c r="H488" s="437"/>
    </row>
    <row r="489" spans="1:15" ht="25.5" x14ac:dyDescent="0.2">
      <c r="A489" s="57"/>
      <c r="B489" s="190"/>
      <c r="C489" s="200" t="str">
        <f>IF(L="EN","where there is a danger of confusion, is there an additional label attached to the main cable?","bei Verwechslungsgefahr ist am Anschlusskabel ein Hängeschild angebrachtv")</f>
        <v>where there is a danger of confusion, is there an additional label attached to the main cable?</v>
      </c>
      <c r="D489" s="165"/>
      <c r="E489" s="165"/>
      <c r="F489" s="165"/>
      <c r="G489" s="437"/>
      <c r="H489" s="437"/>
    </row>
    <row r="490" spans="1:15" ht="25.5" x14ac:dyDescent="0.2">
      <c r="A490" s="57"/>
      <c r="B490" s="190"/>
      <c r="C490" s="200" t="str">
        <f>IF(L="EN","Do sensors and actuators have status displays (LED) ?","Signal- und Stellglieder haben eine Statusanzeige (LED)")</f>
        <v>Do sensors and actuators have status displays (LED) ?</v>
      </c>
      <c r="D490" s="165"/>
      <c r="E490" s="165"/>
      <c r="F490" s="165"/>
      <c r="G490" s="437"/>
      <c r="H490" s="437"/>
    </row>
    <row r="491" spans="1:15" x14ac:dyDescent="0.2">
      <c r="A491" s="57"/>
      <c r="B491" s="190"/>
      <c r="C491" s="200"/>
      <c r="D491" s="165"/>
      <c r="E491" s="165"/>
      <c r="F491" s="165"/>
      <c r="G491" s="202"/>
      <c r="H491" s="202"/>
    </row>
    <row r="492" spans="1:15" x14ac:dyDescent="0.2">
      <c r="A492" s="57"/>
      <c r="B492" s="190"/>
      <c r="C492" s="200"/>
      <c r="D492" s="165"/>
      <c r="E492" s="165"/>
      <c r="F492" s="165"/>
      <c r="G492" s="202"/>
      <c r="H492" s="202"/>
    </row>
    <row r="493" spans="1:15" x14ac:dyDescent="0.2">
      <c r="A493" s="57"/>
      <c r="B493" s="190"/>
      <c r="C493" s="200"/>
      <c r="D493" s="165"/>
      <c r="E493" s="165"/>
      <c r="F493" s="165"/>
      <c r="G493" s="202"/>
      <c r="H493" s="202"/>
    </row>
    <row r="494" spans="1:15" ht="13.5" thickBot="1" x14ac:dyDescent="0.25">
      <c r="A494" s="57"/>
      <c r="B494" s="190"/>
      <c r="C494" s="200"/>
      <c r="D494" s="165"/>
      <c r="E494" s="165"/>
      <c r="F494" s="165"/>
      <c r="G494" s="202"/>
      <c r="H494" s="202"/>
    </row>
    <row r="495" spans="1:15" s="71" customFormat="1" ht="19.5" customHeight="1" x14ac:dyDescent="0.2">
      <c r="A495" s="419"/>
      <c r="B495" s="420"/>
      <c r="C495" s="423" t="str">
        <f>IF(L="EN","C/MPE Acceptance Report","C/MPE Abnahmeprotokoll")</f>
        <v>C/MPE Acceptance Report</v>
      </c>
      <c r="D495" s="423"/>
      <c r="E495" s="423"/>
      <c r="F495" s="424"/>
      <c r="G495" s="136" t="str">
        <f>IF(L="EN","Issue:","Ausgabe")</f>
        <v>Issue:</v>
      </c>
      <c r="H495" s="154" t="str">
        <f>IF(L="EN","Page","Blatt")</f>
        <v>Page</v>
      </c>
      <c r="I495" s="58"/>
      <c r="N495" s="331"/>
      <c r="O495" s="331"/>
    </row>
    <row r="496" spans="1:15" s="71" customFormat="1" ht="19.5" customHeight="1" thickBot="1" x14ac:dyDescent="0.25">
      <c r="A496" s="421"/>
      <c r="B496" s="422"/>
      <c r="C496" s="425"/>
      <c r="D496" s="425"/>
      <c r="E496" s="425"/>
      <c r="F496" s="426"/>
      <c r="G496" s="350" t="s">
        <v>433</v>
      </c>
      <c r="H496" s="156" t="s">
        <v>407</v>
      </c>
      <c r="I496" s="58"/>
      <c r="N496" s="331"/>
      <c r="O496" s="331"/>
    </row>
    <row r="497" spans="1:15" s="71" customFormat="1" ht="13.5" customHeight="1" thickBot="1" x14ac:dyDescent="0.25">
      <c r="A497" s="167" t="str">
        <f>IF(L="EN","section","Kapitel")</f>
        <v>section</v>
      </c>
      <c r="B497" s="427" t="str">
        <f>IF(L="EN","items to be checked","Prüfmerkmale")</f>
        <v>items to be checked</v>
      </c>
      <c r="C497" s="427"/>
      <c r="D497" s="168" t="s">
        <v>17</v>
      </c>
      <c r="E497" s="169" t="s">
        <v>18</v>
      </c>
      <c r="F497" s="170" t="s">
        <v>19</v>
      </c>
      <c r="G497" s="428" t="str">
        <f>IF(L="EN","remark","Bemerkung")</f>
        <v>remark</v>
      </c>
      <c r="H497" s="428"/>
      <c r="I497" s="58"/>
      <c r="N497" s="331"/>
      <c r="O497" s="331"/>
    </row>
    <row r="498" spans="1:15" x14ac:dyDescent="0.2">
      <c r="A498" s="70"/>
      <c r="B498" s="70"/>
      <c r="C498" s="73"/>
      <c r="D498" s="165"/>
      <c r="E498" s="165"/>
      <c r="F498" s="165"/>
      <c r="G498" s="436"/>
      <c r="H498" s="436"/>
    </row>
    <row r="499" spans="1:15" x14ac:dyDescent="0.2">
      <c r="A499" s="57" t="s">
        <v>106</v>
      </c>
      <c r="B499" s="171" t="str">
        <f>IF(L="EN","Damages","Beschädigung")</f>
        <v>Damages</v>
      </c>
      <c r="C499" s="187"/>
      <c r="D499" s="165"/>
      <c r="E499" s="165"/>
      <c r="F499" s="165"/>
      <c r="G499" s="436"/>
      <c r="H499" s="436"/>
    </row>
    <row r="500" spans="1:15" ht="25.5" x14ac:dyDescent="0.2">
      <c r="A500" s="57"/>
      <c r="B500" s="190"/>
      <c r="C500" s="187" t="str">
        <f>IF(L="EN","Are proximity switches protected against
damage ?","Näherungsschalter sind gegen Beschädigung geschützt")</f>
        <v>Are proximity switches protected against
damage ?</v>
      </c>
      <c r="D500" s="165"/>
      <c r="E500" s="165"/>
      <c r="F500" s="165"/>
      <c r="G500" s="437"/>
      <c r="H500" s="437"/>
    </row>
    <row r="501" spans="1:15" s="71" customFormat="1" x14ac:dyDescent="0.2">
      <c r="A501" s="57"/>
      <c r="B501" s="171"/>
      <c r="C501" s="187"/>
      <c r="D501" s="165"/>
      <c r="E501" s="165"/>
      <c r="F501" s="165"/>
      <c r="G501" s="436"/>
      <c r="H501" s="436"/>
      <c r="I501" s="157"/>
      <c r="N501" s="331"/>
      <c r="O501" s="331"/>
    </row>
    <row r="502" spans="1:15" x14ac:dyDescent="0.2">
      <c r="A502" s="57" t="s">
        <v>107</v>
      </c>
      <c r="B502" s="171" t="str">
        <f>IF(L="EN","Unintentional actuation","Unbeabsichtliches Betätigen")</f>
        <v>Unintentional actuation</v>
      </c>
      <c r="C502" s="187"/>
      <c r="D502" s="165"/>
      <c r="E502" s="165"/>
      <c r="F502" s="165"/>
      <c r="G502" s="436"/>
      <c r="H502" s="436"/>
    </row>
    <row r="503" spans="1:15" s="71" customFormat="1" ht="25.5" x14ac:dyDescent="0.2">
      <c r="A503" s="57"/>
      <c r="B503" s="190"/>
      <c r="C503" s="187" t="str">
        <f>IF(L="EN","Are proximity switches protected against unintentional actuation by metalic contamination","Näherungsschalter sind gegen unbeabsichtliches Betätigen durch Späne geschützt")</f>
        <v>Are proximity switches protected against unintentional actuation by metalic contamination</v>
      </c>
      <c r="D503" s="165"/>
      <c r="E503" s="165"/>
      <c r="F503" s="165"/>
      <c r="G503" s="437"/>
      <c r="H503" s="437"/>
      <c r="I503" s="157"/>
      <c r="N503" s="331"/>
      <c r="O503" s="331"/>
    </row>
    <row r="504" spans="1:15" ht="12.75" customHeight="1" x14ac:dyDescent="0.2">
      <c r="A504" s="57"/>
      <c r="B504" s="171"/>
      <c r="C504" s="187"/>
      <c r="D504" s="165"/>
      <c r="E504" s="165"/>
      <c r="F504" s="165"/>
      <c r="G504" s="436"/>
      <c r="H504" s="436"/>
    </row>
    <row r="505" spans="1:15" x14ac:dyDescent="0.2">
      <c r="A505" s="57" t="s">
        <v>108</v>
      </c>
      <c r="B505" s="171" t="str">
        <f>IF(L="EN","Protection against medium","Schutz vor Medien")</f>
        <v>Protection against medium</v>
      </c>
      <c r="C505" s="187"/>
      <c r="D505" s="165"/>
      <c r="E505" s="165"/>
      <c r="F505" s="165"/>
      <c r="G505" s="436"/>
      <c r="H505" s="436"/>
    </row>
    <row r="506" spans="1:15" ht="25.5" x14ac:dyDescent="0.2">
      <c r="A506" s="57"/>
      <c r="B506" s="190"/>
      <c r="C506" s="187" t="str">
        <f>IF(L="EN","Limit switches are not allowed to be in an area where coolant is sprayed ","es liegen keine Grenztaster im Kühlmittelspritzbereich")</f>
        <v xml:space="preserve">Limit switches are not allowed to be in an area where coolant is sprayed </v>
      </c>
      <c r="D506" s="165"/>
      <c r="E506" s="165"/>
      <c r="F506" s="165"/>
      <c r="G506" s="437"/>
      <c r="H506" s="437"/>
    </row>
    <row r="507" spans="1:15" ht="38.25" x14ac:dyDescent="0.2">
      <c r="A507" s="57"/>
      <c r="B507" s="190"/>
      <c r="C507" s="187" t="str">
        <f>IF(L="EN","Limit-switches must be protected against contamination and liquid penetration (Degree of protection IP 65)","Grenztaster sind gegen Verschmutzung und Eindringen von Flüssigkeiten geschützt 
(Schutzart IP 65)")</f>
        <v>Limit-switches must be protected against contamination and liquid penetration (Degree of protection IP 65)</v>
      </c>
      <c r="D507" s="165"/>
      <c r="E507" s="165"/>
      <c r="F507" s="165"/>
      <c r="G507" s="437"/>
      <c r="H507" s="437"/>
    </row>
    <row r="508" spans="1:15" x14ac:dyDescent="0.2">
      <c r="A508" s="57" t="s">
        <v>109</v>
      </c>
      <c r="B508" s="171" t="str">
        <f>IF(L="EN","Connection cables","Anschlussleitungen")</f>
        <v>Connection cables</v>
      </c>
      <c r="C508" s="187"/>
      <c r="D508" s="165"/>
      <c r="E508" s="165"/>
      <c r="F508" s="165"/>
      <c r="G508" s="436"/>
      <c r="H508" s="436"/>
    </row>
    <row r="509" spans="1:15" s="71" customFormat="1" ht="38.25" x14ac:dyDescent="0.2">
      <c r="A509" s="57"/>
      <c r="B509" s="190"/>
      <c r="C509" s="187" t="str">
        <f>IF(L="EN","Are the connection-cables suitable for the conditions (mechanical demands, oil, testmedium...)","die Anschlussleitungen entsprechen den örtlichen Gegebenheiten (mechanische Beanspruchung, Öl, Prüfmedium...)")</f>
        <v>Are the connection-cables suitable for the conditions (mechanical demands, oil, testmedium...)</v>
      </c>
      <c r="D509" s="165"/>
      <c r="E509" s="165"/>
      <c r="F509" s="165"/>
      <c r="G509" s="437"/>
      <c r="H509" s="437"/>
      <c r="I509" s="157"/>
      <c r="N509" s="331"/>
      <c r="O509" s="331"/>
    </row>
    <row r="510" spans="1:15" x14ac:dyDescent="0.2">
      <c r="A510" s="57" t="s">
        <v>110</v>
      </c>
      <c r="B510" s="171" t="str">
        <f>IF(L="EN","Motors","Motoren")</f>
        <v>Motors</v>
      </c>
      <c r="C510" s="187"/>
      <c r="D510" s="165"/>
      <c r="E510" s="165"/>
      <c r="F510" s="165"/>
      <c r="G510" s="436"/>
      <c r="H510" s="436"/>
    </row>
    <row r="511" spans="1:15" s="71" customFormat="1" ht="25.5" x14ac:dyDescent="0.2">
      <c r="A511" s="57"/>
      <c r="B511" s="190"/>
      <c r="C511" s="187" t="str">
        <f>IF(L="EN","The motor rating plate is mounted on the unit and is easily readable by maintenance personnel ","dieses muss im eingebauten Zustand gut lesbar sein (evtl. zweites Schild anbringen)")</f>
        <v xml:space="preserve">The motor rating plate is mounted on the unit and is easily readable by maintenance personnel </v>
      </c>
      <c r="D511" s="165"/>
      <c r="E511" s="165"/>
      <c r="F511" s="165"/>
      <c r="G511" s="437"/>
      <c r="H511" s="437"/>
      <c r="I511" s="157"/>
      <c r="N511" s="331"/>
      <c r="O511" s="331"/>
    </row>
    <row r="512" spans="1:15" ht="23.25" customHeight="1" x14ac:dyDescent="0.2">
      <c r="A512" s="57"/>
      <c r="B512" s="190"/>
      <c r="C512" s="187" t="str">
        <f>IF(L="EN","Is cable tension relieved where it enters the connection box?","es ist eine Zugentlastung der Zuleitung zum Klemmenbrett vorhanden")</f>
        <v>Is cable tension relieved where it enters the connection box?</v>
      </c>
      <c r="D512" s="165"/>
      <c r="E512" s="165"/>
      <c r="F512" s="165"/>
      <c r="G512" s="437"/>
      <c r="H512" s="437"/>
    </row>
    <row r="513" spans="1:15" x14ac:dyDescent="0.2">
      <c r="A513" s="57"/>
      <c r="B513" s="123"/>
      <c r="C513" s="187" t="str">
        <f>IF(L="EN","Is the terminal board accessible?","das Klemmenbrett ist gut zugänglich")</f>
        <v>Is the terminal board accessible?</v>
      </c>
      <c r="D513" s="165"/>
      <c r="E513" s="165"/>
      <c r="F513" s="165"/>
      <c r="G513" s="437"/>
      <c r="H513" s="437"/>
    </row>
    <row r="514" spans="1:15" s="71" customFormat="1" ht="25.5" x14ac:dyDescent="0.2">
      <c r="A514" s="57"/>
      <c r="B514" s="190"/>
      <c r="C514" s="187" t="str">
        <f>IF(L="EN","Is the specified rotation direction permanently marked on the motor?","ein Soll-Drehrichtungspfeil ist am Motor dauerhaft angebracht")</f>
        <v>Is the specified rotation direction permanently marked on the motor?</v>
      </c>
      <c r="D514" s="165"/>
      <c r="E514" s="165"/>
      <c r="F514" s="165"/>
      <c r="G514" s="437"/>
      <c r="H514" s="437"/>
      <c r="I514" s="157"/>
      <c r="N514" s="331"/>
      <c r="O514" s="331"/>
    </row>
    <row r="515" spans="1:15" x14ac:dyDescent="0.2">
      <c r="A515" s="57" t="s">
        <v>111</v>
      </c>
      <c r="B515" s="171" t="str">
        <f>IF(L="EN","Wiring","Leitungsart- und verlegung")</f>
        <v>Wiring</v>
      </c>
      <c r="C515" s="187"/>
      <c r="D515" s="165"/>
      <c r="E515" s="165"/>
      <c r="F515" s="165"/>
      <c r="G515" s="436"/>
      <c r="H515" s="436"/>
    </row>
    <row r="516" spans="1:15" s="71" customFormat="1" ht="25.5" x14ac:dyDescent="0.2">
      <c r="A516" s="57"/>
      <c r="B516" s="190"/>
      <c r="C516" s="187" t="str">
        <f>IF(L="EN","Are the connection-cables suitable for the conditions?","die Anschlusskabel entsprechen den örtlichen Gegebenheiten")</f>
        <v>Are the connection-cables suitable for the conditions?</v>
      </c>
      <c r="D516" s="165"/>
      <c r="E516" s="165"/>
      <c r="F516" s="165"/>
      <c r="G516" s="437"/>
      <c r="H516" s="437"/>
      <c r="I516" s="157"/>
      <c r="N516" s="331"/>
      <c r="O516" s="331"/>
    </row>
    <row r="517" spans="1:15" ht="27.75" customHeight="1" x14ac:dyDescent="0.2">
      <c r="A517" s="57"/>
      <c r="B517" s="190"/>
      <c r="C517" s="187" t="str">
        <f>IF(L="EN","For flexible connections, appropriate flexible cable has been used?","für bewegliche Leitungen sind hochflexible Kabel eingesetzt")</f>
        <v>For flexible connections, appropriate flexible cable has been used?</v>
      </c>
      <c r="D517" s="165"/>
      <c r="E517" s="165"/>
      <c r="F517" s="165"/>
      <c r="G517" s="437"/>
      <c r="H517" s="437"/>
    </row>
    <row r="518" spans="1:15" x14ac:dyDescent="0.2">
      <c r="A518" s="57"/>
      <c r="B518" s="190"/>
      <c r="C518" s="187" t="str">
        <f>IF(L="EN","Are cables routed within cable ducts/ trays?","alle Leitungen sind in Kabelkanälen oder Führungsrinnen verlegt")</f>
        <v>Are cables routed within cable ducts/ trays?</v>
      </c>
      <c r="D518" s="165"/>
      <c r="E518" s="165"/>
      <c r="F518" s="165"/>
      <c r="G518" s="437"/>
      <c r="H518" s="437"/>
    </row>
    <row r="519" spans="1:15" ht="38.25" x14ac:dyDescent="0.2">
      <c r="A519" s="57"/>
      <c r="B519" s="190"/>
      <c r="C519" s="187" t="str">
        <f>IF(L="EN","have no pneumatic or hydraulic pipes been placed within cable ducts/-trays (except where there is a separating barrier)","es sind keine Pneumatik- oder Hydraulikleitungen im Kabelkanal verlegt (Ausnahme: es sind Trennstege vorhanden)")</f>
        <v>have no pneumatic or hydraulic pipes been placed within cable ducts/-trays (except where there is a separating barrier)</v>
      </c>
      <c r="D519" s="165"/>
      <c r="E519" s="165"/>
      <c r="F519" s="165"/>
      <c r="G519" s="437"/>
      <c r="H519" s="437"/>
    </row>
    <row r="520" spans="1:15" x14ac:dyDescent="0.2">
      <c r="A520" s="57" t="s">
        <v>112</v>
      </c>
      <c r="B520" s="171" t="str">
        <f>IF(L="EN","Safety circuits","Sicherheitsschaltungen")</f>
        <v>Safety circuits</v>
      </c>
      <c r="C520" s="187"/>
      <c r="D520" s="165"/>
      <c r="E520" s="165"/>
      <c r="F520" s="165"/>
      <c r="G520" s="436"/>
      <c r="H520" s="436"/>
      <c r="I520" s="161"/>
    </row>
    <row r="521" spans="1:15" x14ac:dyDescent="0.2">
      <c r="A521" s="57" t="s">
        <v>113</v>
      </c>
      <c r="B521" s="171" t="str">
        <f>IF(L="EN","Emergency Stop Switches","Not-Halt Schaltungen")</f>
        <v>Emergency Stop Switches</v>
      </c>
      <c r="C521" s="187"/>
      <c r="D521" s="165"/>
      <c r="E521" s="165"/>
      <c r="F521" s="165"/>
      <c r="G521" s="193"/>
      <c r="H521" s="193"/>
    </row>
    <row r="522" spans="1:15" ht="25.5" x14ac:dyDescent="0.2">
      <c r="A522" s="70"/>
      <c r="B522" s="190"/>
      <c r="C522" s="187" t="str">
        <f>IF(L="EN","Are red knobs used, with yellow background and marked per the circuit diagram?","der Not-Halt Taster hat einen roten Pilzkopf und ist gelb hinterlegt")</f>
        <v>Are red knobs used, with yellow background and marked per the circuit diagram?</v>
      </c>
      <c r="D522" s="165"/>
      <c r="E522" s="165"/>
      <c r="F522" s="165"/>
      <c r="G522" s="437"/>
      <c r="H522" s="437"/>
      <c r="I522" s="253"/>
    </row>
    <row r="523" spans="1:15" x14ac:dyDescent="0.2">
      <c r="A523" s="57"/>
      <c r="B523" s="123"/>
      <c r="C523" s="187" t="str">
        <f>IF(L="EN","Do the E-stop switches function properly?","Ergebnis der Funktionsprüfung des Not-Halt")</f>
        <v>Do the E-stop switches function properly?</v>
      </c>
      <c r="D523" s="165"/>
      <c r="E523" s="165"/>
      <c r="F523" s="165"/>
      <c r="G523" s="437"/>
      <c r="H523" s="437"/>
      <c r="I523" s="253"/>
    </row>
    <row r="524" spans="1:15" ht="38.25" x14ac:dyDescent="0.2">
      <c r="A524" s="57"/>
      <c r="B524" s="190"/>
      <c r="C524" s="187" t="str">
        <f>IF(L="EN","Are E-stop switches located at each operator control station and at other locations where emergency stop is required?","die Not-Halt Taster sind übersichtlich angeordnet und leicht zugänglich")</f>
        <v>Are E-stop switches located at each operator control station and at other locations where emergency stop is required?</v>
      </c>
      <c r="D524" s="165"/>
      <c r="E524" s="165"/>
      <c r="F524" s="165"/>
      <c r="G524" s="437"/>
      <c r="H524" s="437"/>
      <c r="I524" s="253"/>
    </row>
    <row r="525" spans="1:15" x14ac:dyDescent="0.2">
      <c r="A525" s="57"/>
      <c r="B525" s="190"/>
      <c r="C525" s="187" t="str">
        <f>IF(L="EN","Is there no automatic restart following unlocking?","nach Entriegelung des Not-Halt erfolgt kein Selbstanlauf")</f>
        <v>Is there no automatic restart following unlocking?</v>
      </c>
      <c r="D525" s="165"/>
      <c r="E525" s="165"/>
      <c r="F525" s="165"/>
      <c r="G525" s="437"/>
      <c r="H525" s="437"/>
      <c r="I525" s="253"/>
    </row>
    <row r="526" spans="1:15" ht="4.5" customHeight="1" x14ac:dyDescent="0.2">
      <c r="A526" s="57"/>
      <c r="B526" s="190"/>
      <c r="C526" s="187"/>
      <c r="D526" s="165"/>
      <c r="E526" s="165"/>
      <c r="F526" s="165"/>
      <c r="G526" s="201"/>
      <c r="H526" s="201"/>
      <c r="I526" s="253"/>
    </row>
    <row r="527" spans="1:15" ht="38.25" x14ac:dyDescent="0.2">
      <c r="A527" s="57"/>
      <c r="B527" s="190"/>
      <c r="C527" s="187" t="str">
        <f>IF(L="EN","Is there no further potentially dangerous movement in the machine once the Emergency Stop has been activated?","Nach Betätigung des Not-Halt erfolgt keine gefahrbringende Bewegung an der Einrichtung")</f>
        <v>Is there no further potentially dangerous movement in the machine once the Emergency Stop has been activated?</v>
      </c>
      <c r="D527" s="165"/>
      <c r="E527" s="165"/>
      <c r="F527" s="165"/>
      <c r="G527" s="437"/>
      <c r="H527" s="437"/>
      <c r="I527" s="253"/>
    </row>
    <row r="528" spans="1:15" x14ac:dyDescent="0.2">
      <c r="A528" s="57"/>
      <c r="B528" s="190"/>
      <c r="C528" s="187"/>
      <c r="D528" s="165"/>
      <c r="E528" s="165"/>
      <c r="F528" s="165"/>
      <c r="G528" s="202"/>
      <c r="H528" s="202"/>
      <c r="I528" s="253"/>
    </row>
    <row r="529" spans="1:15" x14ac:dyDescent="0.2">
      <c r="A529" s="57"/>
      <c r="B529" s="190"/>
      <c r="C529" s="187"/>
      <c r="D529" s="165"/>
      <c r="E529" s="165"/>
      <c r="F529" s="165"/>
      <c r="G529" s="202"/>
      <c r="H529" s="202"/>
      <c r="I529" s="253"/>
    </row>
    <row r="530" spans="1:15" x14ac:dyDescent="0.2">
      <c r="A530" s="57"/>
      <c r="B530" s="190"/>
      <c r="C530" s="187"/>
      <c r="D530" s="165"/>
      <c r="E530" s="165"/>
      <c r="F530" s="165"/>
      <c r="G530" s="202"/>
      <c r="H530" s="202"/>
      <c r="I530" s="253"/>
    </row>
    <row r="531" spans="1:15" x14ac:dyDescent="0.2">
      <c r="A531" s="57"/>
      <c r="B531" s="190"/>
      <c r="C531" s="187"/>
      <c r="D531" s="165"/>
      <c r="E531" s="165"/>
      <c r="F531" s="165"/>
      <c r="G531" s="202"/>
      <c r="H531" s="202"/>
      <c r="I531" s="253"/>
    </row>
    <row r="532" spans="1:15" x14ac:dyDescent="0.2">
      <c r="A532" s="57"/>
      <c r="B532" s="190"/>
      <c r="C532" s="187"/>
      <c r="D532" s="165"/>
      <c r="E532" s="165"/>
      <c r="F532" s="165"/>
      <c r="G532" s="202"/>
      <c r="H532" s="202"/>
      <c r="I532" s="253"/>
    </row>
    <row r="533" spans="1:15" x14ac:dyDescent="0.2">
      <c r="A533" s="57"/>
      <c r="B533" s="190"/>
      <c r="C533" s="187"/>
      <c r="D533" s="165"/>
      <c r="E533" s="165"/>
      <c r="F533" s="165"/>
      <c r="G533" s="202"/>
      <c r="H533" s="202"/>
      <c r="I533" s="253"/>
    </row>
    <row r="534" spans="1:15" x14ac:dyDescent="0.2">
      <c r="A534" s="57"/>
      <c r="B534" s="190"/>
      <c r="C534" s="187"/>
      <c r="D534" s="165"/>
      <c r="E534" s="165"/>
      <c r="F534" s="165"/>
      <c r="G534" s="202"/>
      <c r="H534" s="202"/>
      <c r="I534" s="253"/>
    </row>
    <row r="535" spans="1:15" ht="13.5" thickBot="1" x14ac:dyDescent="0.25">
      <c r="A535" s="57"/>
      <c r="B535" s="190"/>
      <c r="C535" s="187"/>
      <c r="D535" s="165"/>
      <c r="E535" s="165"/>
      <c r="F535" s="165"/>
      <c r="G535" s="202"/>
      <c r="H535" s="202"/>
      <c r="I535" s="253"/>
    </row>
    <row r="536" spans="1:15" s="71" customFormat="1" ht="19.5" customHeight="1" x14ac:dyDescent="0.2">
      <c r="A536" s="419"/>
      <c r="B536" s="420"/>
      <c r="C536" s="423" t="str">
        <f>IF(L="EN","C/MPE Acceptance Report","C/MPE Abnahmeprotokoll")</f>
        <v>C/MPE Acceptance Report</v>
      </c>
      <c r="D536" s="423"/>
      <c r="E536" s="423"/>
      <c r="F536" s="424"/>
      <c r="G536" s="136" t="str">
        <f>IF(L="EN","Issue:","Ausgabe")</f>
        <v>Issue:</v>
      </c>
      <c r="H536" s="154" t="str">
        <f>IF(L="EN","Page","Blatt")</f>
        <v>Page</v>
      </c>
      <c r="I536" s="58"/>
      <c r="N536" s="331"/>
      <c r="O536" s="331"/>
    </row>
    <row r="537" spans="1:15" s="71" customFormat="1" ht="19.5" customHeight="1" thickBot="1" x14ac:dyDescent="0.25">
      <c r="A537" s="421"/>
      <c r="B537" s="422"/>
      <c r="C537" s="425"/>
      <c r="D537" s="425"/>
      <c r="E537" s="425"/>
      <c r="F537" s="426"/>
      <c r="G537" s="350" t="s">
        <v>433</v>
      </c>
      <c r="H537" s="156" t="s">
        <v>408</v>
      </c>
      <c r="I537" s="58"/>
      <c r="N537" s="331"/>
      <c r="O537" s="331"/>
    </row>
    <row r="538" spans="1:15" s="71" customFormat="1" ht="13.5" customHeight="1" thickBot="1" x14ac:dyDescent="0.25">
      <c r="A538" s="167" t="str">
        <f>IF(L="EN","section","Kapitel")</f>
        <v>section</v>
      </c>
      <c r="B538" s="427" t="str">
        <f>IF(L="EN","items to be checked","Prüfmerkmale")</f>
        <v>items to be checked</v>
      </c>
      <c r="C538" s="427"/>
      <c r="D538" s="168" t="s">
        <v>17</v>
      </c>
      <c r="E538" s="169" t="s">
        <v>18</v>
      </c>
      <c r="F538" s="170" t="s">
        <v>19</v>
      </c>
      <c r="G538" s="428" t="str">
        <f>IF(L="EN","remark","Bemerkung")</f>
        <v>remark</v>
      </c>
      <c r="H538" s="428"/>
      <c r="I538" s="58"/>
      <c r="N538" s="331"/>
      <c r="O538" s="331"/>
    </row>
    <row r="539" spans="1:15" x14ac:dyDescent="0.2">
      <c r="A539" s="70"/>
      <c r="B539" s="70"/>
      <c r="C539" s="73"/>
      <c r="D539" s="165"/>
      <c r="E539" s="165"/>
      <c r="F539" s="165"/>
      <c r="G539" s="436"/>
      <c r="H539" s="436"/>
      <c r="I539" s="253"/>
    </row>
    <row r="540" spans="1:15" x14ac:dyDescent="0.2">
      <c r="A540" s="57" t="s">
        <v>114</v>
      </c>
      <c r="B540" s="171" t="str">
        <f>IF(L="EN","Two hand control (secures only the Operating person)","Zweihandschaltung (schützt nur die bedienende Person)")</f>
        <v>Two hand control (secures only the Operating person)</v>
      </c>
      <c r="C540" s="187"/>
      <c r="D540" s="165"/>
      <c r="E540" s="165"/>
      <c r="F540" s="165"/>
      <c r="G540" s="436"/>
      <c r="H540" s="436"/>
    </row>
    <row r="541" spans="1:15" ht="62.25" customHeight="1" x14ac:dyDescent="0.2">
      <c r="A541" s="57"/>
      <c r="B541" s="123"/>
      <c r="C541" s="187" t="str">
        <f>IF(L="EN","Each hand control shall be protected against unintended operation?
Unintentionally activating of the buttons may not lead to an imperiling movement. They may not be able to be by passed easily, or be made ineffective.","Taster können nicht unbeabsichtigt gedrückt
werden
unbeabsichtigtes Betätigen der Taster darf nicht zu gefahrbringeneden Bewegungen führen; sie dürfen nicht auf einfache Weise umgangen oder unwirksam gemacht werden können.")</f>
        <v>Each hand control shall be protected against unintended operation?
Unintentionally activating of the buttons may not lead to an imperiling movement. They may not be able to be by passed easily, or be made ineffective.</v>
      </c>
      <c r="D541" s="165"/>
      <c r="E541" s="165"/>
      <c r="F541" s="165"/>
      <c r="G541" s="437"/>
      <c r="H541" s="437"/>
      <c r="I541" s="254"/>
    </row>
    <row r="542" spans="1:15" ht="51" x14ac:dyDescent="0.2">
      <c r="A542" s="57"/>
      <c r="B542" s="190"/>
      <c r="C542" s="187" t="str">
        <f>IF(L="EN","Is the distance between buttons and moving parts greater than a hand`s span (&gt; 260 mm)
There are different kinds of bypassing. In case of doubts, please contact PA-ATMO1/QMM","der Abstand zischen den Tastern und bewegten Teilen ist größer als eine Handspanne (&gt; 260 mm)
(es gibt versch. Werte je nach Art der Umgehungs-möglichkeiten. Bei Zweifel -&gt; Klärung mit PA-ATMO1/QMM)")</f>
        <v>Is the distance between buttons and moving parts greater than a hand`s span (&gt; 260 mm)
There are different kinds of bypassing. In case of doubts, please contact PA-ATMO1/QMM</v>
      </c>
      <c r="D542" s="165"/>
      <c r="E542" s="165"/>
      <c r="F542" s="165"/>
      <c r="G542" s="437"/>
      <c r="H542" s="437"/>
      <c r="I542" s="255"/>
    </row>
    <row r="543" spans="1:15" ht="38.25" x14ac:dyDescent="0.2">
      <c r="A543" s="57"/>
      <c r="B543" s="123"/>
      <c r="C543" s="187" t="str">
        <f>IF(L="EN","Is machine operation safely interrupted if the buttons are released during cycling? (Stop or turning backwards)","die Arbeitsbewegung wird beim kurzzeitigen Loslassen der Taster während des Einschaltens sicher unterbrochen (Halt oder Rücklauf)")</f>
        <v>Is machine operation safely interrupted if the buttons are released during cycling? (Stop or turning backwards)</v>
      </c>
      <c r="D543" s="165"/>
      <c r="E543" s="165"/>
      <c r="F543" s="165"/>
      <c r="G543" s="437"/>
      <c r="H543" s="437"/>
      <c r="I543" s="256"/>
    </row>
    <row r="544" spans="1:15" ht="25.5" x14ac:dyDescent="0.2">
      <c r="A544" s="57"/>
      <c r="B544" s="123"/>
      <c r="C544" s="73" t="str">
        <f>IF(L="EN","Coincidental use of buttons (buttons need to be activated within &lt; 0,5 s)","Gleichzeitigkeitsschaltung der Taster (Taster müssen innerhalb &lt; 0,5 s betätigt werden)")</f>
        <v>Coincidental use of buttons (buttons need to be activated within &lt; 0,5 s)</v>
      </c>
      <c r="D544" s="165"/>
      <c r="E544" s="165"/>
      <c r="F544" s="165"/>
      <c r="G544" s="201"/>
      <c r="H544" s="201"/>
      <c r="I544" s="256"/>
    </row>
    <row r="545" spans="1:9" x14ac:dyDescent="0.2">
      <c r="A545" s="57"/>
      <c r="B545" s="57"/>
      <c r="D545" s="165"/>
      <c r="E545" s="165"/>
      <c r="F545" s="165"/>
      <c r="G545" s="436"/>
      <c r="H545" s="436"/>
      <c r="I545" s="256"/>
    </row>
    <row r="546" spans="1:9" ht="20.100000000000001" customHeight="1" x14ac:dyDescent="0.2">
      <c r="A546" s="177" t="s">
        <v>8</v>
      </c>
      <c r="B546" s="177" t="s">
        <v>115</v>
      </c>
      <c r="C546" s="178"/>
      <c r="D546" s="162"/>
      <c r="E546" s="162"/>
      <c r="F546" s="162"/>
      <c r="G546" s="179"/>
      <c r="H546" s="179"/>
      <c r="I546" s="257"/>
    </row>
    <row r="547" spans="1:9" x14ac:dyDescent="0.2">
      <c r="A547" s="70"/>
      <c r="B547" s="436" t="str">
        <f>IF(L="EN","Delivery instructions for the hydraulic equipment of machinery and production equipment","Allgemeine Liefervorschriften für hydraulische Ausrüstung von Werkzeugmaschinen, Anlagen und Fertigungseinrichtungen (MAE)")</f>
        <v>Delivery instructions for the hydraulic equipment of machinery and production equipment</v>
      </c>
      <c r="C547" s="436"/>
      <c r="D547" s="436"/>
      <c r="E547" s="436"/>
      <c r="F547" s="165"/>
      <c r="G547" s="190" t="s">
        <v>116</v>
      </c>
      <c r="H547" s="123"/>
      <c r="I547" s="253"/>
    </row>
    <row r="548" spans="1:9" x14ac:dyDescent="0.2">
      <c r="A548" s="70"/>
      <c r="B548" s="436"/>
      <c r="C548" s="436"/>
      <c r="D548" s="436"/>
      <c r="E548" s="436"/>
      <c r="F548" s="165"/>
      <c r="G548" s="193"/>
      <c r="H548" s="193"/>
    </row>
    <row r="549" spans="1:9" x14ac:dyDescent="0.2">
      <c r="A549" s="57"/>
      <c r="B549" s="436" t="str">
        <f>IF(L="EN","For equipment rated over 50 bar a hydraulic specialist shall be consulted (e.g. PA-ATMO1/QMM) ","Bei Anlagen mit mehr als 50 bar ist ein Hydraulikfachmann (z.B. PA-ATMO1/QMM) hinzuzuziehen")</f>
        <v xml:space="preserve">For equipment rated over 50 bar a hydraulic specialist shall be consulted (e.g. PA-ATMO1/QMM) </v>
      </c>
      <c r="C549" s="436"/>
      <c r="D549" s="436"/>
      <c r="E549" s="436"/>
      <c r="F549" s="436"/>
      <c r="G549" s="436"/>
      <c r="H549" s="436"/>
      <c r="I549" s="258"/>
    </row>
    <row r="550" spans="1:9" x14ac:dyDescent="0.2">
      <c r="A550" s="57"/>
      <c r="B550" s="436"/>
      <c r="C550" s="436"/>
      <c r="D550" s="436"/>
      <c r="E550" s="436"/>
      <c r="F550" s="436"/>
      <c r="G550" s="436"/>
      <c r="H550" s="436"/>
    </row>
    <row r="551" spans="1:9" x14ac:dyDescent="0.2">
      <c r="A551" s="57" t="s">
        <v>117</v>
      </c>
      <c r="B551" s="57" t="str">
        <f>IF(L="EN","Hydraulic components","Hydraulikelemente")</f>
        <v>Hydraulic components</v>
      </c>
      <c r="C551" s="73"/>
      <c r="D551" s="165"/>
      <c r="E551" s="165"/>
      <c r="F551" s="165"/>
      <c r="G551" s="436"/>
      <c r="H551" s="436"/>
      <c r="I551" s="161"/>
    </row>
    <row r="552" spans="1:9" x14ac:dyDescent="0.2">
      <c r="A552" s="70"/>
      <c r="B552" s="123"/>
      <c r="C552" s="73" t="str">
        <f>IF(L="EN","Are Bosch-Rexroth hydraulic components used?","es sind Bosch-Rexroth - Hydraulikelemente eingesetzt")</f>
        <v>Are Bosch-Rexroth hydraulic components used?</v>
      </c>
      <c r="D552" s="165"/>
      <c r="E552" s="165"/>
      <c r="F552" s="165"/>
      <c r="G552" s="437"/>
      <c r="H552" s="437"/>
      <c r="I552" s="253"/>
    </row>
    <row r="553" spans="1:9" x14ac:dyDescent="0.2">
      <c r="A553" s="57"/>
      <c r="B553" s="57"/>
      <c r="C553" s="73"/>
      <c r="D553" s="165"/>
      <c r="E553" s="165"/>
      <c r="F553" s="165"/>
      <c r="G553" s="436"/>
      <c r="H553" s="436"/>
    </row>
    <row r="554" spans="1:9" x14ac:dyDescent="0.2">
      <c r="A554" s="57" t="s">
        <v>118</v>
      </c>
      <c r="B554" s="57" t="str">
        <f>IF(L="EN","Power line to hydraulic device","Leitungsverbindung zum Hydraulikaggregat")</f>
        <v>Power line to hydraulic device</v>
      </c>
      <c r="C554" s="73"/>
      <c r="D554" s="165"/>
      <c r="E554" s="165"/>
      <c r="F554" s="165"/>
      <c r="G554" s="436"/>
      <c r="H554" s="436"/>
      <c r="I554" s="161"/>
    </row>
    <row r="555" spans="1:9" x14ac:dyDescent="0.2">
      <c r="A555" s="70"/>
      <c r="B555" s="123"/>
      <c r="C555" s="73" t="str">
        <f>IF(L="EN","easy separability of the power line","leichte Trennbarkeit der Leitungsverbindung")</f>
        <v>easy separability of the power line</v>
      </c>
      <c r="D555" s="165"/>
      <c r="E555" s="165"/>
      <c r="F555" s="165"/>
      <c r="G555" s="437"/>
      <c r="H555" s="437"/>
    </row>
    <row r="556" spans="1:9" x14ac:dyDescent="0.2">
      <c r="A556" s="57" t="s">
        <v>119</v>
      </c>
      <c r="B556" s="171" t="str">
        <f>IF(L="EN","Bleeding Hydraulic Equipment","Entlüftbarkeit der Hydraulikanlage")</f>
        <v>Bleeding Hydraulic Equipment</v>
      </c>
      <c r="C556" s="187"/>
      <c r="D556" s="165"/>
      <c r="E556" s="165"/>
      <c r="F556" s="165"/>
      <c r="G556" s="436"/>
      <c r="H556" s="436"/>
      <c r="I556" s="161"/>
    </row>
    <row r="557" spans="1:9" x14ac:dyDescent="0.2">
      <c r="A557" s="70"/>
      <c r="B557" s="190"/>
      <c r="C557" s="187" t="str">
        <f>IF(L="EN","the hydraulic equipment can be easily bled.","die Hydraulikanlage ist leicht entlüftbar")</f>
        <v>the hydraulic equipment can be easily bled.</v>
      </c>
      <c r="D557" s="165"/>
      <c r="E557" s="165"/>
      <c r="F557" s="165"/>
      <c r="G557" s="437"/>
      <c r="H557" s="437"/>
    </row>
    <row r="558" spans="1:9" ht="20.100000000000001" customHeight="1" x14ac:dyDescent="0.2">
      <c r="A558" s="57" t="s">
        <v>120</v>
      </c>
      <c r="B558" s="57" t="str">
        <f>IF(L="EN","Measuring points","Messtellen")</f>
        <v>Measuring points</v>
      </c>
      <c r="C558" s="73"/>
      <c r="D558" s="165"/>
      <c r="E558" s="165"/>
      <c r="F558" s="165"/>
      <c r="G558" s="436"/>
      <c r="H558" s="436"/>
      <c r="I558" s="161"/>
    </row>
    <row r="559" spans="1:9" ht="25.5" x14ac:dyDescent="0.2">
      <c r="A559" s="70"/>
      <c r="B559" s="123"/>
      <c r="C559" s="73" t="str">
        <f>IF(L="EN","Measuring points for pressure checks are available","Messstellen für die Druckkontrolle sind vorhanden")</f>
        <v>Measuring points for pressure checks are available</v>
      </c>
      <c r="D559" s="165"/>
      <c r="E559" s="165"/>
      <c r="F559" s="165"/>
      <c r="G559" s="437"/>
      <c r="H559" s="437"/>
    </row>
    <row r="560" spans="1:9" x14ac:dyDescent="0.2">
      <c r="A560" s="57" t="s">
        <v>121</v>
      </c>
      <c r="B560" s="57" t="str">
        <f>IF(L="EN","Leaks","Leckage")</f>
        <v>Leaks</v>
      </c>
      <c r="C560" s="73"/>
      <c r="D560" s="165"/>
      <c r="E560" s="165"/>
      <c r="F560" s="165"/>
      <c r="G560" s="436"/>
      <c r="H560" s="436"/>
    </row>
    <row r="561" spans="1:15" ht="25.5" customHeight="1" x14ac:dyDescent="0.2">
      <c r="A561" s="70"/>
      <c r="B561" s="123"/>
      <c r="C561" s="73" t="str">
        <f>IF(L="EN","there are no visible leakage points.","es sind keine Leckstellen sichtbar")</f>
        <v>there are no visible leakage points.</v>
      </c>
      <c r="D561" s="165"/>
      <c r="E561" s="165"/>
      <c r="F561" s="165"/>
      <c r="G561" s="437"/>
      <c r="H561" s="437"/>
    </row>
    <row r="562" spans="1:15" x14ac:dyDescent="0.2">
      <c r="A562" s="57"/>
      <c r="B562" s="57"/>
      <c r="C562" s="73"/>
      <c r="D562" s="165"/>
      <c r="E562" s="165"/>
      <c r="F562" s="165"/>
      <c r="G562" s="436"/>
      <c r="H562" s="436"/>
    </row>
    <row r="563" spans="1:15" x14ac:dyDescent="0.2">
      <c r="A563" s="57" t="s">
        <v>122</v>
      </c>
      <c r="B563" s="57" t="str">
        <f>IF(L="EN","Tank","Behälter")</f>
        <v>Tank</v>
      </c>
      <c r="C563" s="73"/>
      <c r="D563" s="165"/>
      <c r="E563" s="165"/>
      <c r="F563" s="165"/>
      <c r="G563" s="436"/>
      <c r="H563" s="436"/>
    </row>
    <row r="564" spans="1:15" ht="25.5" x14ac:dyDescent="0.2">
      <c r="A564" s="57"/>
      <c r="B564" s="123"/>
      <c r="C564" s="73" t="str">
        <f>IF(L="EN","It is guaranteed that the temperature of the intake oil will not exceed 60° C","es ist sichergestellt, dass die Temperatur des angesaugten Öls 60° nicht übersteigen kann")</f>
        <v>It is guaranteed that the temperature of the intake oil will not exceed 60° C</v>
      </c>
      <c r="D564" s="165"/>
      <c r="E564" s="165"/>
      <c r="F564" s="165"/>
      <c r="G564" s="437"/>
      <c r="H564" s="437"/>
    </row>
    <row r="565" spans="1:15" ht="25.5" x14ac:dyDescent="0.2">
      <c r="A565" s="57"/>
      <c r="B565" s="123"/>
      <c r="C565" s="73" t="str">
        <f>IF(L="EN","There is an easily visible oil level display with Min-Max levels?","eine Ölstandsanzeige mit gut sichtbarer MIN/MAX-Angabe ist angebracht")</f>
        <v>There is an easily visible oil level display with Min-Max levels?</v>
      </c>
      <c r="D565" s="165"/>
      <c r="E565" s="165"/>
      <c r="F565" s="165"/>
      <c r="G565" s="437"/>
      <c r="H565" s="437"/>
    </row>
    <row r="566" spans="1:15" ht="25.5" x14ac:dyDescent="0.2">
      <c r="A566" s="57"/>
      <c r="B566" s="123"/>
      <c r="C566" s="73" t="str">
        <f>IF(L="EN","The inlet and outlet openings of the chamber are within reach for service.","Einfüll- und Abflussöffnungen sind wartungsgerecht angebracht")</f>
        <v>The inlet and outlet openings of the chamber are within reach for service.</v>
      </c>
      <c r="D566" s="165"/>
      <c r="E566" s="165"/>
      <c r="F566" s="165"/>
      <c r="G566" s="437"/>
      <c r="H566" s="437"/>
    </row>
    <row r="567" spans="1:15" ht="25.5" x14ac:dyDescent="0.2">
      <c r="A567" s="57"/>
      <c r="B567" s="123"/>
      <c r="C567" s="73" t="str">
        <f>IF(L="EN","The type and amount of oil is specified on an easily readable label?","Ölsorte und Ölmenge sind auf einem Schild gut sichtbar angegeben")</f>
        <v>The type and amount of oil is specified on an easily readable label?</v>
      </c>
      <c r="D567" s="165"/>
      <c r="E567" s="165"/>
      <c r="F567" s="165"/>
      <c r="G567" s="437"/>
      <c r="H567" s="437"/>
    </row>
    <row r="568" spans="1:15" x14ac:dyDescent="0.2">
      <c r="A568" s="57" t="s">
        <v>123</v>
      </c>
      <c r="B568" s="57" t="s">
        <v>124</v>
      </c>
      <c r="C568" s="73"/>
      <c r="D568" s="165"/>
      <c r="E568" s="165"/>
      <c r="F568" s="165"/>
      <c r="G568" s="436"/>
      <c r="H568" s="436"/>
    </row>
    <row r="569" spans="1:15" ht="25.5" x14ac:dyDescent="0.2">
      <c r="A569" s="57"/>
      <c r="B569" s="123"/>
      <c r="C569" s="73" t="str">
        <f>IF(L="EN","Pressure or return flow filters are built into the hydraulic circuit","es sind Druck- oder Rücklauffilter im Hydraulikkreislauf angebracht")</f>
        <v>Pressure or return flow filters are built into the hydraulic circuit</v>
      </c>
      <c r="D569" s="165"/>
      <c r="E569" s="165"/>
      <c r="F569" s="165"/>
      <c r="G569" s="437"/>
      <c r="H569" s="437"/>
    </row>
    <row r="570" spans="1:15" s="71" customFormat="1" ht="27" customHeight="1" x14ac:dyDescent="0.2">
      <c r="A570" s="70"/>
      <c r="B570" s="123"/>
      <c r="C570" s="73" t="str">
        <f>IF(L="EN","Where disposable filters are used, 1 replacement filter is supplied","bei Wegwerffiltern wird ein Ersatzfilter mitgeliefert")</f>
        <v>Where disposable filters are used, 1 replacement filter is supplied</v>
      </c>
      <c r="D570" s="165"/>
      <c r="E570" s="165"/>
      <c r="F570" s="165"/>
      <c r="G570" s="437"/>
      <c r="H570" s="437"/>
      <c r="I570" s="157"/>
      <c r="N570" s="331"/>
      <c r="O570" s="331"/>
    </row>
    <row r="571" spans="1:15" ht="12.75" customHeight="1" x14ac:dyDescent="0.2">
      <c r="A571" s="57"/>
      <c r="B571" s="123"/>
      <c r="C571" s="73" t="str">
        <f>IF(L="EN","The operational safety is guaranteed with the use of clogging indicators (filter change)","bei Einsatz von Servoventilen mit Gefährdungspotential:
es ist eine Verschmutzungsanzeige vorhanden (Filterwechsel)")</f>
        <v>The operational safety is guaranteed with the use of clogging indicators (filter change)</v>
      </c>
      <c r="D571" s="165"/>
      <c r="E571" s="165"/>
      <c r="F571" s="165"/>
      <c r="G571" s="437"/>
      <c r="H571" s="437"/>
    </row>
    <row r="572" spans="1:15" ht="12.75" customHeight="1" x14ac:dyDescent="0.2">
      <c r="A572" s="57"/>
      <c r="B572" s="123"/>
      <c r="C572" s="73"/>
      <c r="D572" s="165"/>
      <c r="E572" s="165"/>
      <c r="F572" s="165"/>
      <c r="G572" s="202"/>
      <c r="H572" s="202"/>
    </row>
    <row r="573" spans="1:15" ht="12.75" customHeight="1" x14ac:dyDescent="0.2">
      <c r="A573" s="57"/>
      <c r="B573" s="123"/>
      <c r="C573" s="73"/>
      <c r="D573" s="165"/>
      <c r="E573" s="165"/>
      <c r="F573" s="165"/>
      <c r="G573" s="202"/>
      <c r="H573" s="202"/>
    </row>
    <row r="574" spans="1:15" ht="12.75" customHeight="1" x14ac:dyDescent="0.2">
      <c r="A574" s="57"/>
      <c r="B574" s="123"/>
      <c r="C574" s="73"/>
      <c r="D574" s="165"/>
      <c r="E574" s="165"/>
      <c r="F574" s="165"/>
      <c r="G574" s="202"/>
      <c r="H574" s="202"/>
    </row>
    <row r="575" spans="1:15" ht="12.75" customHeight="1" x14ac:dyDescent="0.2">
      <c r="A575" s="57"/>
      <c r="B575" s="123"/>
      <c r="C575" s="73"/>
      <c r="D575" s="165"/>
      <c r="E575" s="165"/>
      <c r="F575" s="165"/>
      <c r="G575" s="202"/>
      <c r="H575" s="202"/>
    </row>
    <row r="576" spans="1:15" ht="12.75" customHeight="1" thickBot="1" x14ac:dyDescent="0.25">
      <c r="A576" s="57"/>
      <c r="B576" s="123"/>
      <c r="C576" s="73"/>
      <c r="D576" s="165"/>
      <c r="E576" s="165"/>
      <c r="F576" s="165"/>
      <c r="G576" s="202"/>
      <c r="H576" s="202"/>
    </row>
    <row r="577" spans="1:15" s="71" customFormat="1" ht="19.5" customHeight="1" x14ac:dyDescent="0.2">
      <c r="A577" s="419"/>
      <c r="B577" s="420"/>
      <c r="C577" s="423" t="str">
        <f>IF(L="EN","C/MPE Acceptance Report","C/MPE Abnahmeprotokoll")</f>
        <v>C/MPE Acceptance Report</v>
      </c>
      <c r="D577" s="423"/>
      <c r="E577" s="423"/>
      <c r="F577" s="424"/>
      <c r="G577" s="136" t="str">
        <f>IF(L="EN","Issue:","Ausgabe")</f>
        <v>Issue:</v>
      </c>
      <c r="H577" s="154" t="str">
        <f>IF(L="EN","Page","Blatt")</f>
        <v>Page</v>
      </c>
      <c r="I577" s="58"/>
      <c r="N577" s="331"/>
      <c r="O577" s="331"/>
    </row>
    <row r="578" spans="1:15" s="71" customFormat="1" ht="19.5" customHeight="1" thickBot="1" x14ac:dyDescent="0.25">
      <c r="A578" s="421"/>
      <c r="B578" s="422"/>
      <c r="C578" s="425"/>
      <c r="D578" s="425"/>
      <c r="E578" s="425"/>
      <c r="F578" s="426"/>
      <c r="G578" s="350" t="s">
        <v>433</v>
      </c>
      <c r="H578" s="156" t="s">
        <v>409</v>
      </c>
      <c r="I578" s="58"/>
      <c r="N578" s="331"/>
      <c r="O578" s="331"/>
    </row>
    <row r="579" spans="1:15" s="71" customFormat="1" ht="13.5" customHeight="1" thickBot="1" x14ac:dyDescent="0.25">
      <c r="A579" s="167" t="str">
        <f>IF(L="EN","section","Kapitel")</f>
        <v>section</v>
      </c>
      <c r="B579" s="427" t="str">
        <f>IF(L="EN","items to be checked","Prüfmerkmale")</f>
        <v>items to be checked</v>
      </c>
      <c r="C579" s="427"/>
      <c r="D579" s="168" t="s">
        <v>17</v>
      </c>
      <c r="E579" s="169" t="s">
        <v>18</v>
      </c>
      <c r="F579" s="170" t="s">
        <v>19</v>
      </c>
      <c r="G579" s="428" t="str">
        <f>IF(L="EN","remark","Bemerkung")</f>
        <v>remark</v>
      </c>
      <c r="H579" s="428"/>
      <c r="I579" s="58"/>
      <c r="N579" s="331"/>
      <c r="O579" s="331"/>
    </row>
    <row r="580" spans="1:15" x14ac:dyDescent="0.2">
      <c r="A580" s="70"/>
      <c r="B580" s="70"/>
      <c r="C580" s="73"/>
      <c r="D580" s="165"/>
      <c r="E580" s="165"/>
      <c r="F580" s="165"/>
      <c r="G580" s="436"/>
      <c r="H580" s="436"/>
    </row>
    <row r="581" spans="1:15" x14ac:dyDescent="0.2">
      <c r="A581" s="57" t="s">
        <v>125</v>
      </c>
      <c r="B581" s="57" t="str">
        <f>IF(L="EN","Valves","Ventile")</f>
        <v>Valves</v>
      </c>
      <c r="C581" s="73"/>
      <c r="D581" s="165"/>
      <c r="E581" s="165"/>
      <c r="F581" s="165"/>
      <c r="G581" s="436"/>
      <c r="H581" s="436"/>
    </row>
    <row r="582" spans="1:15" x14ac:dyDescent="0.2">
      <c r="A582" s="70"/>
      <c r="B582" s="123"/>
      <c r="C582" s="73" t="str">
        <f>IF(L="EN","Are the valves powered with 24V? ","die Schaltmagnete werden mit 24V versorgt")</f>
        <v xml:space="preserve">Are the valves powered with 24V? </v>
      </c>
      <c r="D582" s="165"/>
      <c r="E582" s="165"/>
      <c r="F582" s="165"/>
      <c r="G582" s="437"/>
      <c r="H582" s="437"/>
    </row>
    <row r="583" spans="1:15" ht="25.5" x14ac:dyDescent="0.2">
      <c r="A583" s="57"/>
      <c r="B583" s="123"/>
      <c r="C583" s="73" t="str">
        <f>IF(L="EN","Electrically operated valves are equipped with LEDs (not permitted for servo-valves)","elektrisch betätigte Ventile sind mit Leuchtdioden ausgeführt (bei Servoventilen nicht zulässig!)")</f>
        <v>Electrically operated valves are equipped with LEDs (not permitted for servo-valves)</v>
      </c>
      <c r="D583" s="165"/>
      <c r="E583" s="165"/>
      <c r="F583" s="165"/>
      <c r="G583" s="437"/>
      <c r="H583" s="437"/>
    </row>
    <row r="584" spans="1:15" ht="25.5" x14ac:dyDescent="0.2">
      <c r="A584" s="57"/>
      <c r="B584" s="123"/>
      <c r="C584" s="73" t="str">
        <f>IF(L="EN","Electrically operated valves are equipped with an emergency manual override.","elektrisch betätigte Ventile haben eine Hand-Notbetätigung")</f>
        <v>Electrically operated valves are equipped with an emergency manual override.</v>
      </c>
      <c r="D584" s="165"/>
      <c r="E584" s="165"/>
      <c r="F584" s="165"/>
      <c r="G584" s="437"/>
      <c r="H584" s="437"/>
    </row>
    <row r="585" spans="1:15" ht="25.5" x14ac:dyDescent="0.2">
      <c r="A585" s="57"/>
      <c r="B585" s="123"/>
      <c r="C585" s="73" t="str">
        <f>IF(L="EN","Valve blocks (mounting plates) are located outside of the working area.", "der Ventilblock (Montageplatte) ist außerhalb des Gefahrenbereichs installiert")</f>
        <v>Valve blocks (mounting plates) are located outside of the working area.</v>
      </c>
      <c r="D585" s="165"/>
      <c r="E585" s="165"/>
      <c r="F585" s="165"/>
      <c r="G585" s="437"/>
      <c r="H585" s="437"/>
    </row>
    <row r="586" spans="1:15" ht="38.25" x14ac:dyDescent="0.2">
      <c r="A586" s="57"/>
      <c r="B586" s="123"/>
      <c r="C586" s="73" t="str">
        <f>IF(L="EN","Potentially dangerous current and pressure regulating valves (e.g. max. pressure, feed..)can be locked or sealed","Strom- und Druckregelventile mit Gefährdungspotential (z.B. max. Druck, Vorschub) sind abschließbar oder plombiert")</f>
        <v>Potentially dangerous current and pressure regulating valves (e.g. max. pressure, feed..)can be locked or sealed</v>
      </c>
      <c r="D586" s="165"/>
      <c r="E586" s="165"/>
      <c r="F586" s="165"/>
      <c r="G586" s="437"/>
      <c r="H586" s="437"/>
    </row>
    <row r="587" spans="1:15" ht="51" x14ac:dyDescent="0.2">
      <c r="A587" s="57"/>
      <c r="B587" s="123"/>
      <c r="C587" s="73" t="str">
        <f>IF(L="EN","There are separate safeguards for machine movements which might be potentially dangerous if servo valves fail (e.g. mech. locking, if slide can fall by his own weight)","gefahrbringende Bewegungen im Zusammen-wirken mit dem Ausfall von Servoventilen sind separat abgesichert
(z.B. mech. Verriegelung, wenn Schlitten durch Eigengewicht absinken kann)")</f>
        <v>There are separate safeguards for machine movements which might be potentially dangerous if servo valves fail (e.g. mech. locking, if slide can fall by his own weight)</v>
      </c>
      <c r="D587" s="165"/>
      <c r="E587" s="165"/>
      <c r="F587" s="165"/>
      <c r="G587" s="437"/>
      <c r="H587" s="437"/>
    </row>
    <row r="588" spans="1:15" x14ac:dyDescent="0.2">
      <c r="A588" s="57" t="s">
        <v>126</v>
      </c>
      <c r="B588" s="57" t="str">
        <f>IF(L="EN","Marking","Kennzeichnung")</f>
        <v>Marking</v>
      </c>
      <c r="C588" s="73"/>
      <c r="D588" s="165"/>
      <c r="E588" s="165"/>
      <c r="F588" s="165"/>
      <c r="G588" s="436"/>
      <c r="H588" s="436"/>
    </row>
    <row r="589" spans="1:15" ht="38.25" x14ac:dyDescent="0.2">
      <c r="A589" s="57"/>
      <c r="B589" s="123"/>
      <c r="C589" s="73" t="str">
        <f>IF(L="EN","Connections to hydraulic units, control blocks and connecting panels are marked per the hydraulic diagram","Leitungsanschlüsse an Hydrogeräten, Steuerblöcken und Anschlussplatten sind mit Buchstaben/Zahlen gemäß dem Hydraulikplan gekennzeichnet")</f>
        <v>Connections to hydraulic units, control blocks and connecting panels are marked per the hydraulic diagram</v>
      </c>
      <c r="D589" s="165"/>
      <c r="E589" s="165"/>
      <c r="F589" s="165"/>
      <c r="G589" s="437"/>
      <c r="H589" s="437"/>
    </row>
    <row r="590" spans="1:15" ht="38.25" x14ac:dyDescent="0.2">
      <c r="A590" s="57"/>
      <c r="B590" s="123"/>
      <c r="C590" s="73" t="str">
        <f>IF(L="EN","Connections between the hydraulic unit and the machine are permanently marked at both ends
(e.g. with a hanging label)","Leitungsanschlüsse zwischen Hydraulikaggregat und Maschine sind an beiden Enden dauerhaft gekennzeichnet 
(z.B. Hängeschilder)")</f>
        <v>Connections between the hydraulic unit and the machine are permanently marked at both ends
(e.g. with a hanging label)</v>
      </c>
      <c r="D590" s="165"/>
      <c r="E590" s="165"/>
      <c r="F590" s="165"/>
      <c r="G590" s="437"/>
      <c r="H590" s="437"/>
    </row>
    <row r="591" spans="1:15" ht="38.25" x14ac:dyDescent="0.2">
      <c r="A591" s="57"/>
      <c r="B591" s="123"/>
      <c r="C591" s="73" t="str">
        <f>IF(L="EN","Labels specifying adjustment values are located next to the adjustment components (pressure valve/ pressure switches) ","es sind Schilder mit Einstellwerten neben den Einstellelementen (Druckventil/Druckschalter) angebracht")</f>
        <v xml:space="preserve">Labels specifying adjustment values are located next to the adjustment components (pressure valve/ pressure switches) </v>
      </c>
      <c r="D591" s="165"/>
      <c r="E591" s="165"/>
      <c r="F591" s="165"/>
      <c r="G591" s="437"/>
      <c r="H591" s="437"/>
    </row>
    <row r="592" spans="1:15" ht="38.25" x14ac:dyDescent="0.2">
      <c r="A592" s="57"/>
      <c r="B592" s="123"/>
      <c r="C592" s="73" t="str">
        <f>IF(L="EN","All non-interchangeable valves are labelled per the circuit diagram and controlled functions are clearly identified (e.g. clamping cylinder forwards)","alle Ventile sind entsprechend dem Schaltplan an nicht austauschbaren Teilen und bei gesteuerten Funktionen zusätzlich im Klartext („Spannzylinder vor“) gekennzeichnet")</f>
        <v>All non-interchangeable valves are labelled per the circuit diagram and controlled functions are clearly identified (e.g. clamping cylinder forwards)</v>
      </c>
      <c r="D592" s="165"/>
      <c r="E592" s="165"/>
      <c r="F592" s="165"/>
      <c r="G592" s="437"/>
      <c r="H592" s="437"/>
    </row>
    <row r="593" spans="1:8" ht="25.5" x14ac:dyDescent="0.2">
      <c r="A593" s="57"/>
      <c r="B593" s="123"/>
      <c r="C593" s="73" t="str">
        <f>IF(L="EN","Labels are oil-resistant and securely fixed e.g. with rivets","die Schilder sind ölfest und dauerhaft z.B. mit Kerbnägeln befestigt")</f>
        <v>Labels are oil-resistant and securely fixed e.g. with rivets</v>
      </c>
      <c r="D593" s="165"/>
      <c r="E593" s="165"/>
      <c r="F593" s="165"/>
      <c r="G593" s="437"/>
      <c r="H593" s="437"/>
    </row>
    <row r="594" spans="1:8" x14ac:dyDescent="0.2">
      <c r="A594" s="57" t="s">
        <v>127</v>
      </c>
      <c r="B594" s="57" t="str">
        <f>IF(L="EN","Lines and line connections","Leitungen und Leitungsverbindungen")</f>
        <v>Lines and line connections</v>
      </c>
      <c r="C594" s="73"/>
      <c r="D594" s="165"/>
      <c r="E594" s="165"/>
      <c r="F594" s="165"/>
      <c r="G594" s="436"/>
      <c r="H594" s="436"/>
    </row>
    <row r="595" spans="1:8" x14ac:dyDescent="0.2">
      <c r="A595" s="57"/>
      <c r="B595" s="123"/>
      <c r="C595" s="73" t="str">
        <f>IF(L="EN","All lines are secured with clamps/clips","alle Leitungen sind mit Rohrschellen befestigt")</f>
        <v>All lines are secured with clamps/clips</v>
      </c>
      <c r="D595" s="165"/>
      <c r="E595" s="165"/>
      <c r="F595" s="165"/>
      <c r="G595" s="437"/>
      <c r="H595" s="437"/>
    </row>
    <row r="596" spans="1:8" x14ac:dyDescent="0.2">
      <c r="A596" s="57"/>
      <c r="B596" s="123"/>
      <c r="C596" s="73" t="str">
        <f>IF(L="EN","Flexible hose lines have","Schlauchleitungen sind mit folgenden Angaben versehen:")</f>
        <v>Flexible hose lines have</v>
      </c>
      <c r="D596" s="165"/>
      <c r="E596" s="165"/>
      <c r="F596" s="165"/>
      <c r="G596" s="437"/>
      <c r="H596" s="437"/>
    </row>
    <row r="597" spans="1:8" x14ac:dyDescent="0.2">
      <c r="A597" s="57"/>
      <c r="B597" s="126" t="s">
        <v>128</v>
      </c>
      <c r="C597" s="73" t="str">
        <f>IF(L="EN","manufacturer`s identification","KennzeichnungdesSchlauchherstellers")</f>
        <v>manufacturer`s identification</v>
      </c>
      <c r="D597" s="165"/>
      <c r="E597" s="165"/>
      <c r="F597" s="165"/>
      <c r="G597" s="437"/>
      <c r="H597" s="437"/>
    </row>
    <row r="598" spans="1:8" ht="25.5" x14ac:dyDescent="0.2">
      <c r="A598" s="57"/>
      <c r="B598" s="165" t="s">
        <v>432</v>
      </c>
      <c r="C598" s="73" t="str">
        <f>IF(L="EN","Manufacturing date (month, year) and max. pressure? ","Herstellungsdatum (Monat, Jahr) sowie max. Druck")</f>
        <v xml:space="preserve">Manufacturing date (month, year) and max. pressure? </v>
      </c>
      <c r="D598" s="165"/>
      <c r="E598" s="165"/>
      <c r="F598" s="165"/>
      <c r="G598" s="437"/>
      <c r="H598" s="437"/>
    </row>
    <row r="599" spans="1:8" ht="25.5" x14ac:dyDescent="0.2">
      <c r="A599" s="57"/>
      <c r="B599" s="123"/>
      <c r="C599" s="73" t="str">
        <f>IF(L="EN","Flexible lines are correctly installed? (see sketches)","die Schlauchleitungen sind richtig verlegt")</f>
        <v>Flexible lines are correctly installed? (see sketches)</v>
      </c>
      <c r="D599" s="165"/>
      <c r="E599" s="165"/>
      <c r="F599" s="165"/>
      <c r="G599" s="437"/>
      <c r="H599" s="437"/>
    </row>
    <row r="600" spans="1:8" ht="20.100000000000001" customHeight="1" x14ac:dyDescent="0.2">
      <c r="A600" s="57"/>
      <c r="B600" s="57"/>
      <c r="C600" s="73"/>
      <c r="D600" s="165"/>
      <c r="E600" s="165"/>
      <c r="F600" s="165"/>
      <c r="G600" s="437"/>
      <c r="H600" s="437"/>
    </row>
    <row r="601" spans="1:8" x14ac:dyDescent="0.2">
      <c r="A601" s="57"/>
      <c r="B601" s="57"/>
      <c r="C601" s="73"/>
      <c r="D601" s="165"/>
      <c r="E601" s="165"/>
      <c r="F601" s="165"/>
      <c r="G601" s="437"/>
      <c r="H601" s="437"/>
    </row>
    <row r="602" spans="1:8" x14ac:dyDescent="0.2">
      <c r="A602" s="57"/>
      <c r="B602" s="57"/>
      <c r="C602" s="73"/>
      <c r="D602" s="165"/>
      <c r="E602" s="165"/>
      <c r="F602" s="165"/>
      <c r="G602" s="437"/>
      <c r="H602" s="437"/>
    </row>
    <row r="603" spans="1:8" x14ac:dyDescent="0.2">
      <c r="A603" s="57"/>
      <c r="B603" s="57"/>
      <c r="C603" s="73"/>
      <c r="D603" s="165"/>
      <c r="E603" s="165"/>
      <c r="F603" s="165"/>
      <c r="G603" s="437"/>
      <c r="H603" s="437"/>
    </row>
    <row r="604" spans="1:8" ht="20.100000000000001" customHeight="1" x14ac:dyDescent="0.2">
      <c r="A604" s="57"/>
      <c r="B604" s="57"/>
      <c r="C604" s="73"/>
      <c r="D604" s="165"/>
      <c r="E604" s="165"/>
      <c r="F604" s="165"/>
      <c r="G604" s="437"/>
      <c r="H604" s="437"/>
    </row>
    <row r="605" spans="1:8" x14ac:dyDescent="0.2">
      <c r="A605" s="57"/>
      <c r="B605" s="57"/>
      <c r="C605" s="73"/>
      <c r="D605" s="165"/>
      <c r="E605" s="165"/>
      <c r="F605" s="165"/>
      <c r="G605" s="437"/>
      <c r="H605" s="437"/>
    </row>
    <row r="606" spans="1:8" x14ac:dyDescent="0.2">
      <c r="A606" s="57"/>
      <c r="B606" s="57"/>
      <c r="C606" s="73"/>
      <c r="D606" s="165"/>
      <c r="E606" s="165"/>
      <c r="F606" s="165"/>
      <c r="G606" s="437"/>
      <c r="H606" s="437"/>
    </row>
    <row r="607" spans="1:8" x14ac:dyDescent="0.2">
      <c r="A607" s="57"/>
      <c r="B607" s="57"/>
      <c r="C607" s="73"/>
      <c r="D607" s="165"/>
      <c r="E607" s="165"/>
      <c r="F607" s="165"/>
      <c r="G607" s="437"/>
      <c r="H607" s="437"/>
    </row>
    <row r="608" spans="1:8" x14ac:dyDescent="0.2">
      <c r="A608" s="57"/>
      <c r="B608" s="57"/>
      <c r="C608" s="73"/>
      <c r="D608" s="165"/>
      <c r="E608" s="165"/>
      <c r="F608" s="165"/>
      <c r="G608" s="437"/>
      <c r="H608" s="437"/>
    </row>
    <row r="609" spans="1:15" x14ac:dyDescent="0.2">
      <c r="A609" s="57"/>
      <c r="B609" s="57"/>
      <c r="C609" s="73"/>
      <c r="D609" s="165"/>
      <c r="E609" s="165"/>
      <c r="F609" s="165"/>
      <c r="G609" s="437"/>
      <c r="H609" s="437"/>
      <c r="I609" s="161"/>
    </row>
    <row r="610" spans="1:15" x14ac:dyDescent="0.2">
      <c r="A610" s="57"/>
      <c r="B610" s="57"/>
      <c r="C610" s="73"/>
      <c r="D610" s="165"/>
      <c r="E610" s="165"/>
      <c r="F610" s="165"/>
      <c r="G610" s="437"/>
      <c r="H610" s="437"/>
    </row>
    <row r="611" spans="1:15" x14ac:dyDescent="0.2">
      <c r="A611" s="57"/>
      <c r="B611" s="57"/>
      <c r="C611" s="73"/>
      <c r="D611" s="165"/>
      <c r="E611" s="165"/>
      <c r="F611" s="165"/>
      <c r="G611" s="437"/>
      <c r="H611" s="437"/>
    </row>
    <row r="612" spans="1:15" x14ac:dyDescent="0.2">
      <c r="A612" s="57"/>
      <c r="B612" s="57"/>
      <c r="C612" s="73"/>
      <c r="D612" s="165"/>
      <c r="E612" s="165"/>
      <c r="F612" s="165"/>
      <c r="G612" s="193"/>
      <c r="H612" s="193"/>
    </row>
    <row r="613" spans="1:15" ht="13.5" thickBot="1" x14ac:dyDescent="0.25">
      <c r="A613" s="57"/>
      <c r="B613" s="57"/>
      <c r="C613" s="73"/>
      <c r="D613" s="165"/>
      <c r="E613" s="165"/>
      <c r="F613" s="165"/>
      <c r="G613" s="193"/>
      <c r="H613" s="193"/>
    </row>
    <row r="614" spans="1:15" s="71" customFormat="1" ht="19.5" customHeight="1" x14ac:dyDescent="0.2">
      <c r="A614" s="419"/>
      <c r="B614" s="420"/>
      <c r="C614" s="423" t="str">
        <f>IF(L="EN","C/MPE Acceptance Report","C/MPE Abnahmeprotokoll")</f>
        <v>C/MPE Acceptance Report</v>
      </c>
      <c r="D614" s="423"/>
      <c r="E614" s="423"/>
      <c r="F614" s="424"/>
      <c r="G614" s="136" t="str">
        <f>IF(L="EN","Issue:","Ausgabe")</f>
        <v>Issue:</v>
      </c>
      <c r="H614" s="154" t="str">
        <f>IF(L="EN","Page","Blatt")</f>
        <v>Page</v>
      </c>
      <c r="I614" s="58"/>
      <c r="N614" s="331"/>
      <c r="O614" s="331"/>
    </row>
    <row r="615" spans="1:15" s="71" customFormat="1" ht="19.5" customHeight="1" thickBot="1" x14ac:dyDescent="0.25">
      <c r="A615" s="421"/>
      <c r="B615" s="422"/>
      <c r="C615" s="425"/>
      <c r="D615" s="425"/>
      <c r="E615" s="425"/>
      <c r="F615" s="426"/>
      <c r="G615" s="350" t="s">
        <v>433</v>
      </c>
      <c r="H615" s="156" t="s">
        <v>410</v>
      </c>
      <c r="I615" s="58"/>
      <c r="N615" s="331"/>
      <c r="O615" s="331"/>
    </row>
    <row r="616" spans="1:15" s="71" customFormat="1" ht="13.5" customHeight="1" thickBot="1" x14ac:dyDescent="0.25">
      <c r="A616" s="167" t="str">
        <f>IF(L="EN","section","Kapitel")</f>
        <v>section</v>
      </c>
      <c r="B616" s="427" t="str">
        <f>IF(L="EN","items to be checked","Prüfmerkmale")</f>
        <v>items to be checked</v>
      </c>
      <c r="C616" s="427"/>
      <c r="D616" s="168" t="s">
        <v>17</v>
      </c>
      <c r="E616" s="169" t="s">
        <v>18</v>
      </c>
      <c r="F616" s="170" t="s">
        <v>19</v>
      </c>
      <c r="G616" s="428" t="str">
        <f>IF(L="EN","remark","Bemerkung")</f>
        <v>remark</v>
      </c>
      <c r="H616" s="428"/>
      <c r="I616" s="58"/>
      <c r="N616" s="331"/>
      <c r="O616" s="331"/>
    </row>
    <row r="617" spans="1:15" x14ac:dyDescent="0.2">
      <c r="A617" s="70"/>
      <c r="B617" s="70"/>
      <c r="C617" s="73"/>
      <c r="D617" s="165"/>
      <c r="E617" s="165"/>
      <c r="F617" s="165"/>
      <c r="G617" s="436"/>
      <c r="H617" s="436"/>
    </row>
    <row r="618" spans="1:15" x14ac:dyDescent="0.2">
      <c r="A618" s="177" t="s">
        <v>9</v>
      </c>
      <c r="B618" s="177" t="s">
        <v>129</v>
      </c>
      <c r="C618" s="178"/>
      <c r="D618" s="162"/>
      <c r="E618" s="162"/>
      <c r="F618" s="162"/>
      <c r="G618" s="179"/>
      <c r="H618" s="179"/>
      <c r="I618" s="257"/>
    </row>
    <row r="619" spans="1:15" x14ac:dyDescent="0.2">
      <c r="A619" s="57"/>
      <c r="B619" s="436" t="str">
        <f>IF(L="EN","Delivery instructions for the pneumatic equipment of machinery and production equipment (MAE)","Allgemeine Liefervorschriften für pneumatische Ausrüstung von Werkzeugmaschinen, Anlagen und Fertigungseinrichtungen")</f>
        <v>Delivery instructions for the pneumatic equipment of machinery and production equipment (MAE)</v>
      </c>
      <c r="C619" s="436"/>
      <c r="D619" s="436"/>
      <c r="E619" s="436"/>
      <c r="F619" s="194"/>
      <c r="G619" s="190" t="str">
        <f>IF(L="EN","Issue 06/2011","Ausgabe 06/2011")</f>
        <v>Issue 06/2011</v>
      </c>
      <c r="H619" s="194"/>
      <c r="I619" s="258"/>
    </row>
    <row r="620" spans="1:15" x14ac:dyDescent="0.2">
      <c r="A620" s="57"/>
      <c r="B620" s="436"/>
      <c r="C620" s="436"/>
      <c r="D620" s="436"/>
      <c r="E620" s="436"/>
      <c r="F620" s="194"/>
      <c r="G620" s="194"/>
      <c r="H620" s="194"/>
    </row>
    <row r="621" spans="1:15" x14ac:dyDescent="0.2">
      <c r="A621" s="57"/>
      <c r="B621" s="194"/>
      <c r="C621" s="194"/>
      <c r="D621" s="165"/>
      <c r="E621" s="165"/>
      <c r="F621" s="165"/>
      <c r="G621" s="194"/>
      <c r="H621" s="194"/>
    </row>
    <row r="622" spans="1:15" x14ac:dyDescent="0.2">
      <c r="A622" s="57" t="s">
        <v>130</v>
      </c>
      <c r="B622" s="57" t="str">
        <f>IF(L="EN","Pneumatics","Pneumatikelemente")</f>
        <v>Pneumatics</v>
      </c>
      <c r="C622" s="73"/>
      <c r="D622" s="165"/>
      <c r="E622" s="165"/>
      <c r="F622" s="165"/>
      <c r="G622" s="436"/>
      <c r="H622" s="436"/>
    </row>
    <row r="623" spans="1:15" x14ac:dyDescent="0.2">
      <c r="A623" s="70"/>
      <c r="B623" s="123"/>
      <c r="C623" s="73" t="str">
        <f>IF(L="EN","Bosch-Rexroth components have been used","es sind Bosch-Rexroth-Pneumatikelemente eingesetzt")</f>
        <v>Bosch-Rexroth components have been used</v>
      </c>
      <c r="D623" s="165"/>
      <c r="E623" s="165"/>
      <c r="F623" s="165"/>
      <c r="G623" s="437"/>
      <c r="H623" s="437"/>
      <c r="I623" s="253"/>
    </row>
    <row r="624" spans="1:15" x14ac:dyDescent="0.2">
      <c r="A624" s="57"/>
      <c r="B624" s="57"/>
      <c r="C624" s="73"/>
      <c r="D624" s="165"/>
      <c r="E624" s="165"/>
      <c r="F624" s="165"/>
      <c r="G624" s="436"/>
      <c r="H624" s="436"/>
    </row>
    <row r="625" spans="1:15" x14ac:dyDescent="0.2">
      <c r="A625" s="57" t="s">
        <v>131</v>
      </c>
      <c r="B625" s="57" t="str">
        <f>IF(L="EN","Working pressure","Betriebsdruck")</f>
        <v>Working pressure</v>
      </c>
      <c r="C625" s="73"/>
      <c r="D625" s="165"/>
      <c r="E625" s="165"/>
      <c r="F625" s="165"/>
      <c r="G625" s="436"/>
      <c r="H625" s="436"/>
    </row>
    <row r="626" spans="1:15" x14ac:dyDescent="0.2">
      <c r="A626" s="70"/>
      <c r="B626" s="123"/>
      <c r="C626" s="73" t="str">
        <f>IF(L="EN","The equipment is designed to operate at 5 bar?","die Anlage ist für 5 bar ausgelegt und funktionstüchtig")</f>
        <v>The equipment is designed to operate at 5 bar?</v>
      </c>
      <c r="D626" s="165"/>
      <c r="E626" s="165"/>
      <c r="F626" s="165"/>
      <c r="G626" s="437"/>
      <c r="H626" s="437"/>
    </row>
    <row r="627" spans="1:15" s="71" customFormat="1" ht="25.5" x14ac:dyDescent="0.2">
      <c r="A627" s="70"/>
      <c r="B627" s="123"/>
      <c r="C627" s="73" t="str">
        <f>IF(L="EN","Working pressure is monitored by the control system","der Betriebsdruck wird von der Steuerung überwacht")</f>
        <v>Working pressure is monitored by the control system</v>
      </c>
      <c r="D627" s="165"/>
      <c r="E627" s="165"/>
      <c r="F627" s="165"/>
      <c r="G627" s="437"/>
      <c r="H627" s="437"/>
      <c r="I627" s="157"/>
      <c r="N627" s="331"/>
      <c r="O627" s="331"/>
    </row>
    <row r="628" spans="1:15" s="259" customFormat="1" x14ac:dyDescent="0.2">
      <c r="A628" s="57"/>
      <c r="B628" s="57"/>
      <c r="C628" s="73"/>
      <c r="D628" s="165"/>
      <c r="E628" s="165"/>
      <c r="F628" s="165"/>
      <c r="G628" s="436"/>
      <c r="H628" s="436"/>
      <c r="I628" s="157"/>
      <c r="N628" s="333"/>
      <c r="O628" s="333"/>
    </row>
    <row r="629" spans="1:15" s="259" customFormat="1" x14ac:dyDescent="0.2">
      <c r="A629" s="57" t="s">
        <v>132</v>
      </c>
      <c r="B629" s="57" t="str">
        <f>IF(L="EN","Maintenance unit","Wartungseinheit")</f>
        <v>Maintenance unit</v>
      </c>
      <c r="C629" s="73"/>
      <c r="D629" s="165"/>
      <c r="E629" s="165"/>
      <c r="F629" s="165"/>
      <c r="G629" s="436"/>
      <c r="H629" s="436"/>
      <c r="I629" s="157"/>
      <c r="N629" s="333"/>
      <c r="O629" s="333"/>
    </row>
    <row r="630" spans="1:15" s="259" customFormat="1" ht="127.5" x14ac:dyDescent="0.2">
      <c r="A630" s="57"/>
      <c r="B630" s="123"/>
      <c r="C630" s="73" t="str">
        <f>IF(L="EN",N630,O630)</f>
        <v>There is a maintenance unit comprising of a manual locking valve, a filter with regulator, and a manometer, an electrical controlled main valve, a filling valve, and a distributor with pressure switch. 
Oiling unit and water drain valve regarding the quality of the compressed air and the requirements of the connected machine
Note: Where oil-free pneumatic equipment is used, a lubricator unit may not be installed in the pneumatic inlet-pipe</v>
      </c>
      <c r="D630" s="165"/>
      <c r="E630" s="165"/>
      <c r="F630" s="165"/>
      <c r="G630" s="437"/>
      <c r="H630" s="437"/>
      <c r="I630" s="260"/>
      <c r="N630" s="333" t="s">
        <v>426</v>
      </c>
      <c r="O630" s="333" t="s">
        <v>427</v>
      </c>
    </row>
    <row r="631" spans="1:15" s="259" customFormat="1" ht="25.5" x14ac:dyDescent="0.2">
      <c r="A631" s="57"/>
      <c r="B631" s="123"/>
      <c r="C631" s="73" t="str">
        <f>IF(L="EN","The maintenance unit is easily accessible and visible","die Wartungseinheit ist gut zugänglich und einsehbar")</f>
        <v>The maintenance unit is easily accessible and visible</v>
      </c>
      <c r="D631" s="165"/>
      <c r="E631" s="165"/>
      <c r="F631" s="165"/>
      <c r="G631" s="437"/>
      <c r="H631" s="437"/>
      <c r="I631" s="157"/>
      <c r="N631" s="333"/>
      <c r="O631" s="333"/>
    </row>
    <row r="632" spans="1:15" s="203" customFormat="1" ht="38.25" x14ac:dyDescent="0.2">
      <c r="A632" s="57"/>
      <c r="B632" s="123"/>
      <c r="C632" s="73" t="str">
        <f>IF(L="EN","A manually operated valve (closing valve) is installed in front of the maintenance unit and a shut-off valve behind it.","vor der Wartungseinheit ist ein Handbetätigungsventil (Absperrventil) und hinter der Wartungseinheit ein Abschaltventil eingebaut")</f>
        <v>A manually operated valve (closing valve) is installed in front of the maintenance unit and a shut-off valve behind it.</v>
      </c>
      <c r="D632" s="165"/>
      <c r="E632" s="165"/>
      <c r="F632" s="165"/>
      <c r="G632" s="437"/>
      <c r="H632" s="437"/>
      <c r="I632" s="157"/>
      <c r="N632" s="331"/>
      <c r="O632" s="331"/>
    </row>
    <row r="633" spans="1:15" s="259" customFormat="1" ht="20.100000000000001" customHeight="1" x14ac:dyDescent="0.2">
      <c r="A633" s="57"/>
      <c r="B633" s="57"/>
      <c r="C633" s="73"/>
      <c r="D633" s="165"/>
      <c r="E633" s="165"/>
      <c r="F633" s="165"/>
      <c r="G633" s="436"/>
      <c r="H633" s="436"/>
      <c r="I633" s="157"/>
      <c r="N633" s="333"/>
      <c r="O633" s="333"/>
    </row>
    <row r="634" spans="1:15" s="259" customFormat="1" x14ac:dyDescent="0.2">
      <c r="A634" s="57" t="s">
        <v>133</v>
      </c>
      <c r="B634" s="57" t="str">
        <f>IF(L="EN","Cylinder","Zylinder")</f>
        <v>Cylinder</v>
      </c>
      <c r="C634" s="73"/>
      <c r="D634" s="165"/>
      <c r="E634" s="165"/>
      <c r="F634" s="165"/>
      <c r="G634" s="436"/>
      <c r="H634" s="436"/>
      <c r="I634" s="157"/>
      <c r="N634" s="333"/>
      <c r="O634" s="333"/>
    </row>
    <row r="635" spans="1:15" s="259" customFormat="1" ht="25.5" x14ac:dyDescent="0.2">
      <c r="A635" s="57"/>
      <c r="B635" s="123"/>
      <c r="C635" s="73" t="str">
        <f>IF(L="EN","Cylinder travel is limited by positive stops not contained in the cylinder","bei genauen Endlagen sind die Anschläge außerhalb der Zylinder angebracht")</f>
        <v>Cylinder travel is limited by positive stops not contained in the cylinder</v>
      </c>
      <c r="D635" s="165"/>
      <c r="E635" s="165"/>
      <c r="F635" s="165"/>
      <c r="G635" s="437"/>
      <c r="H635" s="437"/>
      <c r="I635" s="157"/>
      <c r="N635" s="333"/>
      <c r="O635" s="333"/>
    </row>
    <row r="636" spans="1:15" s="259" customFormat="1" x14ac:dyDescent="0.2">
      <c r="A636" s="57"/>
      <c r="B636" s="57"/>
      <c r="C636" s="73"/>
      <c r="D636" s="165"/>
      <c r="E636" s="165"/>
      <c r="F636" s="165"/>
      <c r="G636" s="436"/>
      <c r="H636" s="436"/>
      <c r="I636" s="157"/>
      <c r="N636" s="333"/>
      <c r="O636" s="333"/>
    </row>
    <row r="637" spans="1:15" s="259" customFormat="1" x14ac:dyDescent="0.2">
      <c r="A637" s="57" t="s">
        <v>134</v>
      </c>
      <c r="B637" s="57" t="str">
        <f>IF(L="EN","Directional valves","Wegeventile")</f>
        <v>Directional valves</v>
      </c>
      <c r="C637" s="73"/>
      <c r="D637" s="165"/>
      <c r="E637" s="165"/>
      <c r="F637" s="165"/>
      <c r="G637" s="436"/>
      <c r="H637" s="436"/>
      <c r="I637" s="157"/>
      <c r="N637" s="333"/>
      <c r="O637" s="333"/>
    </row>
    <row r="638" spans="1:15" s="259" customFormat="1" ht="25.5" x14ac:dyDescent="0.2">
      <c r="A638" s="57"/>
      <c r="B638" s="123"/>
      <c r="C638" s="73" t="str">
        <f>IF(L="EN","Control and adjustment valves are easily accessible","Steuer- und Stellventile sind gut zugänglich montiert (z.B. Montagewand)")</f>
        <v>Control and adjustment valves are easily accessible</v>
      </c>
      <c r="D638" s="165"/>
      <c r="E638" s="165"/>
      <c r="F638" s="165"/>
      <c r="G638" s="437"/>
      <c r="H638" s="437"/>
      <c r="I638" s="157"/>
      <c r="N638" s="333"/>
      <c r="O638" s="333"/>
    </row>
    <row r="639" spans="1:15" s="259" customFormat="1" ht="25.5" x14ac:dyDescent="0.2">
      <c r="A639" s="57"/>
      <c r="B639" s="123"/>
      <c r="C639" s="73" t="str">
        <f>IF(L="EN","Valve banks are utilized (excluding hand operated valves)","die Wegeventile sind in Blockbauweise ausgeführt (ausgenommen Handventile)")</f>
        <v>Valve banks are utilized (excluding hand operated valves)</v>
      </c>
      <c r="D639" s="165"/>
      <c r="E639" s="165"/>
      <c r="F639" s="165"/>
      <c r="G639" s="437"/>
      <c r="H639" s="437"/>
      <c r="I639" s="157"/>
      <c r="N639" s="333"/>
      <c r="O639" s="333"/>
    </row>
    <row r="640" spans="1:15" s="259" customFormat="1" ht="25.5" x14ac:dyDescent="0.2">
      <c r="A640" s="57"/>
      <c r="B640" s="123"/>
      <c r="C640" s="73" t="str">
        <f>IF(L="EN","The design is such that expandability is possible.  Spare capacity is available","es sind Erweiterungsmöglichkeiten vorgesehen; eine Reserve ist vorhanden")</f>
        <v>The design is such that expandability is possible.  Spare capacity is available</v>
      </c>
      <c r="D640" s="165"/>
      <c r="E640" s="165"/>
      <c r="F640" s="165"/>
      <c r="G640" s="437"/>
      <c r="H640" s="437"/>
      <c r="I640" s="157"/>
      <c r="N640" s="333"/>
      <c r="O640" s="333"/>
    </row>
    <row r="641" spans="1:15" s="259" customFormat="1" x14ac:dyDescent="0.2">
      <c r="A641" s="57"/>
      <c r="B641" s="123"/>
      <c r="C641" s="73" t="str">
        <f>IF(L="EN","There are LED´s to display status","der Status wird mit Leuchtdioden angezeigt")</f>
        <v>There are LED´s to display status</v>
      </c>
      <c r="D641" s="165"/>
      <c r="E641" s="165"/>
      <c r="F641" s="165"/>
      <c r="G641" s="437"/>
      <c r="H641" s="437"/>
      <c r="I641" s="157"/>
      <c r="N641" s="333"/>
      <c r="O641" s="333"/>
    </row>
    <row r="642" spans="1:15" s="261" customFormat="1" ht="25.5" x14ac:dyDescent="0.2">
      <c r="A642" s="57"/>
      <c r="B642" s="123"/>
      <c r="C642" s="73" t="str">
        <f>IF(L="EN","The ambient temperature for magnetic valves is kept below 50°C.","die max. Umgebungstemperatur für Magnetventile von 50°C wird eingehalten")</f>
        <v>The ambient temperature for magnetic valves is kept below 50°C.</v>
      </c>
      <c r="D642" s="165"/>
      <c r="E642" s="165"/>
      <c r="F642" s="165"/>
      <c r="G642" s="437"/>
      <c r="H642" s="437"/>
      <c r="I642" s="157"/>
      <c r="N642" s="330"/>
      <c r="O642" s="330"/>
    </row>
    <row r="643" spans="1:15" s="71" customFormat="1" ht="38.25" x14ac:dyDescent="0.2">
      <c r="A643" s="57"/>
      <c r="B643" s="123"/>
      <c r="C643" s="73" t="str">
        <f>IF(L="EN","Do hand operated buttons have safeguards against accidental operation (raised edge, recessed mounting)?","vorhandene Handtaster sind gegen zufällige Betätigung geschützt (hochgezogener Rand, versenkter Einbau)")</f>
        <v>Do hand operated buttons have safeguards against accidental operation (raised edge, recessed mounting)?</v>
      </c>
      <c r="D643" s="165"/>
      <c r="E643" s="165"/>
      <c r="F643" s="165"/>
      <c r="G643" s="437"/>
      <c r="H643" s="437"/>
      <c r="I643" s="157"/>
      <c r="N643" s="331"/>
      <c r="O643" s="331"/>
    </row>
    <row r="644" spans="1:15" x14ac:dyDescent="0.2">
      <c r="A644" s="57" t="s">
        <v>135</v>
      </c>
      <c r="B644" s="57" t="str">
        <f>IF(L="EN","Fittings","Verschraubungen")</f>
        <v>Fittings</v>
      </c>
      <c r="C644" s="73"/>
      <c r="D644" s="165"/>
      <c r="E644" s="165"/>
      <c r="F644" s="165"/>
      <c r="G644" s="436"/>
      <c r="H644" s="436"/>
    </row>
    <row r="645" spans="1:15" x14ac:dyDescent="0.2">
      <c r="A645" s="57"/>
      <c r="B645" s="123"/>
      <c r="C645" s="73" t="str">
        <f>IF(L="EN","Metal pipes have compression fittings","alle Metallrohre haben Schneidring-
verschraubungen")</f>
        <v>Metal pipes have compression fittings</v>
      </c>
      <c r="D645" s="165"/>
      <c r="E645" s="165"/>
      <c r="F645" s="165"/>
      <c r="G645" s="437"/>
      <c r="H645" s="437"/>
    </row>
    <row r="646" spans="1:15" s="71" customFormat="1" x14ac:dyDescent="0.2">
      <c r="A646" s="57"/>
      <c r="B646" s="123"/>
      <c r="C646" s="73" t="str">
        <f>IF(L="EN","Plastic hoses have quick connect fasteners","alle Kunststoffrohre verfügen über Schnellverbindungen")</f>
        <v>Plastic hoses have quick connect fasteners</v>
      </c>
      <c r="D646" s="165"/>
      <c r="E646" s="165"/>
      <c r="F646" s="165"/>
      <c r="G646" s="437"/>
      <c r="H646" s="437"/>
      <c r="I646" s="157"/>
      <c r="N646" s="331"/>
      <c r="O646" s="331"/>
    </row>
    <row r="647" spans="1:15" s="71" customFormat="1" x14ac:dyDescent="0.2">
      <c r="A647" s="57"/>
      <c r="B647" s="123"/>
      <c r="C647" s="73"/>
      <c r="D647" s="165"/>
      <c r="E647" s="165"/>
      <c r="F647" s="165"/>
      <c r="G647" s="202"/>
      <c r="H647" s="202"/>
      <c r="I647" s="157"/>
      <c r="N647" s="331"/>
      <c r="O647" s="331"/>
    </row>
    <row r="648" spans="1:15" s="71" customFormat="1" x14ac:dyDescent="0.2">
      <c r="A648" s="57"/>
      <c r="B648" s="123"/>
      <c r="C648" s="73"/>
      <c r="D648" s="165"/>
      <c r="E648" s="165"/>
      <c r="F648" s="165"/>
      <c r="G648" s="202"/>
      <c r="H648" s="202"/>
      <c r="I648" s="157"/>
      <c r="N648" s="331"/>
      <c r="O648" s="331"/>
    </row>
    <row r="649" spans="1:15" s="71" customFormat="1" x14ac:dyDescent="0.2">
      <c r="A649" s="57"/>
      <c r="B649" s="123"/>
      <c r="C649" s="73"/>
      <c r="D649" s="165"/>
      <c r="E649" s="165"/>
      <c r="F649" s="165"/>
      <c r="G649" s="202"/>
      <c r="H649" s="202"/>
      <c r="I649" s="157"/>
      <c r="N649" s="331"/>
      <c r="O649" s="331"/>
    </row>
    <row r="650" spans="1:15" s="71" customFormat="1" x14ac:dyDescent="0.2">
      <c r="A650" s="57"/>
      <c r="B650" s="123"/>
      <c r="C650" s="73"/>
      <c r="D650" s="165"/>
      <c r="E650" s="165"/>
      <c r="F650" s="165"/>
      <c r="G650" s="202"/>
      <c r="H650" s="202"/>
      <c r="I650" s="157"/>
      <c r="N650" s="331"/>
      <c r="O650" s="331"/>
    </row>
    <row r="651" spans="1:15" s="71" customFormat="1" ht="13.5" thickBot="1" x14ac:dyDescent="0.25">
      <c r="A651" s="57"/>
      <c r="B651" s="123"/>
      <c r="C651" s="73"/>
      <c r="D651" s="165"/>
      <c r="E651" s="165"/>
      <c r="F651" s="165"/>
      <c r="G651" s="202"/>
      <c r="H651" s="202"/>
      <c r="I651" s="157"/>
      <c r="N651" s="331"/>
      <c r="O651" s="331"/>
    </row>
    <row r="652" spans="1:15" s="71" customFormat="1" ht="19.5" customHeight="1" x14ac:dyDescent="0.2">
      <c r="A652" s="419"/>
      <c r="B652" s="420"/>
      <c r="C652" s="423" t="str">
        <f>IF(L="EN","C/MPE Acceptance Report","C/MPE Abnahmeprotokoll")</f>
        <v>C/MPE Acceptance Report</v>
      </c>
      <c r="D652" s="423"/>
      <c r="E652" s="423"/>
      <c r="F652" s="424"/>
      <c r="G652" s="136" t="str">
        <f>IF(L="EN","Issue:","Ausgabe")</f>
        <v>Issue:</v>
      </c>
      <c r="H652" s="154" t="str">
        <f>IF(L="EN","Page","Blatt")</f>
        <v>Page</v>
      </c>
      <c r="I652" s="58"/>
      <c r="N652" s="331"/>
      <c r="O652" s="331"/>
    </row>
    <row r="653" spans="1:15" s="71" customFormat="1" ht="19.5" customHeight="1" thickBot="1" x14ac:dyDescent="0.25">
      <c r="A653" s="421"/>
      <c r="B653" s="422"/>
      <c r="C653" s="425"/>
      <c r="D653" s="425"/>
      <c r="E653" s="425"/>
      <c r="F653" s="426"/>
      <c r="G653" s="350" t="s">
        <v>433</v>
      </c>
      <c r="H653" s="156" t="s">
        <v>411</v>
      </c>
      <c r="I653" s="58"/>
      <c r="N653" s="331"/>
      <c r="O653" s="331"/>
    </row>
    <row r="654" spans="1:15" s="71" customFormat="1" ht="13.5" customHeight="1" thickBot="1" x14ac:dyDescent="0.25">
      <c r="A654" s="167" t="str">
        <f>IF(L="EN","section","Kapitel")</f>
        <v>section</v>
      </c>
      <c r="B654" s="427" t="str">
        <f>IF(L="EN","items to be checked","Prüfmerkmale")</f>
        <v>items to be checked</v>
      </c>
      <c r="C654" s="427"/>
      <c r="D654" s="168" t="s">
        <v>17</v>
      </c>
      <c r="E654" s="169" t="s">
        <v>18</v>
      </c>
      <c r="F654" s="170" t="s">
        <v>19</v>
      </c>
      <c r="G654" s="428" t="str">
        <f>IF(L="EN","remark","Bemerkung")</f>
        <v>remark</v>
      </c>
      <c r="H654" s="428"/>
      <c r="I654" s="58"/>
      <c r="N654" s="331"/>
      <c r="O654" s="331"/>
    </row>
    <row r="655" spans="1:15" s="71" customFormat="1" x14ac:dyDescent="0.2">
      <c r="A655" s="70"/>
      <c r="B655" s="70"/>
      <c r="C655" s="73"/>
      <c r="D655" s="165"/>
      <c r="E655" s="165"/>
      <c r="F655" s="165"/>
      <c r="G655" s="436"/>
      <c r="H655" s="436"/>
      <c r="I655" s="157"/>
      <c r="N655" s="331"/>
      <c r="O655" s="331"/>
    </row>
    <row r="656" spans="1:15" s="71" customFormat="1" x14ac:dyDescent="0.2">
      <c r="A656" s="57" t="s">
        <v>136</v>
      </c>
      <c r="B656" s="57" t="str">
        <f>IF(L="EN","Noise reduction","Geräuschdämpfung")</f>
        <v>Noise reduction</v>
      </c>
      <c r="C656" s="73"/>
      <c r="D656" s="165"/>
      <c r="E656" s="165"/>
      <c r="F656" s="165"/>
      <c r="G656" s="436"/>
      <c r="H656" s="436"/>
      <c r="I656" s="157"/>
      <c r="N656" s="331"/>
      <c r="O656" s="331"/>
    </row>
    <row r="657" spans="1:15" s="135" customFormat="1" ht="25.5" x14ac:dyDescent="0.2">
      <c r="A657" s="57"/>
      <c r="B657" s="123"/>
      <c r="C657" s="187" t="str">
        <f>IF(L="EN","All air exhausts incorporate a silencer (particularly the return in a collective exhaust air silencer)","alle Abluftöffnungen verfügen über einen Schalldämpfer (vorzugsweise Rückführung in einen Sammelabluftschalldämpfer)")</f>
        <v>All air exhausts incorporate a silencer (particularly the return in a collective exhaust air silencer)</v>
      </c>
      <c r="D657" s="165"/>
      <c r="E657" s="165"/>
      <c r="F657" s="165"/>
      <c r="G657" s="437"/>
      <c r="H657" s="437"/>
      <c r="I657" s="157"/>
      <c r="N657" s="332"/>
      <c r="O657" s="332"/>
    </row>
    <row r="658" spans="1:15" s="71" customFormat="1" x14ac:dyDescent="0.2">
      <c r="A658" s="57"/>
      <c r="B658" s="57"/>
      <c r="C658" s="73"/>
      <c r="D658" s="165"/>
      <c r="E658" s="165"/>
      <c r="F658" s="165"/>
      <c r="G658" s="436"/>
      <c r="H658" s="436"/>
      <c r="I658" s="157"/>
      <c r="N658" s="331"/>
      <c r="O658" s="331"/>
    </row>
    <row r="659" spans="1:15" x14ac:dyDescent="0.2">
      <c r="A659" s="57" t="s">
        <v>137</v>
      </c>
      <c r="B659" s="57" t="str">
        <f>IF(L="EN","Marking","Kennzeichnung")</f>
        <v>Marking</v>
      </c>
      <c r="C659" s="73"/>
      <c r="D659" s="165"/>
      <c r="E659" s="165"/>
      <c r="F659" s="165"/>
      <c r="G659" s="436"/>
      <c r="H659" s="436"/>
    </row>
    <row r="660" spans="1:15" s="135" customFormat="1" ht="38.25" x14ac:dyDescent="0.2">
      <c r="A660" s="57"/>
      <c r="B660" s="123"/>
      <c r="C660" s="73" t="str">
        <f>IF(L="EN","are all pneumatic components permanently marked per the pneumatic schematic (for changeable parts)","sämtliche pneumatische Bauteile sind dauerhaft gekennzeichnet (bei austauschbaren Teilen z.B. Ventilen neben dem Bauteil)")</f>
        <v>are all pneumatic components permanently marked per the pneumatic schematic (for changeable parts)</v>
      </c>
      <c r="D660" s="165"/>
      <c r="E660" s="165"/>
      <c r="F660" s="165"/>
      <c r="G660" s="437"/>
      <c r="H660" s="437"/>
      <c r="I660" s="157"/>
      <c r="N660" s="332"/>
      <c r="O660" s="332"/>
    </row>
    <row r="661" spans="1:15" s="71" customFormat="1" ht="38.25" x14ac:dyDescent="0.2">
      <c r="A661" s="57"/>
      <c r="B661" s="123"/>
      <c r="C661" s="73" t="str">
        <f>IF(L="EN","Are set pressures (control or working pressures) permanently marked on the pressure regulating valves with an oil-resistant label","der Einstelldruck ist an Druckregelventilen mit ölfestem Schild dauerhaft angebracht, besser zusätzlich visualisiert (grüner/roter Bereich)")</f>
        <v>Are set pressures (control or working pressures) permanently marked on the pressure regulating valves with an oil-resistant label</v>
      </c>
      <c r="D661" s="165"/>
      <c r="E661" s="165"/>
      <c r="F661" s="165"/>
      <c r="G661" s="437"/>
      <c r="H661" s="437"/>
      <c r="I661" s="157"/>
      <c r="N661" s="331"/>
      <c r="O661" s="331"/>
    </row>
    <row r="662" spans="1:15" s="71" customFormat="1" x14ac:dyDescent="0.2">
      <c r="A662" s="57"/>
      <c r="B662" s="57"/>
      <c r="C662" s="73"/>
      <c r="D662" s="165"/>
      <c r="E662" s="165"/>
      <c r="F662" s="165"/>
      <c r="G662" s="436"/>
      <c r="H662" s="436"/>
      <c r="I662" s="157"/>
      <c r="N662" s="331"/>
      <c r="O662" s="331"/>
    </row>
    <row r="663" spans="1:15" x14ac:dyDescent="0.2">
      <c r="A663" s="57" t="s">
        <v>138</v>
      </c>
      <c r="B663" s="57" t="str">
        <f>IF(L="EN","Security","Sicherheit")</f>
        <v>Security</v>
      </c>
      <c r="C663" s="73"/>
      <c r="D663" s="165"/>
      <c r="E663" s="165"/>
      <c r="F663" s="165"/>
      <c r="G663" s="436"/>
      <c r="H663" s="436"/>
    </row>
    <row r="664" spans="1:15" s="135" customFormat="1" x14ac:dyDescent="0.2">
      <c r="A664" s="57" t="s">
        <v>139</v>
      </c>
      <c r="B664" s="57" t="str">
        <f>IF(L="EN","Pressure changes","Druckänderungen")</f>
        <v>Pressure changes</v>
      </c>
      <c r="C664" s="73"/>
      <c r="D664" s="165"/>
      <c r="E664" s="165"/>
      <c r="F664" s="165"/>
      <c r="G664" s="436"/>
      <c r="H664" s="436"/>
      <c r="I664" s="157"/>
      <c r="N664" s="332"/>
      <c r="O664" s="332"/>
    </row>
    <row r="665" spans="1:15" s="71" customFormat="1" ht="38.25" x14ac:dyDescent="0.2">
      <c r="A665" s="57"/>
      <c r="B665" s="123"/>
      <c r="C665" s="187" t="str">
        <f>IF(L="EN","It is guaranteed that changes of pressure in the supply or system leaks will not lead to a dangerous operation?","es ist sichergestellt, dass Druckänderungen in der Zuleitung oder Undichtigkeiten in der Anlage nicht zu einem gefährlichen Schaltvorgang führen")</f>
        <v>It is guaranteed that changes of pressure in the supply or system leaks will not lead to a dangerous operation?</v>
      </c>
      <c r="D665" s="165"/>
      <c r="E665" s="165"/>
      <c r="F665" s="165"/>
      <c r="G665" s="437"/>
      <c r="H665" s="437"/>
      <c r="I665" s="157"/>
      <c r="N665" s="331"/>
      <c r="O665" s="331"/>
    </row>
    <row r="666" spans="1:15" s="71" customFormat="1" x14ac:dyDescent="0.2">
      <c r="A666" s="57"/>
      <c r="B666" s="57"/>
      <c r="C666" s="187"/>
      <c r="D666" s="165"/>
      <c r="E666" s="165"/>
      <c r="F666" s="165"/>
      <c r="G666" s="436"/>
      <c r="H666" s="436"/>
      <c r="I666" s="157"/>
      <c r="N666" s="331"/>
      <c r="O666" s="331"/>
    </row>
    <row r="667" spans="1:15" s="71" customFormat="1" x14ac:dyDescent="0.2">
      <c r="A667" s="57" t="s">
        <v>140</v>
      </c>
      <c r="B667" s="57" t="str">
        <f>IF(L="EN","Pressure tanks","Druckbehälter")</f>
        <v>Pressure tanks</v>
      </c>
      <c r="C667" s="73"/>
      <c r="D667" s="165"/>
      <c r="E667" s="165"/>
      <c r="F667" s="165"/>
      <c r="G667" s="436"/>
      <c r="H667" s="436"/>
      <c r="I667" s="161"/>
      <c r="N667" s="331"/>
      <c r="O667" s="331"/>
    </row>
    <row r="668" spans="1:15" s="57" customFormat="1" ht="25.5" x14ac:dyDescent="0.2">
      <c r="B668" s="123"/>
      <c r="C668" s="73" t="str">
        <f>IF(L="EN","There is a manufacturer`s safety certificate for the pressure tanks?","für eingesetzte Druckbehälter liegt eine Sicherheitsbescheinigung des Herstellers vor")</f>
        <v>There is a manufacturer`s safety certificate for the pressure tanks?</v>
      </c>
      <c r="D668" s="165"/>
      <c r="E668" s="165"/>
      <c r="F668" s="165"/>
      <c r="G668" s="437"/>
      <c r="H668" s="437"/>
      <c r="I668" s="205"/>
      <c r="N668" s="334"/>
      <c r="O668" s="334"/>
    </row>
    <row r="669" spans="1:15" s="70" customFormat="1" x14ac:dyDescent="0.2">
      <c r="A669" s="57"/>
      <c r="B669" s="123"/>
      <c r="C669" s="73"/>
      <c r="D669" s="165"/>
      <c r="E669" s="165"/>
      <c r="F669" s="165"/>
      <c r="G669" s="436"/>
      <c r="H669" s="436"/>
      <c r="I669" s="205"/>
      <c r="N669" s="335"/>
      <c r="O669" s="335"/>
    </row>
    <row r="670" spans="1:15" s="71" customFormat="1" x14ac:dyDescent="0.2">
      <c r="A670" s="57"/>
      <c r="B670" s="123"/>
      <c r="C670" s="73"/>
      <c r="D670" s="165"/>
      <c r="E670" s="165"/>
      <c r="F670" s="165"/>
      <c r="G670" s="436"/>
      <c r="H670" s="436"/>
      <c r="I670" s="205"/>
      <c r="N670" s="331"/>
      <c r="O670" s="331"/>
    </row>
    <row r="671" spans="1:15" s="71" customFormat="1" x14ac:dyDescent="0.2">
      <c r="A671" s="57"/>
      <c r="B671" s="57"/>
      <c r="C671" s="73"/>
      <c r="D671" s="165"/>
      <c r="E671" s="165"/>
      <c r="F671" s="165"/>
      <c r="G671" s="436"/>
      <c r="H671" s="436"/>
      <c r="I671" s="205"/>
      <c r="N671" s="331"/>
      <c r="O671" s="331"/>
    </row>
    <row r="672" spans="1:15" s="71" customFormat="1" ht="20.100000000000001" customHeight="1" x14ac:dyDescent="0.2">
      <c r="A672" s="177" t="s">
        <v>10</v>
      </c>
      <c r="B672" s="177" t="str">
        <f>IF(L="EN","Work system design /Planning Basics N62A 3.3","Gestaltung von Arbeitssystemen - Planungsgrundlagen N62A 3.3")</f>
        <v>Work system design /Planning Basics N62A 3.3</v>
      </c>
      <c r="C672" s="247"/>
      <c r="D672" s="248"/>
      <c r="E672" s="248"/>
      <c r="F672" s="262"/>
      <c r="G672" s="263"/>
      <c r="H672" s="263"/>
      <c r="I672" s="205"/>
      <c r="N672" s="331"/>
      <c r="O672" s="331"/>
    </row>
    <row r="673" spans="1:15" s="71" customFormat="1" x14ac:dyDescent="0.2">
      <c r="A673" s="205"/>
      <c r="B673" s="430" t="str">
        <f>IF(L="EN","Ergonomic basics, documents and forms","Ergonomische Grundlagen, Unterlagen, Vordrucke")</f>
        <v>Ergonomic basics, documents and forms</v>
      </c>
      <c r="C673" s="430"/>
      <c r="D673" s="430"/>
      <c r="E673" s="430"/>
      <c r="F673" s="264"/>
      <c r="G673" s="265" t="str">
        <f>IF(L="EN","Issue 03/2011","Ausgabe 03/2011")</f>
        <v>Issue 03/2011</v>
      </c>
      <c r="H673" s="266"/>
      <c r="I673" s="267"/>
      <c r="N673" s="331"/>
      <c r="O673" s="331"/>
    </row>
    <row r="674" spans="1:15" x14ac:dyDescent="0.2">
      <c r="A674" s="205"/>
      <c r="B674" s="430"/>
      <c r="C674" s="430"/>
      <c r="D674" s="430"/>
      <c r="E674" s="430"/>
      <c r="F674" s="264"/>
      <c r="G674" s="266"/>
      <c r="H674" s="266"/>
      <c r="I674" s="205"/>
    </row>
    <row r="675" spans="1:15" x14ac:dyDescent="0.2">
      <c r="A675" s="180" t="s">
        <v>141</v>
      </c>
      <c r="B675" s="180" t="str">
        <f>IF(L="EN","Requirements for the ergonomic design of work places","Anforderungsliste zur ergonomischen Arbeitsplatzgestaltung")</f>
        <v>Requirements for the ergonomic design of work places</v>
      </c>
      <c r="C675" s="187"/>
      <c r="D675" s="173"/>
      <c r="E675" s="173"/>
      <c r="F675" s="173"/>
      <c r="G675" s="379"/>
      <c r="H675" s="379"/>
      <c r="I675" s="205"/>
    </row>
    <row r="676" spans="1:15" x14ac:dyDescent="0.2">
      <c r="A676" s="205" t="s">
        <v>142</v>
      </c>
      <c r="B676" s="190"/>
      <c r="C676" s="229" t="str">
        <f>IF(L="EN","the requirements list was used","die Anforderungsliste wurde angewendet ")</f>
        <v>the requirements list was used</v>
      </c>
      <c r="D676" s="173"/>
      <c r="E676" s="173"/>
      <c r="F676" s="173"/>
      <c r="G676" s="476" t="str">
        <f>IF(L="EN","        see attachment","        siehe Anlage")</f>
        <v xml:space="preserve">        see attachment</v>
      </c>
      <c r="H676" s="476"/>
      <c r="I676" s="205"/>
    </row>
    <row r="677" spans="1:15" x14ac:dyDescent="0.2">
      <c r="A677" s="205"/>
      <c r="B677" s="190"/>
      <c r="C677" s="229"/>
      <c r="D677" s="173"/>
      <c r="E677" s="173"/>
      <c r="F677" s="173"/>
      <c r="G677" s="268"/>
      <c r="H677" s="268"/>
      <c r="I677" s="205"/>
    </row>
    <row r="678" spans="1:15" ht="14.25" customHeight="1" x14ac:dyDescent="0.2">
      <c r="A678" s="205"/>
      <c r="B678" s="269" t="str">
        <f>IF(L="EN","Comment:","Bemerkung")</f>
        <v>Comment:</v>
      </c>
      <c r="C678" s="229"/>
      <c r="D678" s="173"/>
      <c r="E678" s="173"/>
      <c r="F678" s="173"/>
      <c r="G678" s="270"/>
      <c r="H678" s="270"/>
      <c r="I678" s="205"/>
    </row>
    <row r="679" spans="1:15" x14ac:dyDescent="0.2">
      <c r="A679" s="205"/>
      <c r="B679" s="477"/>
      <c r="C679" s="478"/>
      <c r="D679" s="478"/>
      <c r="E679" s="478"/>
      <c r="F679" s="478"/>
      <c r="G679" s="478"/>
      <c r="H679" s="479"/>
      <c r="I679" s="205"/>
    </row>
    <row r="680" spans="1:15" s="71" customFormat="1" x14ac:dyDescent="0.2">
      <c r="A680" s="205"/>
      <c r="B680" s="480"/>
      <c r="C680" s="431"/>
      <c r="D680" s="431"/>
      <c r="E680" s="431"/>
      <c r="F680" s="431"/>
      <c r="G680" s="431"/>
      <c r="H680" s="481"/>
      <c r="I680" s="205"/>
      <c r="N680" s="331"/>
      <c r="O680" s="331"/>
    </row>
    <row r="681" spans="1:15" s="71" customFormat="1" x14ac:dyDescent="0.2">
      <c r="A681" s="205"/>
      <c r="B681" s="482"/>
      <c r="C681" s="483"/>
      <c r="D681" s="483"/>
      <c r="E681" s="483"/>
      <c r="F681" s="483"/>
      <c r="G681" s="483"/>
      <c r="H681" s="484"/>
      <c r="I681" s="205"/>
      <c r="N681" s="331"/>
      <c r="O681" s="331"/>
    </row>
    <row r="682" spans="1:15" s="71" customFormat="1" x14ac:dyDescent="0.2">
      <c r="A682" s="205"/>
      <c r="B682" s="271"/>
      <c r="C682" s="271"/>
      <c r="D682" s="271"/>
      <c r="E682" s="271"/>
      <c r="F682" s="271"/>
      <c r="G682" s="271"/>
      <c r="H682" s="271"/>
      <c r="I682" s="205"/>
      <c r="N682" s="331"/>
      <c r="O682" s="331"/>
    </row>
    <row r="683" spans="1:15" s="71" customFormat="1" x14ac:dyDescent="0.2">
      <c r="A683" s="205"/>
      <c r="B683" s="190"/>
      <c r="C683" s="229"/>
      <c r="D683" s="175"/>
      <c r="E683" s="175"/>
      <c r="F683" s="173"/>
      <c r="G683" s="429"/>
      <c r="H683" s="429"/>
      <c r="I683" s="205"/>
      <c r="N683" s="331"/>
      <c r="O683" s="331"/>
    </row>
    <row r="684" spans="1:15" s="71" customFormat="1" x14ac:dyDescent="0.2">
      <c r="A684" s="171" t="s">
        <v>143</v>
      </c>
      <c r="B684" s="171" t="str">
        <f>IF(L="EN","Workplace Ergonomics Checklist","Checkliste Ergonomie in Arbeitssystemen")</f>
        <v>Workplace Ergonomics Checklist</v>
      </c>
      <c r="C684" s="187"/>
      <c r="D684" s="173"/>
      <c r="E684" s="173"/>
      <c r="F684" s="173"/>
      <c r="G684" s="430"/>
      <c r="H684" s="430"/>
      <c r="I684" s="272"/>
      <c r="N684" s="331"/>
      <c r="O684" s="331"/>
    </row>
    <row r="685" spans="1:15" x14ac:dyDescent="0.2">
      <c r="A685" s="265" t="s">
        <v>144</v>
      </c>
      <c r="B685" s="190"/>
      <c r="C685" s="229" t="str">
        <f>IF(L="EN","MAE must be check with ErgoCheck","MAE ist ErgoCheck-pflichtig""")</f>
        <v>MAE must be check with ErgoCheck</v>
      </c>
      <c r="D685" s="173"/>
      <c r="E685" s="173"/>
      <c r="F685" s="173"/>
      <c r="G685" s="431" t="str">
        <f>IF(L="EN","        see attachment","        siehe Anlage")</f>
        <v xml:space="preserve">        see attachment</v>
      </c>
      <c r="H685" s="431"/>
      <c r="I685" s="161"/>
    </row>
    <row r="686" spans="1:15" s="71" customFormat="1" x14ac:dyDescent="0.2">
      <c r="A686" s="205"/>
      <c r="B686" s="180"/>
      <c r="C686" s="229" t="str">
        <f>IF(L="EN","the ErgoCheck certificate has been issued","die ErgoCheck Prüfplakette wurde erteilt")</f>
        <v>the ErgoCheck certificate has been issued</v>
      </c>
      <c r="D686" s="173"/>
      <c r="E686" s="173"/>
      <c r="F686" s="173"/>
      <c r="G686" s="433"/>
      <c r="H686" s="433"/>
      <c r="I686" s="157"/>
      <c r="N686" s="331"/>
      <c r="O686" s="331"/>
    </row>
    <row r="687" spans="1:15" s="71" customFormat="1" x14ac:dyDescent="0.2">
      <c r="A687" s="205"/>
      <c r="B687" s="180"/>
      <c r="C687" s="229"/>
      <c r="D687" s="173"/>
      <c r="E687" s="173"/>
      <c r="F687" s="173"/>
      <c r="G687" s="175"/>
      <c r="H687" s="175"/>
      <c r="I687" s="157"/>
      <c r="N687" s="331"/>
      <c r="O687" s="331"/>
    </row>
    <row r="688" spans="1:15" s="71" customFormat="1" x14ac:dyDescent="0.2">
      <c r="A688" s="205"/>
      <c r="B688" s="180"/>
      <c r="C688" s="229"/>
      <c r="D688" s="173"/>
      <c r="E688" s="173"/>
      <c r="F688" s="173"/>
      <c r="G688" s="175"/>
      <c r="H688" s="175"/>
      <c r="I688" s="157"/>
      <c r="N688" s="331"/>
      <c r="O688" s="331"/>
    </row>
    <row r="689" spans="1:15" s="71" customFormat="1" x14ac:dyDescent="0.2">
      <c r="A689" s="205"/>
      <c r="B689" s="180"/>
      <c r="C689" s="229"/>
      <c r="D689" s="173"/>
      <c r="E689" s="173"/>
      <c r="F689" s="173"/>
      <c r="G689" s="175"/>
      <c r="H689" s="175"/>
      <c r="I689" s="157"/>
      <c r="N689" s="331"/>
      <c r="O689" s="331"/>
    </row>
    <row r="690" spans="1:15" s="71" customFormat="1" x14ac:dyDescent="0.2">
      <c r="A690" s="205"/>
      <c r="B690" s="180"/>
      <c r="C690" s="229"/>
      <c r="D690" s="173"/>
      <c r="E690" s="173"/>
      <c r="F690" s="173"/>
      <c r="G690" s="175"/>
      <c r="H690" s="175"/>
      <c r="I690" s="157"/>
      <c r="N690" s="331"/>
      <c r="O690" s="331"/>
    </row>
    <row r="691" spans="1:15" s="71" customFormat="1" x14ac:dyDescent="0.2">
      <c r="A691" s="205"/>
      <c r="B691" s="180"/>
      <c r="C691" s="229"/>
      <c r="D691" s="173"/>
      <c r="E691" s="173"/>
      <c r="F691" s="173"/>
      <c r="G691" s="175"/>
      <c r="H691" s="175"/>
      <c r="I691" s="157"/>
      <c r="N691" s="331"/>
      <c r="O691" s="331"/>
    </row>
    <row r="692" spans="1:15" s="71" customFormat="1" x14ac:dyDescent="0.2">
      <c r="A692" s="205"/>
      <c r="B692" s="180"/>
      <c r="C692" s="229"/>
      <c r="D692" s="173"/>
      <c r="E692" s="173"/>
      <c r="F692" s="173"/>
      <c r="G692" s="175"/>
      <c r="H692" s="175"/>
      <c r="I692" s="157"/>
      <c r="N692" s="331"/>
      <c r="O692" s="331"/>
    </row>
    <row r="693" spans="1:15" s="71" customFormat="1" x14ac:dyDescent="0.2">
      <c r="A693" s="205"/>
      <c r="B693" s="180"/>
      <c r="C693" s="229"/>
      <c r="D693" s="173"/>
      <c r="E693" s="173"/>
      <c r="F693" s="173"/>
      <c r="G693" s="175"/>
      <c r="H693" s="175"/>
      <c r="I693" s="157"/>
      <c r="N693" s="331"/>
      <c r="O693" s="331"/>
    </row>
    <row r="694" spans="1:15" s="71" customFormat="1" x14ac:dyDescent="0.2">
      <c r="A694" s="205"/>
      <c r="B694" s="180"/>
      <c r="C694" s="229"/>
      <c r="D694" s="173"/>
      <c r="E694" s="173"/>
      <c r="F694" s="173"/>
      <c r="G694" s="175"/>
      <c r="H694" s="175"/>
      <c r="I694" s="157"/>
      <c r="N694" s="331"/>
      <c r="O694" s="331"/>
    </row>
    <row r="695" spans="1:15" s="71" customFormat="1" x14ac:dyDescent="0.2">
      <c r="A695" s="205"/>
      <c r="B695" s="180"/>
      <c r="C695" s="229"/>
      <c r="D695" s="173"/>
      <c r="E695" s="173"/>
      <c r="F695" s="173"/>
      <c r="G695" s="175"/>
      <c r="H695" s="175"/>
      <c r="I695" s="157"/>
      <c r="N695" s="331"/>
      <c r="O695" s="331"/>
    </row>
    <row r="696" spans="1:15" s="71" customFormat="1" x14ac:dyDescent="0.2">
      <c r="A696" s="205"/>
      <c r="B696" s="180"/>
      <c r="C696" s="229"/>
      <c r="D696" s="173"/>
      <c r="E696" s="173"/>
      <c r="F696" s="173"/>
      <c r="G696" s="175"/>
      <c r="H696" s="175"/>
      <c r="I696" s="157"/>
      <c r="N696" s="331"/>
      <c r="O696" s="331"/>
    </row>
    <row r="697" spans="1:15" s="71" customFormat="1" x14ac:dyDescent="0.2">
      <c r="A697" s="205"/>
      <c r="B697" s="180"/>
      <c r="C697" s="229"/>
      <c r="D697" s="173"/>
      <c r="E697" s="173"/>
      <c r="F697" s="173"/>
      <c r="G697" s="175"/>
      <c r="H697" s="175"/>
      <c r="I697" s="157"/>
      <c r="N697" s="331"/>
      <c r="O697" s="331"/>
    </row>
    <row r="698" spans="1:15" s="71" customFormat="1" x14ac:dyDescent="0.2">
      <c r="A698" s="205"/>
      <c r="B698" s="180"/>
      <c r="C698" s="229"/>
      <c r="D698" s="173"/>
      <c r="E698" s="173"/>
      <c r="F698" s="173"/>
      <c r="G698" s="175"/>
      <c r="H698" s="175"/>
      <c r="I698" s="157"/>
      <c r="N698" s="331"/>
      <c r="O698" s="331"/>
    </row>
    <row r="699" spans="1:15" s="71" customFormat="1" x14ac:dyDescent="0.2">
      <c r="A699" s="205"/>
      <c r="B699" s="180"/>
      <c r="C699" s="229"/>
      <c r="D699" s="173"/>
      <c r="E699" s="173"/>
      <c r="F699" s="173"/>
      <c r="G699" s="175"/>
      <c r="H699" s="175"/>
      <c r="I699" s="157"/>
      <c r="N699" s="331"/>
      <c r="O699" s="331"/>
    </row>
    <row r="700" spans="1:15" s="71" customFormat="1" x14ac:dyDescent="0.2">
      <c r="A700" s="205"/>
      <c r="B700" s="180"/>
      <c r="C700" s="229"/>
      <c r="D700" s="173"/>
      <c r="E700" s="173"/>
      <c r="F700" s="173"/>
      <c r="G700" s="175"/>
      <c r="H700" s="175"/>
      <c r="I700" s="157"/>
      <c r="N700" s="331"/>
      <c r="O700" s="331"/>
    </row>
    <row r="701" spans="1:15" ht="13.5" thickBot="1" x14ac:dyDescent="0.25">
      <c r="A701" s="205"/>
      <c r="B701" s="205"/>
      <c r="C701" s="229"/>
      <c r="D701" s="175"/>
      <c r="E701" s="175"/>
      <c r="F701" s="175"/>
      <c r="G701" s="265"/>
      <c r="H701" s="265"/>
    </row>
    <row r="702" spans="1:15" s="71" customFormat="1" ht="19.5" customHeight="1" x14ac:dyDescent="0.2">
      <c r="A702" s="419"/>
      <c r="B702" s="420"/>
      <c r="C702" s="423" t="str">
        <f>IF(L="EN","C/MPE Acceptance Report","C/MPE Abnahmeprotokoll")</f>
        <v>C/MPE Acceptance Report</v>
      </c>
      <c r="D702" s="423"/>
      <c r="E702" s="423"/>
      <c r="F702" s="424"/>
      <c r="G702" s="136" t="str">
        <f>IF(L="EN","Issue:","Ausgabe")</f>
        <v>Issue:</v>
      </c>
      <c r="H702" s="154" t="str">
        <f>IF(L="EN","Page","Blatt")</f>
        <v>Page</v>
      </c>
      <c r="I702" s="58"/>
      <c r="N702" s="331"/>
      <c r="O702" s="331"/>
    </row>
    <row r="703" spans="1:15" s="71" customFormat="1" ht="19.5" customHeight="1" thickBot="1" x14ac:dyDescent="0.25">
      <c r="A703" s="421"/>
      <c r="B703" s="422"/>
      <c r="C703" s="425"/>
      <c r="D703" s="425"/>
      <c r="E703" s="425"/>
      <c r="F703" s="426"/>
      <c r="G703" s="350" t="s">
        <v>433</v>
      </c>
      <c r="H703" s="156" t="s">
        <v>412</v>
      </c>
      <c r="I703" s="58"/>
      <c r="N703" s="331"/>
      <c r="O703" s="331"/>
    </row>
    <row r="704" spans="1:15" s="71" customFormat="1" ht="13.5" customHeight="1" thickBot="1" x14ac:dyDescent="0.25">
      <c r="A704" s="167" t="str">
        <f>IF(L="EN","section","Kapitel")</f>
        <v>section</v>
      </c>
      <c r="B704" s="427" t="str">
        <f>IF(L="EN","items to be checked","Prüfmerkmale")</f>
        <v>items to be checked</v>
      </c>
      <c r="C704" s="427"/>
      <c r="D704" s="168" t="s">
        <v>17</v>
      </c>
      <c r="E704" s="169" t="s">
        <v>18</v>
      </c>
      <c r="F704" s="170" t="s">
        <v>19</v>
      </c>
      <c r="G704" s="428" t="str">
        <f>IF(L="EN","remark","Bemerkung")</f>
        <v>remark</v>
      </c>
      <c r="H704" s="428"/>
      <c r="I704" s="58"/>
      <c r="N704" s="331"/>
      <c r="O704" s="331"/>
    </row>
    <row r="705" spans="1:15" x14ac:dyDescent="0.2">
      <c r="A705" s="70"/>
      <c r="B705" s="70"/>
      <c r="C705" s="73"/>
      <c r="D705" s="165"/>
      <c r="E705" s="165"/>
      <c r="F705" s="165"/>
      <c r="G705" s="436"/>
      <c r="H705" s="436"/>
    </row>
    <row r="706" spans="1:15" x14ac:dyDescent="0.2">
      <c r="A706" s="177" t="s">
        <v>11</v>
      </c>
      <c r="B706" s="177" t="str">
        <f>IF(L="EN","Proof of technical availability","Nachweis der Technischen Verfügbarkeit")</f>
        <v>Proof of technical availability</v>
      </c>
      <c r="C706" s="178"/>
      <c r="D706" s="162"/>
      <c r="E706" s="162"/>
      <c r="F706" s="162"/>
      <c r="G706" s="179"/>
      <c r="H706" s="179"/>
      <c r="I706" s="161"/>
    </row>
    <row r="707" spans="1:15" x14ac:dyDescent="0.2">
      <c r="A707" s="57"/>
      <c r="B707" s="57" t="str">
        <f>IF(L="EN","Methods based on VDI-guideline 3423 (08/2011)","Ermittlung in Anlehnung an die VDI-Richtlinie 3423 (08/2011)")</f>
        <v>Methods based on VDI-guideline 3423 (08/2011)</v>
      </c>
      <c r="C707" s="73"/>
      <c r="D707" s="273" t="s">
        <v>145</v>
      </c>
      <c r="E707" s="122"/>
      <c r="F707" s="122"/>
      <c r="G707" s="434"/>
      <c r="H707" s="434"/>
      <c r="I707" s="191"/>
    </row>
    <row r="708" spans="1:15" s="71" customFormat="1" x14ac:dyDescent="0.2">
      <c r="A708" s="57"/>
      <c r="B708" s="57" t="str">
        <f>IF(L="EN","and Bosch-Norm N62C 7.1 (12/2008)","und Bosch-Norm N62C 7.1 (12/2008)")</f>
        <v>and Bosch-Norm N62C 7.1 (12/2008)</v>
      </c>
      <c r="C708" s="73"/>
      <c r="D708" s="273" t="s">
        <v>146</v>
      </c>
      <c r="E708" s="122"/>
      <c r="F708" s="122"/>
      <c r="G708" s="434"/>
      <c r="H708" s="434"/>
      <c r="I708" s="198"/>
      <c r="N708" s="331"/>
      <c r="O708" s="331"/>
    </row>
    <row r="709" spans="1:15" s="274" customFormat="1" ht="13.5" thickBot="1" x14ac:dyDescent="0.25">
      <c r="A709" s="57"/>
      <c r="B709" s="57"/>
      <c r="C709" s="73"/>
      <c r="D709" s="122"/>
      <c r="E709" s="122"/>
      <c r="F709" s="122"/>
      <c r="G709" s="123"/>
      <c r="H709" s="123"/>
      <c r="I709" s="258"/>
      <c r="N709" s="333"/>
      <c r="O709" s="333"/>
    </row>
    <row r="710" spans="1:15" ht="12.75" customHeight="1" thickBot="1" x14ac:dyDescent="0.25">
      <c r="A710" s="70"/>
      <c r="B710" s="70"/>
      <c r="C710" s="73" t="str">
        <f>IF(L="EN","Start of availability test","Beginn Abnahmelauf")</f>
        <v>Start of availability test</v>
      </c>
      <c r="D710" s="74"/>
      <c r="E710" s="165"/>
      <c r="F710" s="165"/>
      <c r="G710" s="275"/>
      <c r="H710" s="70"/>
      <c r="I710" s="161"/>
    </row>
    <row r="711" spans="1:15" ht="13.5" thickBot="1" x14ac:dyDescent="0.25">
      <c r="A711" s="70"/>
      <c r="B711" s="70"/>
      <c r="C711" s="73" t="str">
        <f>IF(L="EN","End of availability test","Ende Abnahmelauf")</f>
        <v>End of availability test</v>
      </c>
      <c r="D711" s="74"/>
      <c r="E711" s="165"/>
      <c r="F711" s="165"/>
      <c r="G711" s="275"/>
      <c r="H711" s="70"/>
    </row>
    <row r="712" spans="1:15" ht="13.5" thickBot="1" x14ac:dyDescent="0.25">
      <c r="A712" s="70"/>
      <c r="B712" s="70"/>
      <c r="C712" s="73" t="str">
        <f>IF(L="EN","Total run time","Betrachtungszeitraum")</f>
        <v>Total run time</v>
      </c>
      <c r="D712" s="74"/>
      <c r="E712" s="165"/>
      <c r="F712" s="165"/>
      <c r="G712" s="276">
        <f>(G711-G710)*24*60</f>
        <v>0</v>
      </c>
      <c r="H712" s="70" t="s">
        <v>147</v>
      </c>
      <c r="I712" s="235"/>
    </row>
    <row r="713" spans="1:15" ht="39" thickBot="1" x14ac:dyDescent="0.25">
      <c r="A713" s="123"/>
      <c r="B713" s="123"/>
      <c r="C713" s="194" t="str">
        <f>IF(L="EN","Planned down time
(Pause, pl. maintenance, the other pl. control times)","Geplante Pausenzeiten
(Pausen, gepl. Wartung, sonst. geplante Regelzeiten)")</f>
        <v>Planned down time
(Pause, pl. maintenance, the other pl. control times)</v>
      </c>
      <c r="D713" s="277"/>
      <c r="E713" s="234"/>
      <c r="F713" s="234"/>
      <c r="G713" s="278"/>
      <c r="H713" s="123" t="s">
        <v>147</v>
      </c>
      <c r="I713" s="161"/>
    </row>
    <row r="714" spans="1:15" ht="12.75" customHeight="1" x14ac:dyDescent="0.2">
      <c r="A714" s="70"/>
      <c r="B714" s="70"/>
      <c r="C714" s="279" t="str">
        <f>IF(L="EN","Available time","Belegungzeit / Planbelegungszeit")</f>
        <v>Available time</v>
      </c>
      <c r="D714" s="280" t="s">
        <v>148</v>
      </c>
      <c r="E714" s="281"/>
      <c r="F714" s="281" t="s">
        <v>149</v>
      </c>
      <c r="G714" s="282">
        <f>G712-G713</f>
        <v>0</v>
      </c>
      <c r="H714" s="283" t="s">
        <v>147</v>
      </c>
      <c r="I714" s="161"/>
    </row>
    <row r="715" spans="1:15" ht="12.75" customHeight="1" thickBot="1" x14ac:dyDescent="0.25">
      <c r="A715" s="57"/>
      <c r="B715" s="57"/>
      <c r="C715" s="73"/>
      <c r="D715" s="273"/>
      <c r="E715" s="122"/>
      <c r="F715" s="122"/>
      <c r="G715" s="123"/>
      <c r="H715" s="123"/>
    </row>
    <row r="716" spans="1:15" ht="51.75" customHeight="1" thickBot="1" x14ac:dyDescent="0.25">
      <c r="A716" s="123"/>
      <c r="B716" s="123"/>
      <c r="C716" s="194" t="str">
        <f>IF(L="EN","Organizational Downtime
(Downtime that is not related to the machine design or function, e.g. power failure, lack of material, operating error, other downtime due to organizational failures)","Organisatorische Ausfallzeiten
(Ausfälle die nicht durch Konzeption oder Ausführung der Maschine/Anlage bedingt sind, z.B. Stromausfall, fehlende Werkstücke, Fehlbedienung, ungepl. Wartung, sonst. organisat. Mängel)")</f>
        <v>Organizational Downtime
(Downtime that is not related to the machine design or function, e.g. power failure, lack of material, operating error, other downtime due to organizational failures)</v>
      </c>
      <c r="D716" s="277" t="s">
        <v>150</v>
      </c>
      <c r="E716" s="165"/>
      <c r="F716" s="234" t="s">
        <v>149</v>
      </c>
      <c r="G716" s="278"/>
      <c r="H716" s="123" t="s">
        <v>147</v>
      </c>
      <c r="I716" s="235"/>
    </row>
    <row r="717" spans="1:15" ht="12.75" customHeight="1" thickBot="1" x14ac:dyDescent="0.25">
      <c r="A717" s="70"/>
      <c r="B717" s="70"/>
      <c r="C717" s="73" t="str">
        <f>IF(L="EN","Changeover Time","Rüstverlustzeiten")</f>
        <v>Changeover Time</v>
      </c>
      <c r="D717" s="74" t="s">
        <v>151</v>
      </c>
      <c r="E717" s="165"/>
      <c r="F717" s="165" t="s">
        <v>149</v>
      </c>
      <c r="G717" s="275">
        <v>0</v>
      </c>
      <c r="H717" s="70" t="s">
        <v>147</v>
      </c>
      <c r="I717" s="161"/>
    </row>
    <row r="718" spans="1:15" ht="12.75" customHeight="1" x14ac:dyDescent="0.2">
      <c r="A718" s="70"/>
      <c r="B718" s="70"/>
      <c r="C718" s="279" t="str">
        <f>IF(L="EN","Operating Time(TE = TB - TO - TR)","Einsatzzeit (TE = TB - TO - TR)")</f>
        <v>Operating Time(TE = TB - TO - TR)</v>
      </c>
      <c r="D718" s="284" t="s">
        <v>152</v>
      </c>
      <c r="E718" s="281"/>
      <c r="F718" s="281" t="s">
        <v>149</v>
      </c>
      <c r="G718" s="282">
        <f>G714-G716-G717</f>
        <v>0</v>
      </c>
      <c r="H718" s="283" t="s">
        <v>147</v>
      </c>
      <c r="I718" s="161"/>
    </row>
    <row r="719" spans="1:15" ht="13.5" thickBot="1" x14ac:dyDescent="0.25">
      <c r="A719" s="57"/>
      <c r="B719" s="57"/>
      <c r="C719" s="73"/>
      <c r="D719" s="273"/>
      <c r="E719" s="122"/>
      <c r="F719" s="122"/>
      <c r="G719" s="123"/>
      <c r="H719" s="123"/>
      <c r="I719" s="161"/>
    </row>
    <row r="720" spans="1:15" ht="12.75" customHeight="1" thickBot="1" x14ac:dyDescent="0.25">
      <c r="A720" s="123"/>
      <c r="B720" s="123"/>
      <c r="C720" s="194" t="str">
        <f>IF(L="EN","Downtime 
(Downtime caused by machine design or function)","Zeitdauer anlagenbedingter Störungen
(Ausfälle bedingt durch Konzeption oder Ausführung der Maschine/Anlage)")</f>
        <v>Downtime 
(Downtime caused by machine design or function)</v>
      </c>
      <c r="D720" s="231" t="s">
        <v>153</v>
      </c>
      <c r="E720" s="165"/>
      <c r="F720" s="234" t="s">
        <v>149</v>
      </c>
      <c r="G720" s="278"/>
      <c r="H720" s="123" t="s">
        <v>147</v>
      </c>
    </row>
    <row r="721" spans="1:9" ht="13.5" thickBot="1" x14ac:dyDescent="0.25">
      <c r="A721" s="70"/>
      <c r="B721" s="70"/>
      <c r="C721" s="73" t="str">
        <f>IF(L="EN","Quantity of good parts produced","Anzahl gefertigter Gutteile")</f>
        <v>Quantity of good parts produced</v>
      </c>
      <c r="D721" s="74" t="s">
        <v>154</v>
      </c>
      <c r="E721" s="165"/>
      <c r="F721" s="165" t="s">
        <v>149</v>
      </c>
      <c r="G721" s="275"/>
      <c r="H721" s="70" t="s">
        <v>155</v>
      </c>
      <c r="I721" s="161"/>
    </row>
    <row r="722" spans="1:9" ht="16.5" thickBot="1" x14ac:dyDescent="0.25">
      <c r="A722" s="70"/>
      <c r="B722" s="70"/>
      <c r="C722" s="73" t="str">
        <f>IF(L="EN","Planned cycle time (per Specification)","Geplante Zykluszeit (lt. Pflichtenheft)")</f>
        <v>Planned cycle time (per Specification)</v>
      </c>
      <c r="D722" s="74" t="s">
        <v>156</v>
      </c>
      <c r="E722" s="165"/>
      <c r="F722" s="165" t="s">
        <v>149</v>
      </c>
      <c r="G722" s="275"/>
      <c r="H722" s="70" t="s">
        <v>157</v>
      </c>
      <c r="I722" s="161"/>
    </row>
    <row r="723" spans="1:9" ht="16.5" thickBot="1" x14ac:dyDescent="0.25">
      <c r="A723" s="70"/>
      <c r="B723" s="70"/>
      <c r="C723" s="73" t="str">
        <f>IF(L="EN","Measured cycle time","Gemessene Zykluszeit")</f>
        <v>Measured cycle time</v>
      </c>
      <c r="D723" s="74" t="s">
        <v>158</v>
      </c>
      <c r="E723" s="165"/>
      <c r="F723" s="165" t="s">
        <v>149</v>
      </c>
      <c r="G723" s="275"/>
      <c r="H723" s="70" t="s">
        <v>157</v>
      </c>
      <c r="I723" s="161"/>
    </row>
    <row r="724" spans="1:9" ht="12.75" customHeight="1" x14ac:dyDescent="0.2">
      <c r="A724" s="57"/>
      <c r="B724" s="57"/>
      <c r="C724" s="73"/>
      <c r="D724" s="273"/>
      <c r="E724" s="122"/>
      <c r="F724" s="122"/>
      <c r="G724" s="123"/>
      <c r="H724" s="123"/>
      <c r="I724" s="161"/>
    </row>
    <row r="725" spans="1:9" ht="16.5" thickBot="1" x14ac:dyDescent="0.25">
      <c r="A725" s="70"/>
      <c r="B725" s="285" t="s">
        <v>159</v>
      </c>
      <c r="C725" s="279" t="str">
        <f>IF(L="EN","Technical Availability (per Specification)","Technische Verfügbarkeit (lt. Pflichtenheft)")</f>
        <v>Technical Availability (per Specification)</v>
      </c>
      <c r="D725" s="435" t="s">
        <v>160</v>
      </c>
      <c r="E725" s="435"/>
      <c r="F725" s="281" t="s">
        <v>149</v>
      </c>
      <c r="G725" s="286">
        <f>IF(G739&gt;0,G737/(G737+G739)*100,0)</f>
        <v>0</v>
      </c>
      <c r="H725" s="283" t="s">
        <v>161</v>
      </c>
      <c r="I725" s="161"/>
    </row>
    <row r="726" spans="1:9" ht="12.75" customHeight="1" thickBot="1" x14ac:dyDescent="0.25">
      <c r="A726" s="70"/>
      <c r="B726" s="70"/>
      <c r="C726" s="279" t="str">
        <f>IF(L="EN","Technical Availability by Pre-Acceptance Run","Technische Verfügbarkeit bei Vorabnahmelauf")</f>
        <v>Technical Availability by Pre-Acceptance Run</v>
      </c>
      <c r="D726" s="435" t="s">
        <v>162</v>
      </c>
      <c r="E726" s="435"/>
      <c r="F726" s="281" t="s">
        <v>149</v>
      </c>
      <c r="G726" s="287"/>
      <c r="H726" s="283" t="s">
        <v>161</v>
      </c>
    </row>
    <row r="727" spans="1:9" ht="15.75" x14ac:dyDescent="0.2">
      <c r="A727" s="70"/>
      <c r="B727" s="70"/>
      <c r="C727" s="279" t="str">
        <f>IF(L="EN","Technical Availability","Technische Verfügbarkeit")</f>
        <v>Technical Availability</v>
      </c>
      <c r="D727" s="435" t="s">
        <v>163</v>
      </c>
      <c r="E727" s="435"/>
      <c r="F727" s="281" t="s">
        <v>149</v>
      </c>
      <c r="G727" s="288">
        <f>IF(G714&gt;0,(G718-G720)/G718*100,0)</f>
        <v>0</v>
      </c>
      <c r="H727" s="283" t="s">
        <v>161</v>
      </c>
    </row>
    <row r="728" spans="1:9" ht="15.75" x14ac:dyDescent="0.2">
      <c r="A728" s="70"/>
      <c r="B728" s="70"/>
      <c r="C728" s="73"/>
      <c r="D728" s="74"/>
      <c r="E728" s="289"/>
      <c r="F728" s="165"/>
      <c r="G728" s="290"/>
      <c r="H728" s="79"/>
    </row>
    <row r="729" spans="1:9" ht="15.75" x14ac:dyDescent="0.2">
      <c r="A729" s="70"/>
      <c r="B729" s="70"/>
      <c r="C729" s="87" t="str">
        <f>IF(L="EN","Formula:","Formeln:")</f>
        <v>Formula:</v>
      </c>
      <c r="D729" s="74"/>
      <c r="E729" s="289"/>
      <c r="F729" s="165"/>
      <c r="G729" s="290"/>
      <c r="H729" s="79"/>
    </row>
    <row r="730" spans="1:9" x14ac:dyDescent="0.2">
      <c r="A730" s="57"/>
      <c r="B730" s="57"/>
      <c r="C730" s="291"/>
      <c r="D730" s="292"/>
      <c r="E730" s="292"/>
      <c r="F730" s="292"/>
      <c r="G730" s="293"/>
      <c r="H730" s="294"/>
    </row>
    <row r="731" spans="1:9" ht="12.75" customHeight="1" x14ac:dyDescent="0.2">
      <c r="A731" s="57"/>
      <c r="B731" s="57"/>
      <c r="C731" s="295"/>
      <c r="D731" s="122"/>
      <c r="E731" s="122"/>
      <c r="F731" s="122"/>
      <c r="G731" s="123"/>
      <c r="H731" s="296"/>
      <c r="I731" s="161"/>
    </row>
    <row r="732" spans="1:9" x14ac:dyDescent="0.2">
      <c r="A732" s="57"/>
      <c r="B732" s="57"/>
      <c r="C732" s="297"/>
      <c r="D732" s="298"/>
      <c r="E732" s="298"/>
      <c r="F732" s="298"/>
      <c r="G732" s="299"/>
      <c r="H732" s="300"/>
      <c r="I732" s="161"/>
    </row>
    <row r="733" spans="1:9" ht="12.75" customHeight="1" x14ac:dyDescent="0.2">
      <c r="A733" s="57"/>
      <c r="B733" s="57"/>
      <c r="C733" s="73"/>
      <c r="D733" s="122"/>
      <c r="E733" s="122"/>
      <c r="F733" s="122"/>
      <c r="G733" s="123"/>
      <c r="H733" s="123"/>
      <c r="I733" s="161"/>
    </row>
    <row r="734" spans="1:9" ht="12.75" customHeight="1" x14ac:dyDescent="0.2">
      <c r="A734" s="57"/>
      <c r="B734" s="57"/>
      <c r="C734" s="73"/>
      <c r="D734" s="122"/>
      <c r="E734" s="122"/>
      <c r="F734" s="122"/>
      <c r="G734" s="123"/>
      <c r="H734" s="123"/>
      <c r="I734" s="161"/>
    </row>
    <row r="735" spans="1:9" ht="12.75" customHeight="1" x14ac:dyDescent="0.2">
      <c r="A735" s="57"/>
      <c r="B735" s="301" t="s">
        <v>159</v>
      </c>
      <c r="C735" s="57" t="str">
        <f>IF(L="EN","If MTBF and MTTR are defined in the specification, calculate TVER(Plan) with the following ","Wurde im Pflichtenheft MTBF und MTTR vereinbart, errechnet sich TVER(Plan) wie folgt:")</f>
        <v xml:space="preserve">If MTBF and MTTR are defined in the specification, calculate TVER(Plan) with the following </v>
      </c>
      <c r="D735" s="122"/>
      <c r="E735" s="122"/>
      <c r="F735" s="122"/>
      <c r="G735" s="123"/>
      <c r="H735" s="123"/>
    </row>
    <row r="736" spans="1:9" ht="27" customHeight="1" x14ac:dyDescent="0.2">
      <c r="A736" s="57"/>
      <c r="B736" s="57"/>
      <c r="C736" s="73" t="s">
        <v>164</v>
      </c>
      <c r="D736" s="122"/>
      <c r="E736" s="122"/>
      <c r="F736" s="122"/>
      <c r="G736" s="123"/>
      <c r="H736" s="123"/>
      <c r="I736" s="161"/>
    </row>
    <row r="737" spans="1:15" ht="12.75" customHeight="1" x14ac:dyDescent="0.2">
      <c r="A737" s="70"/>
      <c r="B737" s="70"/>
      <c r="C737" s="302"/>
      <c r="D737" s="85" t="s">
        <v>165</v>
      </c>
      <c r="E737" s="303"/>
      <c r="F737" s="303" t="s">
        <v>149</v>
      </c>
      <c r="G737" s="304"/>
      <c r="H737" s="305" t="s">
        <v>147</v>
      </c>
      <c r="J737" s="57"/>
    </row>
    <row r="738" spans="1:15" ht="24.75" customHeight="1" x14ac:dyDescent="0.2">
      <c r="A738" s="70"/>
      <c r="B738" s="70"/>
      <c r="C738" s="306"/>
      <c r="D738" s="74"/>
      <c r="E738" s="165"/>
      <c r="F738" s="165"/>
      <c r="G738" s="161"/>
      <c r="H738" s="307"/>
      <c r="J738" s="57"/>
    </row>
    <row r="739" spans="1:15" x14ac:dyDescent="0.2">
      <c r="A739" s="70"/>
      <c r="B739" s="70"/>
      <c r="C739" s="308"/>
      <c r="D739" s="96" t="s">
        <v>166</v>
      </c>
      <c r="E739" s="144"/>
      <c r="F739" s="144" t="s">
        <v>149</v>
      </c>
      <c r="G739" s="309"/>
      <c r="H739" s="310" t="s">
        <v>147</v>
      </c>
      <c r="J739" s="57"/>
    </row>
    <row r="740" spans="1:15" x14ac:dyDescent="0.2">
      <c r="A740" s="57"/>
      <c r="B740" s="57"/>
      <c r="C740" s="73"/>
      <c r="D740" s="122"/>
      <c r="E740" s="122"/>
      <c r="F740" s="122"/>
      <c r="G740" s="123"/>
      <c r="H740" s="123"/>
      <c r="J740" s="57"/>
    </row>
    <row r="741" spans="1:15" ht="12.75" customHeight="1" x14ac:dyDescent="0.2">
      <c r="A741" s="177" t="s">
        <v>12</v>
      </c>
      <c r="B741" s="177" t="str">
        <f>IF(L="EN","Pre- and Final Acceptance Report","Vor- / Endabnahmebericht")</f>
        <v>Pre- and Final Acceptance Report</v>
      </c>
      <c r="C741" s="178"/>
      <c r="D741" s="162"/>
      <c r="E741" s="162"/>
      <c r="F741" s="162"/>
      <c r="G741" s="179"/>
      <c r="H741" s="179"/>
      <c r="I741" s="161"/>
      <c r="J741" s="57"/>
    </row>
    <row r="742" spans="1:15" x14ac:dyDescent="0.2">
      <c r="A742" s="57"/>
      <c r="B742" s="57" t="str">
        <f>IF(L="EN","(see attached OPL)","(siehe anliegende OPL)")</f>
        <v>(see attached OPL)</v>
      </c>
      <c r="C742" s="73"/>
      <c r="D742" s="122"/>
      <c r="E742" s="122"/>
      <c r="F742" s="122"/>
      <c r="G742" s="123"/>
      <c r="H742" s="123"/>
      <c r="I742" s="161"/>
      <c r="J742" s="57"/>
    </row>
    <row r="743" spans="1:15" x14ac:dyDescent="0.2">
      <c r="A743" s="177" t="s">
        <v>13</v>
      </c>
      <c r="B743" s="177" t="str">
        <f>IF(L="EN","Information about packaging and dangerous goods","Hinweise zu Verpackung und Gefahrgut")</f>
        <v>Information about packaging and dangerous goods</v>
      </c>
      <c r="C743" s="178"/>
      <c r="D743" s="162"/>
      <c r="E743" s="162"/>
      <c r="F743" s="162"/>
      <c r="G743" s="179"/>
      <c r="H743" s="179"/>
      <c r="J743" s="57"/>
    </row>
    <row r="744" spans="1:15" s="71" customFormat="1" x14ac:dyDescent="0.2">
      <c r="A744" s="283"/>
      <c r="B744" s="283"/>
      <c r="C744" s="90"/>
      <c r="D744" s="115"/>
      <c r="E744" s="115"/>
      <c r="F744" s="115"/>
      <c r="G744" s="235"/>
      <c r="H744" s="235"/>
      <c r="I744" s="157"/>
      <c r="J744" s="70"/>
      <c r="N744" s="331"/>
      <c r="O744" s="331"/>
    </row>
    <row r="745" spans="1:15" x14ac:dyDescent="0.2">
      <c r="A745" s="57"/>
      <c r="B745" s="432" t="str">
        <f>IF(L="EN","The packaging must be done in accordance with C/MPE packaging guidelines:","Verpackung muss gemäß aktueller Verpackungsrichtlinie erfolgen:")</f>
        <v>The packaging must be done in accordance with C/MPE packaging guidelines:</v>
      </c>
      <c r="C745" s="432"/>
      <c r="D745" s="432"/>
      <c r="E745" s="432"/>
      <c r="F745" s="432"/>
      <c r="G745" s="432"/>
      <c r="H745" s="432"/>
      <c r="J745" s="57"/>
    </row>
    <row r="746" spans="1:15" x14ac:dyDescent="0.2">
      <c r="A746" s="57"/>
      <c r="B746" s="430" t="s">
        <v>167</v>
      </c>
      <c r="C746" s="430"/>
      <c r="D746" s="430"/>
      <c r="E746" s="430"/>
      <c r="F746" s="430"/>
      <c r="G746" s="430"/>
      <c r="H746" s="430"/>
      <c r="J746" s="57"/>
    </row>
    <row r="747" spans="1:15" x14ac:dyDescent="0.2">
      <c r="A747" s="57"/>
      <c r="B747" s="311" t="s">
        <v>168</v>
      </c>
      <c r="C747" s="311"/>
      <c r="D747" s="122"/>
      <c r="E747" s="122"/>
      <c r="F747" s="122"/>
      <c r="G747" s="123"/>
      <c r="H747" s="123"/>
      <c r="J747" s="57"/>
    </row>
    <row r="748" spans="1:15" x14ac:dyDescent="0.2">
      <c r="A748" s="57"/>
      <c r="B748" s="312" t="s">
        <v>169</v>
      </c>
      <c r="C748" s="73"/>
      <c r="D748" s="122"/>
      <c r="E748" s="122"/>
      <c r="F748" s="122"/>
      <c r="G748" s="123"/>
      <c r="H748" s="123"/>
      <c r="J748" s="57"/>
    </row>
    <row r="749" spans="1:15" x14ac:dyDescent="0.2">
      <c r="A749" s="57"/>
      <c r="B749" s="312"/>
      <c r="C749" s="73"/>
      <c r="D749" s="122"/>
      <c r="E749" s="122"/>
      <c r="F749" s="122"/>
      <c r="G749" s="123"/>
      <c r="H749" s="123"/>
      <c r="J749" s="57"/>
    </row>
    <row r="750" spans="1:15" ht="13.5" thickBot="1" x14ac:dyDescent="0.25">
      <c r="A750" s="57"/>
      <c r="B750" s="312"/>
      <c r="C750" s="73"/>
      <c r="D750" s="122"/>
      <c r="E750" s="122"/>
      <c r="F750" s="122"/>
      <c r="G750" s="123"/>
      <c r="H750" s="123"/>
      <c r="J750" s="57"/>
    </row>
    <row r="751" spans="1:15" s="71" customFormat="1" ht="19.5" customHeight="1" x14ac:dyDescent="0.2">
      <c r="A751" s="419"/>
      <c r="B751" s="420"/>
      <c r="C751" s="423" t="str">
        <f>IF(L="EN","C/MPE Acceptance Report","C/MPE Abnahmeprotokoll")</f>
        <v>C/MPE Acceptance Report</v>
      </c>
      <c r="D751" s="423"/>
      <c r="E751" s="423"/>
      <c r="F751" s="424"/>
      <c r="G751" s="136" t="str">
        <f>IF(L="EN","Issue:","Ausgabe")</f>
        <v>Issue:</v>
      </c>
      <c r="H751" s="154" t="str">
        <f>IF(L="EN","Page","Blatt")</f>
        <v>Page</v>
      </c>
      <c r="I751" s="58"/>
      <c r="N751" s="331"/>
      <c r="O751" s="331"/>
    </row>
    <row r="752" spans="1:15" s="71" customFormat="1" ht="19.5" customHeight="1" thickBot="1" x14ac:dyDescent="0.25">
      <c r="A752" s="421"/>
      <c r="B752" s="422"/>
      <c r="C752" s="425"/>
      <c r="D752" s="425"/>
      <c r="E752" s="425"/>
      <c r="F752" s="426"/>
      <c r="G752" s="350" t="s">
        <v>433</v>
      </c>
      <c r="H752" s="156" t="s">
        <v>413</v>
      </c>
      <c r="I752" s="58"/>
      <c r="N752" s="331"/>
      <c r="O752" s="331"/>
    </row>
    <row r="753" spans="1:15" s="71" customFormat="1" ht="13.5" customHeight="1" thickBot="1" x14ac:dyDescent="0.25">
      <c r="A753" s="167" t="str">
        <f>IF(L="EN","section","Kapitel")</f>
        <v>section</v>
      </c>
      <c r="B753" s="427" t="str">
        <f>IF(L="EN","items to be checked","Prüfmerkmale")</f>
        <v>items to be checked</v>
      </c>
      <c r="C753" s="427"/>
      <c r="D753" s="168" t="s">
        <v>17</v>
      </c>
      <c r="E753" s="169" t="s">
        <v>18</v>
      </c>
      <c r="F753" s="170" t="s">
        <v>19</v>
      </c>
      <c r="G753" s="428" t="str">
        <f>IF(L="EN","remark","Bemerkung")</f>
        <v>remark</v>
      </c>
      <c r="H753" s="428"/>
      <c r="I753" s="58"/>
      <c r="N753" s="331"/>
      <c r="O753" s="331"/>
    </row>
    <row r="754" spans="1:15" ht="15" customHeight="1" x14ac:dyDescent="0.2">
      <c r="A754" s="70"/>
      <c r="B754" s="70"/>
      <c r="C754" s="73"/>
      <c r="D754" s="165"/>
      <c r="E754" s="165"/>
      <c r="F754" s="165"/>
      <c r="G754" s="436"/>
      <c r="H754" s="436"/>
      <c r="J754" s="57"/>
    </row>
    <row r="755" spans="1:15" ht="12" customHeight="1" x14ac:dyDescent="0.2">
      <c r="A755" s="57"/>
      <c r="B755" s="171" t="str">
        <f>IF(L="EN","The supplier is liable to comply with the C/MPE packaging guidelines","Der Lieferant verpflichtet sich die aktuelle Verpackungsrichtlinie einzuhalten")</f>
        <v>The supplier is liable to comply with the C/MPE packaging guidelines</v>
      </c>
      <c r="C755" s="106"/>
      <c r="D755" s="106"/>
      <c r="E755" s="106"/>
      <c r="F755" s="106"/>
      <c r="G755" s="106"/>
      <c r="H755" s="123"/>
      <c r="J755" s="57"/>
    </row>
    <row r="756" spans="1:15" ht="12" customHeight="1" x14ac:dyDescent="0.2">
      <c r="A756" s="57"/>
      <c r="B756" s="57"/>
      <c r="C756" s="73"/>
      <c r="D756" s="122"/>
      <c r="E756" s="122"/>
      <c r="F756" s="122"/>
      <c r="G756" s="123"/>
      <c r="H756" s="123"/>
      <c r="J756" s="57"/>
    </row>
    <row r="757" spans="1:15" x14ac:dyDescent="0.2">
      <c r="A757" s="57"/>
      <c r="B757" s="57" t="str">
        <f>IF(L="EN","Supplier Packaging","Bei Verpackung durch den Lieferer")</f>
        <v>Supplier Packaging</v>
      </c>
      <c r="C757" s="73"/>
      <c r="D757" s="122"/>
      <c r="E757" s="122"/>
      <c r="F757" s="122"/>
      <c r="G757" s="123"/>
      <c r="H757" s="123"/>
      <c r="J757" s="57"/>
    </row>
    <row r="758" spans="1:15" x14ac:dyDescent="0.2">
      <c r="A758" s="57"/>
      <c r="B758" s="234"/>
      <c r="C758" s="370" t="str">
        <f>IF(L="EN","Arrange timing for packaging with the deliverer","Termin für Verpackung mit Lieferanten verbindlich festlegen")</f>
        <v>Arrange timing for packaging with the deliverer</v>
      </c>
      <c r="D758" s="370"/>
      <c r="E758" s="370"/>
      <c r="F758" s="370"/>
      <c r="G758" s="370"/>
      <c r="H758" s="370"/>
      <c r="J758" s="57"/>
    </row>
    <row r="759" spans="1:15" ht="12.75" customHeight="1" x14ac:dyDescent="0.2">
      <c r="A759" s="57"/>
      <c r="B759" s="234"/>
      <c r="C759" s="370" t="str">
        <f>IF(L="EN","Supplier to provide outside dimensions for all boxes","Lieferer auf max. Außenabmessungen sämtlicher Kisten hinweisen")</f>
        <v>Supplier to provide outside dimensions for all boxes</v>
      </c>
      <c r="D759" s="370"/>
      <c r="E759" s="370"/>
      <c r="F759" s="370"/>
      <c r="G759" s="370"/>
      <c r="H759" s="370"/>
      <c r="J759" s="57"/>
    </row>
    <row r="760" spans="1:15" x14ac:dyDescent="0.2">
      <c r="A760" s="57"/>
      <c r="B760" s="234"/>
      <c r="C760" s="370" t="str">
        <f>IF(L="EN","Provide gross and net weights to C/MPE4 for all boxes (refer to point 12)","Brutto- sowie Netto-Gewicht sämtlicher Kisten an C/MPE4 (siehe Pkt. 11)")</f>
        <v>Provide gross and net weights to C/MPE4 for all boxes (refer to point 12)</v>
      </c>
      <c r="D760" s="370"/>
      <c r="E760" s="370"/>
      <c r="F760" s="370"/>
      <c r="G760" s="370"/>
      <c r="H760" s="370"/>
      <c r="J760" s="57"/>
    </row>
    <row r="761" spans="1:15" x14ac:dyDescent="0.2">
      <c r="A761" s="57"/>
      <c r="B761" s="123"/>
      <c r="C761" s="370" t="str">
        <f>IF(L="EN","Provide packing lists to C/MPE4 for each box (refer to point 12)","Packliste je Kiste an C/MPE4 (siehe Pkt. 11)")</f>
        <v>Provide packing lists to C/MPE4 for each box (refer to point 12)</v>
      </c>
      <c r="D761" s="370"/>
      <c r="E761" s="370"/>
      <c r="F761" s="370"/>
      <c r="G761" s="370"/>
      <c r="J761" s="57"/>
    </row>
    <row r="762" spans="1:15" x14ac:dyDescent="0.2">
      <c r="A762" s="57"/>
      <c r="B762" s="57"/>
      <c r="C762" s="73"/>
      <c r="D762" s="122"/>
      <c r="E762" s="122"/>
      <c r="F762" s="122"/>
      <c r="G762" s="123"/>
      <c r="H762" s="123"/>
      <c r="J762" s="57"/>
    </row>
    <row r="763" spans="1:15" x14ac:dyDescent="0.2">
      <c r="A763" s="57"/>
      <c r="B763" s="171" t="str">
        <f>IF(L="EN","All shipments must be checked for dangerous goods.","Jede Sendung ist durch den Lieferanten auf Gefahrgüter zu prüfen.")</f>
        <v>All shipments must be checked for dangerous goods.</v>
      </c>
      <c r="C763" s="73"/>
      <c r="D763" s="122"/>
      <c r="E763" s="122"/>
      <c r="F763" s="122"/>
      <c r="G763" s="123"/>
      <c r="H763" s="123"/>
      <c r="J763" s="57"/>
    </row>
    <row r="764" spans="1:15" x14ac:dyDescent="0.2">
      <c r="A764" s="57"/>
      <c r="B764" s="171" t="str">
        <f>IF(L="EN","Dangerous goods have to be declared accordingly.","Gefahrgüter sind enstsprechend vorab anzugeben. ")</f>
        <v>Dangerous goods have to be declared accordingly.</v>
      </c>
      <c r="C764" s="73"/>
      <c r="D764" s="122"/>
      <c r="E764" s="122"/>
      <c r="F764" s="122"/>
      <c r="G764" s="123"/>
      <c r="H764" s="123"/>
      <c r="J764" s="57"/>
    </row>
    <row r="765" spans="1:15" x14ac:dyDescent="0.2">
      <c r="A765" s="57"/>
      <c r="B765" s="171"/>
      <c r="C765" s="73"/>
      <c r="D765" s="122"/>
      <c r="E765" s="122"/>
      <c r="F765" s="122"/>
      <c r="G765" s="123"/>
      <c r="H765" s="123"/>
      <c r="J765" s="57"/>
    </row>
    <row r="766" spans="1:15" x14ac:dyDescent="0.2">
      <c r="A766" s="57"/>
      <c r="B766" s="171" t="str">
        <f>IF(L="EN","Examples for dangerous goods:","Beispiele:")</f>
        <v>Examples for dangerous goods:</v>
      </c>
      <c r="C766" s="73"/>
      <c r="D766" s="122"/>
      <c r="E766" s="122"/>
      <c r="F766" s="122"/>
      <c r="G766" s="123"/>
      <c r="H766" s="123"/>
      <c r="J766" s="57"/>
    </row>
    <row r="767" spans="1:15" x14ac:dyDescent="0.2">
      <c r="A767" s="57"/>
      <c r="B767" s="272" t="str">
        <f>IF(L="EN","1) Gases, Batteries, cooling media, lubricants, inflammable goods, lithium-ion batteries, ","1)Gase,Batterien,Kühlmittel,Schmierstoffe,entzündbare Stoffe,Lithium,Kondensatoren..")</f>
        <v xml:space="preserve">1) Gases, Batteries, cooling media, lubricants, inflammable goods, lithium-ion batteries, </v>
      </c>
      <c r="C767" s="73"/>
      <c r="D767" s="122"/>
      <c r="E767" s="122"/>
      <c r="F767" s="122"/>
      <c r="G767" s="123"/>
      <c r="H767" s="123"/>
      <c r="J767" s="57"/>
    </row>
    <row r="768" spans="1:15" x14ac:dyDescent="0.2">
      <c r="A768" s="57"/>
      <c r="B768" s="272" t="str">
        <f>IF(L="EN","2) was any work performed on test media or goods that are subject to the dangerous goods ","2) wurde an der Einrichtung mit Prüfmedien oder Stoffen gearbeitet, die dem Gefahrgutrecht
      ")</f>
        <v xml:space="preserve">2) was any work performed on test media or goods that are subject to the dangerous goods </v>
      </c>
      <c r="C768" s="73"/>
      <c r="D768" s="122"/>
      <c r="E768" s="122"/>
      <c r="F768" s="122"/>
      <c r="G768" s="123"/>
      <c r="H768" s="123"/>
      <c r="J768" s="57"/>
    </row>
    <row r="769" spans="1:15" x14ac:dyDescent="0.2">
      <c r="A769" s="57"/>
      <c r="B769" s="272" t="str">
        <f>IF(L="EN","    legislation","       unterliegen?")</f>
        <v xml:space="preserve">    legislation</v>
      </c>
      <c r="C769" s="73"/>
      <c r="D769" s="122"/>
      <c r="E769" s="122"/>
      <c r="F769" s="122"/>
      <c r="G769" s="123"/>
      <c r="H769" s="123"/>
      <c r="J769" s="57"/>
    </row>
    <row r="770" spans="1:15" x14ac:dyDescent="0.2">
      <c r="A770" s="57"/>
      <c r="B770" s="272" t="str">
        <f>IF(L="EN","3) All pressure cylinders, gas accumulators, cooling unit tanks ect. Are without pressure","3) alle Druckzylinder, Blasenspeicher, Kühlmittelbehälter etc. sind drucklos (Behälter mit einem
    .")</f>
        <v>3) All pressure cylinders, gas accumulators, cooling unit tanks ect. Are without pressure</v>
      </c>
      <c r="C770" s="73"/>
      <c r="D770" s="122"/>
      <c r="E770" s="122"/>
      <c r="F770" s="122"/>
      <c r="G770" s="123"/>
      <c r="H770" s="123"/>
      <c r="J770" s="57"/>
    </row>
    <row r="771" spans="1:15" x14ac:dyDescent="0.2">
      <c r="A771" s="57"/>
      <c r="B771" s="272" t="str">
        <f>IF(L="EN","4) Remove liquids and gases.","4) Flüssigkeiten und Gase sind zu entfernen. ")</f>
        <v>4) Remove liquids and gases.</v>
      </c>
      <c r="C771" s="73"/>
      <c r="D771" s="122"/>
      <c r="E771" s="122"/>
      <c r="F771" s="122"/>
      <c r="G771" s="123"/>
      <c r="H771" s="123"/>
      <c r="J771" s="57"/>
    </row>
    <row r="772" spans="1:15" ht="10.5" customHeight="1" x14ac:dyDescent="0.2">
      <c r="A772" s="57"/>
      <c r="B772" s="272" t="str">
        <f>IF(L="EN","Please send the safety data sheets to C/MPE4.","Sicherheitsdatenblätter bitte an C/MPE4-MA senden.")</f>
        <v>Please send the safety data sheets to C/MPE4.</v>
      </c>
      <c r="C772" s="73"/>
      <c r="D772" s="122"/>
      <c r="E772" s="122"/>
      <c r="F772" s="122"/>
      <c r="G772" s="123"/>
      <c r="H772" s="123"/>
      <c r="J772" s="57"/>
    </row>
    <row r="773" spans="1:15" s="313" customFormat="1" x14ac:dyDescent="0.2">
      <c r="A773" s="57"/>
      <c r="B773" s="272"/>
      <c r="C773" s="73"/>
      <c r="D773" s="122"/>
      <c r="E773" s="122"/>
      <c r="F773" s="122"/>
      <c r="G773" s="123"/>
      <c r="H773" s="123"/>
      <c r="I773" s="157"/>
      <c r="J773" s="157"/>
      <c r="N773" s="336"/>
      <c r="O773" s="336"/>
    </row>
    <row r="774" spans="1:15" ht="12.75" customHeight="1" x14ac:dyDescent="0.2">
      <c r="A774" s="177" t="s">
        <v>14</v>
      </c>
      <c r="B774" s="177" t="str">
        <f>IF(L="EN","Instructions for the pick-up and delivery of the equipment","Hinweise zur Abholung / Versand der Einrichtung")</f>
        <v>Instructions for the pick-up and delivery of the equipment</v>
      </c>
      <c r="C774" s="178"/>
      <c r="D774" s="162"/>
      <c r="E774" s="162"/>
      <c r="F774" s="162"/>
      <c r="G774" s="179"/>
      <c r="H774" s="179"/>
      <c r="J774" s="57"/>
    </row>
    <row r="775" spans="1:15" ht="12.75" customHeight="1" x14ac:dyDescent="0.2">
      <c r="A775" s="57"/>
      <c r="B775" s="234"/>
      <c r="C775" s="314"/>
      <c r="D775" s="315"/>
      <c r="E775" s="316"/>
      <c r="F775" s="316"/>
      <c r="G775" s="316"/>
      <c r="H775" s="316"/>
      <c r="J775" s="57"/>
    </row>
    <row r="776" spans="1:15" ht="12.75" customHeight="1" x14ac:dyDescent="0.2">
      <c r="A776" s="283"/>
      <c r="B776" s="283"/>
      <c r="C776" s="90"/>
      <c r="D776" s="115"/>
      <c r="E776" s="115"/>
      <c r="F776" s="115"/>
      <c r="G776" s="235"/>
      <c r="H776" s="235"/>
      <c r="J776" s="57"/>
    </row>
    <row r="777" spans="1:15" ht="12.75" customHeight="1" x14ac:dyDescent="0.2">
      <c r="A777" s="57"/>
      <c r="B777" s="436" t="str">
        <f>IF(L="EN","Following a succesful pre-acceptance / (all open points are addressed), pick-up and delivery will be handled by our commercial staff (Division C/MPE4):","nach erfolgreicher Vorabnahme / Erledigung der Beanstandungen wird die Abholung und der Versand durch unsere kaufmännischen Mitarbeiter (Abteilung C/MPE4) organisiert:")</f>
        <v>Following a succesful pre-acceptance / (all open points are addressed), pick-up and delivery will be handled by our commercial staff (Division C/MPE4):</v>
      </c>
      <c r="C777" s="436"/>
      <c r="D777" s="436"/>
      <c r="E777" s="436"/>
      <c r="F777" s="436"/>
      <c r="G777" s="436"/>
      <c r="H777" s="436"/>
      <c r="I777" s="161"/>
      <c r="J777" s="57"/>
    </row>
    <row r="778" spans="1:15" ht="12.75" customHeight="1" x14ac:dyDescent="0.2">
      <c r="A778" s="57"/>
      <c r="B778" s="436"/>
      <c r="C778" s="436"/>
      <c r="D778" s="436"/>
      <c r="E778" s="436"/>
      <c r="F778" s="436"/>
      <c r="G778" s="436"/>
      <c r="H778" s="436"/>
      <c r="I778" s="161"/>
      <c r="J778" s="57"/>
    </row>
    <row r="779" spans="1:15" x14ac:dyDescent="0.2">
      <c r="A779" s="57"/>
      <c r="B779" s="436"/>
      <c r="C779" s="436"/>
      <c r="D779" s="436"/>
      <c r="E779" s="436"/>
      <c r="F779" s="436"/>
      <c r="G779" s="436"/>
      <c r="H779" s="436"/>
      <c r="J779" s="57"/>
    </row>
    <row r="780" spans="1:15" x14ac:dyDescent="0.2">
      <c r="A780" s="57"/>
      <c r="B780" s="57"/>
      <c r="C780" s="73" t="s">
        <v>170</v>
      </c>
      <c r="D780" s="122"/>
      <c r="E780" s="122"/>
      <c r="F780" s="122"/>
      <c r="G780" s="123"/>
      <c r="H780" s="123"/>
      <c r="J780" s="57"/>
    </row>
    <row r="781" spans="1:15" x14ac:dyDescent="0.2">
      <c r="A781" s="57"/>
      <c r="B781" s="317"/>
      <c r="C781" s="494" t="str">
        <f>IF(L="EN","Mr. Currlin        Tel.: -45262   Fax.: -5114776   Email: Ralph.Currlin@de.bosch.com","Herr Currlin        Tel.: -45262   Fax.: -5114776   Email: ralph.currlin@de.bosch.com")</f>
        <v>Mr. Currlin        Tel.: -45262   Fax.: -5114776   Email: Ralph.Currlin@de.bosch.com</v>
      </c>
      <c r="D781" s="494"/>
      <c r="E781" s="494"/>
      <c r="F781" s="494"/>
      <c r="G781" s="494"/>
      <c r="H781" s="494"/>
      <c r="I781" s="161"/>
      <c r="J781" s="57"/>
    </row>
    <row r="782" spans="1:15" ht="12.75" customHeight="1" x14ac:dyDescent="0.2">
      <c r="A782" s="57"/>
      <c r="B782" s="317"/>
      <c r="C782" s="495" t="str">
        <f>IF(L="EN","Ms. Kurt           Tel.: -31924   Fax.: -5114776   Email: nermin.kurt@de.bosch.com","Frau Kurt           Tel.: -31924     Fax.: -5114776   Email: nermin.kurt@de.bosch.com")</f>
        <v>Ms. Kurt           Tel.: -31924   Fax.: -5114776   Email: nermin.kurt@de.bosch.com</v>
      </c>
      <c r="D782" s="495"/>
      <c r="E782" s="495"/>
      <c r="F782" s="495"/>
      <c r="G782" s="495"/>
      <c r="H782" s="495"/>
      <c r="I782" s="161"/>
      <c r="J782" s="57"/>
    </row>
    <row r="783" spans="1:15" ht="13.5" customHeight="1" x14ac:dyDescent="0.2">
      <c r="A783" s="57"/>
      <c r="B783" s="317"/>
      <c r="C783" s="495" t="str">
        <f>IF(L="EN","Ms. Matusevic Tel.: -53946   Fax.: -5114776   Email: katja.matusevic@de.bosch.com","Frau Matusevic   Tel.: -53946   Fax.: -5114776   Email: katja.matusevic@de.bosch.com")</f>
        <v>Ms. Matusevic Tel.: -53946   Fax.: -5114776   Email: katja.matusevic@de.bosch.com</v>
      </c>
      <c r="D783" s="495"/>
      <c r="E783" s="495"/>
      <c r="F783" s="495"/>
      <c r="G783" s="495"/>
      <c r="H783" s="495"/>
      <c r="I783" s="161"/>
      <c r="J783" s="57"/>
    </row>
    <row r="784" spans="1:15" ht="12.75" customHeight="1" x14ac:dyDescent="0.2">
      <c r="A784" s="57"/>
      <c r="B784" s="317"/>
      <c r="C784" s="496" t="str">
        <f>IF(L="EN","Ms. Tuna         Tel.: -45147   Fax.: -5114776   Email: semiha.tuna@de.bosch.com","Frau Tuna          Tel.: -45147   Fax.: -5114776   Email: semiha.tuna@de.bosch.com")</f>
        <v>Ms. Tuna         Tel.: -45147   Fax.: -5114776   Email: semiha.tuna@de.bosch.com</v>
      </c>
      <c r="D784" s="496"/>
      <c r="E784" s="496"/>
      <c r="F784" s="496"/>
      <c r="G784" s="496"/>
      <c r="H784" s="496"/>
      <c r="I784" s="161"/>
      <c r="J784" s="57"/>
    </row>
    <row r="785" spans="1:10" ht="12.75" customHeight="1" x14ac:dyDescent="0.2">
      <c r="A785" s="57"/>
      <c r="B785" s="57"/>
      <c r="C785" s="73"/>
      <c r="D785" s="122"/>
      <c r="E785" s="122"/>
      <c r="F785" s="122"/>
      <c r="G785" s="123"/>
      <c r="H785" s="123"/>
      <c r="J785" s="57"/>
    </row>
    <row r="786" spans="1:10" ht="22.5" customHeight="1" x14ac:dyDescent="0.2">
      <c r="A786" s="57"/>
      <c r="B786" s="436" t="str">
        <f>IF(L="EN","For the efficient preparation of documentation and delivery, promptly provide the following information","Für die Vorbereitung der Versanddokumente und der zügigen Versandabwicklung senden Sie uns bitte umgehend ein Fax / Email mit folgenden Informationen")</f>
        <v>For the efficient preparation of documentation and delivery, promptly provide the following information</v>
      </c>
      <c r="C786" s="436"/>
      <c r="D786" s="436"/>
      <c r="E786" s="436"/>
      <c r="F786" s="436"/>
      <c r="G786" s="436"/>
      <c r="H786" s="436"/>
      <c r="I786" s="161"/>
      <c r="J786" s="57"/>
    </row>
    <row r="787" spans="1:10" ht="22.5" customHeight="1" x14ac:dyDescent="0.2">
      <c r="A787" s="57"/>
      <c r="B787" s="436"/>
      <c r="C787" s="436"/>
      <c r="D787" s="436"/>
      <c r="E787" s="436"/>
      <c r="F787" s="436"/>
      <c r="G787" s="436"/>
      <c r="H787" s="436"/>
      <c r="I787" s="161"/>
      <c r="J787" s="57"/>
    </row>
    <row r="788" spans="1:10" ht="12.75" customHeight="1" x14ac:dyDescent="0.2">
      <c r="A788" s="57"/>
      <c r="B788" s="436"/>
      <c r="C788" s="436"/>
      <c r="D788" s="436"/>
      <c r="E788" s="436"/>
      <c r="F788" s="436"/>
      <c r="G788" s="436"/>
      <c r="H788" s="436"/>
      <c r="J788" s="57"/>
    </row>
    <row r="789" spans="1:10" ht="12.75" customHeight="1" x14ac:dyDescent="0.2">
      <c r="A789" s="57"/>
      <c r="B789" s="57"/>
      <c r="C789" s="370" t="str">
        <f>IF(L="EN","Contact person within your company /department and pick-up address including ","Ansprechpartner in Ihrer Firma/Abteilung sowie Abholadresse")</f>
        <v xml:space="preserve">Contact person within your company /department and pick-up address including </v>
      </c>
      <c r="D789" s="370"/>
      <c r="E789" s="370"/>
      <c r="F789" s="370"/>
      <c r="G789" s="370"/>
      <c r="H789" s="123"/>
      <c r="I789" s="161"/>
      <c r="J789" s="57"/>
    </row>
    <row r="790" spans="1:10" ht="12.75" customHeight="1" x14ac:dyDescent="0.2">
      <c r="A790" s="57"/>
      <c r="B790" s="57"/>
      <c r="C790" s="73" t="str">
        <f>IF(L="EN","including the Bosch PO Number","mit Angabe der BOSCH Bestellnummer:")</f>
        <v>including the Bosch PO Number</v>
      </c>
      <c r="D790" s="489" t="str">
        <f>C4</f>
        <v>FL-X……..</v>
      </c>
      <c r="E790" s="489"/>
      <c r="F790" s="489"/>
      <c r="G790" s="489"/>
      <c r="H790" s="123"/>
      <c r="I790" s="161"/>
      <c r="J790" s="57"/>
    </row>
    <row r="791" spans="1:10" ht="12.75" customHeight="1" x14ac:dyDescent="0.2">
      <c r="A791" s="57"/>
      <c r="B791" s="57"/>
      <c r="C791" s="73"/>
      <c r="D791" s="122"/>
      <c r="E791" s="122"/>
      <c r="F791" s="122"/>
      <c r="G791" s="123"/>
      <c r="H791" s="123"/>
      <c r="J791" s="57"/>
    </row>
    <row r="792" spans="1:10" x14ac:dyDescent="0.2">
      <c r="A792" s="57"/>
      <c r="B792" s="436" t="str">
        <f>IF(L="EN","Upon receipt of the required information, a representative from C/MPE4 will contact your organization to finalize the arrangements for delivery","Der o.g. C/MPE4-Mitarbeiter wird sich danach mit Ihnen in Verbindung setzen und den weiteren Ablauf organisieren")</f>
        <v>Upon receipt of the required information, a representative from C/MPE4 will contact your organization to finalize the arrangements for delivery</v>
      </c>
      <c r="C792" s="436"/>
      <c r="D792" s="436"/>
      <c r="E792" s="436"/>
      <c r="F792" s="436"/>
      <c r="G792" s="436"/>
      <c r="H792" s="436"/>
      <c r="I792" s="161"/>
      <c r="J792" s="57"/>
    </row>
    <row r="793" spans="1:10" x14ac:dyDescent="0.2">
      <c r="A793" s="57"/>
      <c r="B793" s="436"/>
      <c r="C793" s="436"/>
      <c r="D793" s="436"/>
      <c r="E793" s="436"/>
      <c r="F793" s="436"/>
      <c r="G793" s="436"/>
      <c r="H793" s="436"/>
      <c r="I793" s="161"/>
      <c r="J793" s="57"/>
    </row>
    <row r="794" spans="1:10" x14ac:dyDescent="0.2">
      <c r="A794" s="57"/>
      <c r="B794" s="436"/>
      <c r="C794" s="436"/>
      <c r="D794" s="436"/>
      <c r="E794" s="436"/>
      <c r="F794" s="436"/>
      <c r="G794" s="436"/>
      <c r="H794" s="436"/>
    </row>
    <row r="795" spans="1:10" x14ac:dyDescent="0.2">
      <c r="A795" s="57"/>
      <c r="B795" s="193"/>
      <c r="C795" s="193"/>
      <c r="D795" s="193"/>
      <c r="E795" s="193"/>
      <c r="F795" s="193"/>
      <c r="G795" s="193"/>
      <c r="H795" s="193"/>
    </row>
    <row r="796" spans="1:10" x14ac:dyDescent="0.2">
      <c r="A796" s="57"/>
      <c r="B796" s="193"/>
      <c r="C796" s="193"/>
      <c r="D796" s="193"/>
      <c r="E796" s="193"/>
      <c r="F796" s="193"/>
      <c r="G796" s="193"/>
      <c r="H796" s="193"/>
    </row>
    <row r="797" spans="1:10" x14ac:dyDescent="0.2">
      <c r="A797" s="57"/>
      <c r="B797" s="193"/>
      <c r="C797" s="193"/>
      <c r="D797" s="193"/>
      <c r="E797" s="193"/>
      <c r="F797" s="193"/>
      <c r="G797" s="193"/>
      <c r="H797" s="193"/>
    </row>
    <row r="798" spans="1:10" x14ac:dyDescent="0.2">
      <c r="A798" s="57"/>
      <c r="B798" s="193"/>
      <c r="C798" s="193"/>
      <c r="D798" s="193"/>
      <c r="E798" s="193"/>
      <c r="F798" s="193"/>
      <c r="G798" s="193"/>
      <c r="H798" s="193"/>
    </row>
    <row r="799" spans="1:10" x14ac:dyDescent="0.2">
      <c r="A799" s="57"/>
      <c r="B799" s="193"/>
      <c r="C799" s="193"/>
      <c r="D799" s="193"/>
      <c r="E799" s="193"/>
      <c r="F799" s="193"/>
      <c r="G799" s="193"/>
      <c r="H799" s="193"/>
    </row>
    <row r="800" spans="1:10" x14ac:dyDescent="0.2">
      <c r="A800" s="57"/>
      <c r="B800" s="193"/>
      <c r="C800" s="193"/>
      <c r="D800" s="193"/>
      <c r="E800" s="193"/>
      <c r="F800" s="193"/>
      <c r="G800" s="193"/>
      <c r="H800" s="193"/>
    </row>
    <row r="801" spans="1:15" x14ac:dyDescent="0.2">
      <c r="A801" s="57"/>
      <c r="B801" s="193"/>
      <c r="C801" s="193"/>
      <c r="D801" s="193"/>
      <c r="E801" s="193"/>
      <c r="F801" s="193"/>
      <c r="G801" s="193"/>
      <c r="H801" s="193"/>
    </row>
    <row r="802" spans="1:15" x14ac:dyDescent="0.2">
      <c r="A802" s="57"/>
      <c r="B802" s="193"/>
      <c r="C802" s="193"/>
      <c r="D802" s="193"/>
      <c r="E802" s="193"/>
      <c r="F802" s="193"/>
      <c r="G802" s="193"/>
      <c r="H802" s="193"/>
    </row>
    <row r="803" spans="1:15" x14ac:dyDescent="0.2">
      <c r="A803" s="57"/>
      <c r="B803" s="193"/>
      <c r="C803" s="193"/>
      <c r="D803" s="193"/>
      <c r="E803" s="193"/>
      <c r="F803" s="193"/>
      <c r="G803" s="193"/>
      <c r="H803" s="193"/>
    </row>
    <row r="804" spans="1:15" x14ac:dyDescent="0.2">
      <c r="A804" s="57"/>
      <c r="B804" s="193"/>
      <c r="C804" s="193"/>
      <c r="D804" s="193"/>
      <c r="E804" s="193"/>
      <c r="F804" s="193"/>
      <c r="G804" s="193"/>
      <c r="H804" s="193"/>
    </row>
    <row r="805" spans="1:15" x14ac:dyDescent="0.2">
      <c r="A805" s="57"/>
      <c r="B805" s="193"/>
      <c r="C805" s="193"/>
      <c r="D805" s="193"/>
      <c r="E805" s="193"/>
      <c r="F805" s="193"/>
      <c r="G805" s="193"/>
      <c r="H805" s="193"/>
    </row>
    <row r="806" spans="1:15" ht="13.5" thickBot="1" x14ac:dyDescent="0.25">
      <c r="A806" s="57"/>
      <c r="B806" s="193"/>
      <c r="C806" s="193"/>
      <c r="D806" s="193"/>
      <c r="E806" s="193"/>
      <c r="F806" s="193"/>
      <c r="G806" s="193"/>
      <c r="H806" s="193"/>
    </row>
    <row r="807" spans="1:15" s="71" customFormat="1" ht="19.5" customHeight="1" x14ac:dyDescent="0.2">
      <c r="A807" s="419"/>
      <c r="B807" s="420"/>
      <c r="C807" s="423" t="str">
        <f>IF(L="EN","C/MPE Acceptance Report","C/MPE Abnahmeprotokoll")</f>
        <v>C/MPE Acceptance Report</v>
      </c>
      <c r="D807" s="423"/>
      <c r="E807" s="423"/>
      <c r="F807" s="424"/>
      <c r="G807" s="136" t="str">
        <f>IF(L="EN","Issue:","Ausgabe")</f>
        <v>Issue:</v>
      </c>
      <c r="H807" s="154" t="str">
        <f>IF(L="EN","Page","Blatt")</f>
        <v>Page</v>
      </c>
      <c r="I807" s="58"/>
      <c r="N807" s="331"/>
      <c r="O807" s="331"/>
    </row>
    <row r="808" spans="1:15" s="71" customFormat="1" ht="19.5" customHeight="1" thickBot="1" x14ac:dyDescent="0.25">
      <c r="A808" s="421"/>
      <c r="B808" s="422"/>
      <c r="C808" s="425"/>
      <c r="D808" s="425"/>
      <c r="E808" s="425"/>
      <c r="F808" s="426"/>
      <c r="G808" s="350" t="s">
        <v>433</v>
      </c>
      <c r="H808" s="156" t="s">
        <v>414</v>
      </c>
      <c r="I808" s="58"/>
      <c r="N808" s="331"/>
      <c r="O808" s="331"/>
    </row>
    <row r="809" spans="1:15" s="71" customFormat="1" ht="13.5" customHeight="1" thickBot="1" x14ac:dyDescent="0.25">
      <c r="A809" s="167" t="str">
        <f>IF(L="EN","section","Kapitel")</f>
        <v>section</v>
      </c>
      <c r="B809" s="427" t="str">
        <f>IF(L="EN","items to be checked","Prüfmerkmale")</f>
        <v>items to be checked</v>
      </c>
      <c r="C809" s="427"/>
      <c r="D809" s="168" t="s">
        <v>17</v>
      </c>
      <c r="E809" s="169" t="s">
        <v>18</v>
      </c>
      <c r="F809" s="170" t="s">
        <v>19</v>
      </c>
      <c r="G809" s="428" t="str">
        <f>IF(L="EN","remark","Bemerkung")</f>
        <v>remark</v>
      </c>
      <c r="H809" s="428"/>
      <c r="I809" s="58"/>
      <c r="N809" s="331"/>
      <c r="O809" s="331"/>
    </row>
    <row r="810" spans="1:15" ht="12.75" customHeight="1" x14ac:dyDescent="0.2">
      <c r="A810" s="70"/>
      <c r="B810" s="70"/>
      <c r="C810" s="73"/>
      <c r="D810" s="165"/>
      <c r="E810" s="165"/>
      <c r="F810" s="165"/>
      <c r="G810" s="436"/>
      <c r="H810" s="436"/>
      <c r="J810" s="57"/>
    </row>
    <row r="811" spans="1:15" ht="12.75" customHeight="1" x14ac:dyDescent="0.2">
      <c r="A811" s="177" t="s">
        <v>15</v>
      </c>
      <c r="B811" s="177" t="str">
        <f>IF(L="EN","all Bosch Norms of the delivery specification N51M as overview","Bosch Normen der Liefervorschrift N51M in der Übersicht")</f>
        <v>all Bosch Norms of the delivery specification N51M as overview</v>
      </c>
      <c r="C811" s="178"/>
      <c r="D811" s="162"/>
      <c r="E811" s="162"/>
      <c r="F811" s="162"/>
      <c r="G811" s="179"/>
      <c r="H811" s="179"/>
      <c r="I811" s="318"/>
      <c r="J811" s="319"/>
      <c r="K811" s="57"/>
    </row>
    <row r="812" spans="1:15" ht="22.5" customHeight="1" x14ac:dyDescent="0.2">
      <c r="A812" s="320" t="s">
        <v>169</v>
      </c>
      <c r="B812" s="57"/>
      <c r="C812" s="73"/>
      <c r="D812" s="122"/>
      <c r="E812" s="122"/>
      <c r="F812" s="122"/>
      <c r="G812" s="123"/>
      <c r="H812" s="123"/>
      <c r="I812" s="318"/>
      <c r="J812" s="319"/>
      <c r="K812" s="57"/>
    </row>
    <row r="813" spans="1:15" x14ac:dyDescent="0.2">
      <c r="A813" s="490" t="s">
        <v>171</v>
      </c>
      <c r="B813" s="490"/>
      <c r="C813" s="491" t="str">
        <f>IF(L="EN","Description","Beschreibung")</f>
        <v>Description</v>
      </c>
      <c r="D813" s="492"/>
      <c r="E813" s="492"/>
      <c r="F813" s="492"/>
      <c r="G813" s="492"/>
      <c r="H813" s="493"/>
      <c r="I813" s="321"/>
      <c r="J813" s="319"/>
      <c r="K813" s="57"/>
    </row>
    <row r="814" spans="1:15" ht="12.75" customHeight="1" x14ac:dyDescent="0.2">
      <c r="A814" s="485" t="s">
        <v>172</v>
      </c>
      <c r="B814" s="485"/>
      <c r="C814" s="486" t="str">
        <f>IF(L="EN","Hydroventile - hole patterns and connection plates for the installation of directional control valves","Hydroventile - Lochbilder und Anschlussplatten für die Montage von Wegeventilen")</f>
        <v>Hydroventile - hole patterns and connection plates for the installation of directional control valves</v>
      </c>
      <c r="D814" s="487"/>
      <c r="E814" s="487"/>
      <c r="F814" s="487"/>
      <c r="G814" s="487"/>
      <c r="H814" s="488"/>
      <c r="I814" s="58"/>
      <c r="J814" s="319"/>
      <c r="K814" s="57"/>
    </row>
    <row r="815" spans="1:15" ht="12.75" customHeight="1" x14ac:dyDescent="0.2">
      <c r="A815" s="485" t="s">
        <v>173</v>
      </c>
      <c r="B815" s="485"/>
      <c r="C815" s="486" t="str">
        <f>IF(L="EN","Circuit documents; Rules for function plans","Schaltungsunterlagen; Regeln für Funktionspläne")</f>
        <v>Circuit documents; Rules for function plans</v>
      </c>
      <c r="D815" s="487"/>
      <c r="E815" s="487"/>
      <c r="F815" s="487"/>
      <c r="G815" s="487"/>
      <c r="H815" s="488"/>
      <c r="I815" s="58"/>
      <c r="J815" s="319"/>
      <c r="K815" s="57"/>
    </row>
    <row r="816" spans="1:15" ht="12.75" customHeight="1" x14ac:dyDescent="0.2">
      <c r="A816" s="485" t="s">
        <v>174</v>
      </c>
      <c r="B816" s="485"/>
      <c r="C816" s="486" t="str">
        <f>IF(L="EN","Safety markings; Part 1: Measurements, Detection Environments","Sicherheitskennzeichnungen; Teil 1: Maße, Erkennungsweiten")</f>
        <v>Safety markings; Part 1: Measurements, Detection Environments</v>
      </c>
      <c r="D816" s="487"/>
      <c r="E816" s="487"/>
      <c r="F816" s="487"/>
      <c r="G816" s="487"/>
      <c r="H816" s="488"/>
      <c r="I816" s="58"/>
      <c r="J816" s="319"/>
      <c r="K816" s="57"/>
    </row>
    <row r="817" spans="1:11" x14ac:dyDescent="0.2">
      <c r="A817" s="485" t="s">
        <v>175</v>
      </c>
      <c r="B817" s="485"/>
      <c r="C817" s="486" t="str">
        <f>IF(L="EN","Safety markings; Representation of safety signs","Sicherheitskennzeichnungen; Darstellung von Sicherheitszeichen")</f>
        <v>Safety markings; Representation of safety signs</v>
      </c>
      <c r="D817" s="487"/>
      <c r="E817" s="487"/>
      <c r="F817" s="487"/>
      <c r="G817" s="487"/>
      <c r="H817" s="488"/>
      <c r="I817" s="58"/>
      <c r="J817" s="319"/>
      <c r="K817" s="57"/>
    </row>
    <row r="818" spans="1:11" x14ac:dyDescent="0.2">
      <c r="A818" s="485" t="s">
        <v>176</v>
      </c>
      <c r="B818" s="485"/>
      <c r="C818" s="486" t="str">
        <f>IF(L="EN","Lubrication of machine tools, lubrication instructions","Schmierung von Werkzeugmaschinen, Schmieranleitungen")</f>
        <v>Lubrication of machine tools, lubrication instructions</v>
      </c>
      <c r="D818" s="487"/>
      <c r="E818" s="487"/>
      <c r="F818" s="487"/>
      <c r="G818" s="487"/>
      <c r="H818" s="488"/>
      <c r="I818" s="58"/>
      <c r="J818" s="319"/>
      <c r="K818" s="57"/>
    </row>
    <row r="819" spans="1:11" ht="12.75" customHeight="1" x14ac:dyDescent="0.2">
      <c r="A819" s="485" t="s">
        <v>177</v>
      </c>
      <c r="B819" s="485"/>
      <c r="C819" s="486" t="str">
        <f>IF(L="EN","Lubrication of machine tools, lubricant selection for machine tools","Schmierung von Werkzeugmaschinen, Schmierstoffauswahl für spanende Werkzeugmaschinen")</f>
        <v>Lubrication of machine tools, lubricant selection for machine tools</v>
      </c>
      <c r="D819" s="487"/>
      <c r="E819" s="487"/>
      <c r="F819" s="487"/>
      <c r="G819" s="487"/>
      <c r="H819" s="488"/>
      <c r="I819" s="58"/>
      <c r="J819" s="319"/>
      <c r="K819" s="57"/>
    </row>
    <row r="820" spans="1:11" x14ac:dyDescent="0.2">
      <c r="A820" s="485" t="s">
        <v>178</v>
      </c>
      <c r="B820" s="485"/>
      <c r="C820" s="486" t="str">
        <f>IF(L="EN","Safety requirements for fluid power systems and their components - hydraulics","Sicherheitstechnische Anforderungen an fluidtechnische Anlagen und deren Bauteile - Hydraulik")</f>
        <v>Safety requirements for fluid power systems and their components - hydraulics</v>
      </c>
      <c r="D820" s="487"/>
      <c r="E820" s="487"/>
      <c r="F820" s="487"/>
      <c r="G820" s="487"/>
      <c r="H820" s="488"/>
      <c r="I820" s="58"/>
      <c r="J820" s="319"/>
      <c r="K820" s="57"/>
    </row>
    <row r="821" spans="1:11" ht="12.75" customHeight="1" x14ac:dyDescent="0.2">
      <c r="A821" s="485" t="s">
        <v>179</v>
      </c>
      <c r="B821" s="485"/>
      <c r="C821" s="486" t="str">
        <f>IF(L="EN","Safety requirements for fluid power systems and their components - Pneumatics","Sicherheitstechnische Anforderungen an fluidtechnische Anlagen und deren Bauteile - Pneumatik")</f>
        <v>Safety requirements for fluid power systems and their components - Pneumatics</v>
      </c>
      <c r="D821" s="487"/>
      <c r="E821" s="487"/>
      <c r="F821" s="487"/>
      <c r="G821" s="487"/>
      <c r="H821" s="488"/>
      <c r="I821" s="58"/>
      <c r="J821" s="319"/>
      <c r="K821" s="57"/>
    </row>
    <row r="822" spans="1:11" x14ac:dyDescent="0.2">
      <c r="A822" s="486" t="s">
        <v>180</v>
      </c>
      <c r="B822" s="488"/>
      <c r="C822" s="486" t="str">
        <f>IF(L="EN","Test rules for machine tools","Prüfregeln für Werkzeugmaschinen")</f>
        <v>Test rules for machine tools</v>
      </c>
      <c r="D822" s="487"/>
      <c r="E822" s="487"/>
      <c r="F822" s="487"/>
      <c r="G822" s="487"/>
      <c r="H822" s="488"/>
      <c r="I822" s="58"/>
      <c r="J822" s="319"/>
      <c r="K822" s="57"/>
    </row>
    <row r="823" spans="1:11" x14ac:dyDescent="0.2">
      <c r="A823" s="485" t="s">
        <v>181</v>
      </c>
      <c r="B823" s="485"/>
      <c r="C823" s="486" t="str">
        <f>IF(L="EN","Fluid technology - Graphical symbols and circuit diagrams","Fluidtechnik – Graphische Symbole und Schaltpläne")</f>
        <v>Fluid technology - Graphical symbols and circuit diagrams</v>
      </c>
      <c r="D823" s="487"/>
      <c r="E823" s="487"/>
      <c r="F823" s="487"/>
      <c r="G823" s="487"/>
      <c r="H823" s="488"/>
      <c r="I823" s="58"/>
      <c r="J823" s="319"/>
      <c r="K823" s="57"/>
    </row>
    <row r="824" spans="1:11" ht="12.75" customHeight="1" x14ac:dyDescent="0.2">
      <c r="A824" s="485" t="s">
        <v>182</v>
      </c>
      <c r="B824" s="485"/>
      <c r="C824" s="486" t="str">
        <f>IF(L="EN","2-way installation valves - installation dimensions","2-Wege-Einbauventile - Einbaumaße")</f>
        <v>2-way installation valves - installation dimensions</v>
      </c>
      <c r="D824" s="487"/>
      <c r="E824" s="487"/>
      <c r="F824" s="487"/>
      <c r="G824" s="487"/>
      <c r="H824" s="488"/>
      <c r="I824" s="58"/>
      <c r="J824" s="319"/>
      <c r="K824" s="57"/>
    </row>
    <row r="825" spans="1:11" ht="12.75" customHeight="1" x14ac:dyDescent="0.2">
      <c r="A825" s="485" t="s">
        <v>183</v>
      </c>
      <c r="B825" s="485"/>
      <c r="C825" s="486" t="str">
        <f>IF(L="EN","Core identification of power cables","Aderkennzeichnung von Starkstromkabel")</f>
        <v>Core identification of power cables</v>
      </c>
      <c r="D825" s="487"/>
      <c r="E825" s="487"/>
      <c r="F825" s="487"/>
      <c r="G825" s="487"/>
      <c r="H825" s="488"/>
      <c r="I825" s="58"/>
      <c r="J825" s="319"/>
      <c r="K825" s="57"/>
    </row>
    <row r="826" spans="1:11" ht="12.75" customHeight="1" x14ac:dyDescent="0.2">
      <c r="A826" s="485" t="s">
        <v>184</v>
      </c>
      <c r="B826" s="485"/>
      <c r="C826" s="486" t="str">
        <f>IF(L="EN","Erection and operation of electrical test systems","Errichten und Betreiben elektrischer Prüfanlagen")</f>
        <v>Erection and operation of electrical test systems</v>
      </c>
      <c r="D826" s="487"/>
      <c r="E826" s="487"/>
      <c r="F826" s="487"/>
      <c r="G826" s="487"/>
      <c r="H826" s="488"/>
      <c r="I826" s="58"/>
      <c r="J826" s="319"/>
      <c r="K826" s="57"/>
    </row>
    <row r="827" spans="1:11" ht="12.75" customHeight="1" x14ac:dyDescent="0.2">
      <c r="A827" s="485" t="s">
        <v>185</v>
      </c>
      <c r="B827" s="485"/>
      <c r="C827" s="486" t="str">
        <f>IF(L="EN","Identification of wires of cables and wires by printing","Kennzeichnung der Adern von Kabeln und Leitungen durch Bedrucken")</f>
        <v>Identification of wires of cables and wires by printing</v>
      </c>
      <c r="D827" s="487"/>
      <c r="E827" s="487"/>
      <c r="F827" s="487"/>
      <c r="G827" s="487"/>
      <c r="H827" s="488"/>
      <c r="I827" s="58"/>
      <c r="J827" s="319"/>
      <c r="K827" s="57"/>
    </row>
    <row r="828" spans="1:11" x14ac:dyDescent="0.2">
      <c r="A828" s="485" t="s">
        <v>186</v>
      </c>
      <c r="B828" s="485"/>
      <c r="C828" s="486" t="str">
        <f>IF(L="EN","Basic and safety rules for man-machine interface, marking","Grund- und Sicherheitsregeln für die Mensch-Maschine-Schnittstelle, Kennzeichnung")</f>
        <v>Basic and safety rules for man-machine interface, marking</v>
      </c>
      <c r="D828" s="487"/>
      <c r="E828" s="487"/>
      <c r="F828" s="487"/>
      <c r="G828" s="487"/>
      <c r="H828" s="488"/>
      <c r="I828" s="58"/>
      <c r="J828" s="319"/>
      <c r="K828" s="57"/>
    </row>
    <row r="829" spans="1:11" ht="22.5" customHeight="1" x14ac:dyDescent="0.2">
      <c r="A829" s="485" t="s">
        <v>187</v>
      </c>
      <c r="B829" s="485"/>
      <c r="C829" s="486" t="str">
        <f>IF(L="EN","Electrical equipment of machines","Elektrische Ausrüstungvon Maschinen")</f>
        <v>Electrical equipment of machines</v>
      </c>
      <c r="D829" s="487"/>
      <c r="E829" s="487"/>
      <c r="F829" s="487"/>
      <c r="G829" s="487"/>
      <c r="H829" s="488"/>
      <c r="I829" s="58"/>
      <c r="J829" s="319"/>
      <c r="K829" s="57"/>
    </row>
    <row r="830" spans="1:11" x14ac:dyDescent="0.2">
      <c r="A830" s="485" t="s">
        <v>188</v>
      </c>
      <c r="B830" s="485"/>
      <c r="C830" s="486" t="str">
        <f>IF(L="EN","Human Machine Interface (MMI) - Operating Principles","Mensch-Maschine-Schnittstelle (MMI) - Bedienungsgrundsätze")</f>
        <v>Human Machine Interface (MMI) - Operating Principles</v>
      </c>
      <c r="D830" s="487"/>
      <c r="E830" s="487"/>
      <c r="F830" s="487"/>
      <c r="G830" s="487"/>
      <c r="H830" s="488"/>
      <c r="I830" s="58"/>
      <c r="J830" s="319"/>
      <c r="K830" s="57"/>
    </row>
    <row r="831" spans="1:11" ht="12.75" customHeight="1" x14ac:dyDescent="0.2">
      <c r="A831" s="485" t="s">
        <v>189</v>
      </c>
      <c r="B831" s="485"/>
      <c r="C831" s="486" t="str">
        <f>IF(L="EN","Protection class by enclosure (IP code)","Schutzarten durch Gehäuse (IP-Code)")</f>
        <v>Protection class by enclosure (IP code)</v>
      </c>
      <c r="D831" s="487"/>
      <c r="E831" s="487"/>
      <c r="F831" s="487"/>
      <c r="G831" s="487"/>
      <c r="H831" s="488"/>
      <c r="I831" s="58"/>
      <c r="J831" s="319"/>
      <c r="K831" s="57"/>
    </row>
    <row r="832" spans="1:11" x14ac:dyDescent="0.2">
      <c r="A832" s="485" t="s">
        <v>190</v>
      </c>
      <c r="B832" s="485"/>
      <c r="C832" s="486" t="str">
        <f>IF(L="EN","Security of machines; Indicators, indicators and controls - Part 1: Requirements for visible, audible and tactile signals","Sicherheit von Maschinen; Anzeigen, Kennzeichen und Bedienen - Teil 1: Anforderungen an sichtbare, hörbare und tastbare Signale")</f>
        <v>Security of machines; Indicators, indicators and controls - Part 1: Requirements for visible, audible and tactile signals</v>
      </c>
      <c r="D832" s="487"/>
      <c r="E832" s="487"/>
      <c r="F832" s="487"/>
      <c r="G832" s="487"/>
      <c r="H832" s="488"/>
      <c r="I832" s="58"/>
      <c r="J832" s="319"/>
      <c r="K832" s="57"/>
    </row>
    <row r="833" spans="1:11" ht="12.75" customHeight="1" x14ac:dyDescent="0.2">
      <c r="A833" s="485" t="s">
        <v>191</v>
      </c>
      <c r="B833" s="485"/>
      <c r="C833" s="486" t="str">
        <f>IF(L="EN","Security of machines; Indicators, marking and operation - Part 2: Requirements for marking","Sicherheit von Maschinen; Anzeigen, Kennzeichen und Bedienen - Teil 2: Anforderungen an die Kennzeichnung")</f>
        <v>Security of machines; Indicators, marking and operation - Part 2: Requirements for marking</v>
      </c>
      <c r="D833" s="487"/>
      <c r="E833" s="487"/>
      <c r="F833" s="487"/>
      <c r="G833" s="487"/>
      <c r="H833" s="488"/>
      <c r="I833" s="58"/>
      <c r="J833" s="319"/>
      <c r="K833" s="57"/>
    </row>
    <row r="834" spans="1:11" ht="12.75" customHeight="1" x14ac:dyDescent="0.2">
      <c r="A834" s="485" t="s">
        <v>192</v>
      </c>
      <c r="B834" s="485"/>
      <c r="C834" s="486" t="str">
        <f>IF(L="EN","Security of machines; Indicators, indicators and controls - Part 3: Requirements for the arrangement and operation of controls","Sicherheit von Maschinen; Anzeigen, Kennzeichen und Bedienen - Teil 3: Anforderungen an die Anordnung und den Betrieb von Bedienteilen ")</f>
        <v>Security of machines; Indicators, indicators and controls - Part 3: Requirements for the arrangement and operation of controls</v>
      </c>
      <c r="D834" s="487"/>
      <c r="E834" s="487"/>
      <c r="F834" s="487"/>
      <c r="G834" s="487"/>
      <c r="H834" s="488"/>
      <c r="I834" s="58"/>
      <c r="J834" s="322"/>
      <c r="K834" s="57"/>
    </row>
    <row r="835" spans="1:11" ht="12.75" customHeight="1" x14ac:dyDescent="0.2">
      <c r="A835" s="485" t="s">
        <v>193</v>
      </c>
      <c r="B835" s="485"/>
      <c r="C835" s="486" t="str">
        <f>IF(L="EN","Contact, foreign body and water protection","Berührungs-, Fremdkörper- und Wasserschutz")</f>
        <v>Contact, foreign body and water protection</v>
      </c>
      <c r="D835" s="487"/>
      <c r="E835" s="487"/>
      <c r="F835" s="487"/>
      <c r="G835" s="487"/>
      <c r="H835" s="488"/>
      <c r="I835" s="58"/>
      <c r="J835" s="322"/>
      <c r="K835" s="57"/>
    </row>
    <row r="836" spans="1:11" ht="12.75" customHeight="1" x14ac:dyDescent="0.2">
      <c r="A836" s="485" t="s">
        <v>194</v>
      </c>
      <c r="B836" s="485"/>
      <c r="C836" s="486" t="str">
        <f>IF(L="EN","General delivery instruction for machine system and production equipment","Allgemeine Liefervorschriften für Maschinen, Anlagen und Fertigungseinrichtungen")</f>
        <v>General delivery instruction for machine system and production equipment</v>
      </c>
      <c r="D836" s="487"/>
      <c r="E836" s="487"/>
      <c r="F836" s="487"/>
      <c r="G836" s="487"/>
      <c r="H836" s="488"/>
      <c r="I836" s="58"/>
      <c r="J836" s="319"/>
      <c r="K836" s="57"/>
    </row>
    <row r="837" spans="1:11" ht="12.75" customHeight="1" x14ac:dyDescent="0.2">
      <c r="A837" s="485" t="s">
        <v>195</v>
      </c>
      <c r="B837" s="485"/>
      <c r="C837" s="486" t="str">
        <f>IF(L="EN","Supply specifications for electrical equipment of machines, plants and production facilities","Liefervorschriften für elektrische Ausrüstung von Maschinen, Anlagen und Fertigungseinrichtungen")</f>
        <v>Supply specifications for electrical equipment of machines, plants and production facilities</v>
      </c>
      <c r="D837" s="487"/>
      <c r="E837" s="487"/>
      <c r="F837" s="487"/>
      <c r="G837" s="487"/>
      <c r="H837" s="488"/>
      <c r="I837" s="58"/>
      <c r="J837" s="319"/>
      <c r="K837" s="57"/>
    </row>
    <row r="838" spans="1:11" ht="12.75" customHeight="1" x14ac:dyDescent="0.2">
      <c r="A838" s="485" t="s">
        <v>196</v>
      </c>
      <c r="B838" s="485"/>
      <c r="C838" s="486" t="str">
        <f>IF(L="EN","Delivery specifications for ESD-compliant production components","Liefervorschriften für ESD-gerechte Fertigungskomponenten")</f>
        <v>Delivery specifications for ESD-compliant production components</v>
      </c>
      <c r="D838" s="487"/>
      <c r="E838" s="487"/>
      <c r="F838" s="487"/>
      <c r="G838" s="487"/>
      <c r="H838" s="488"/>
      <c r="I838" s="58"/>
      <c r="J838" s="319"/>
      <c r="K838" s="57"/>
    </row>
    <row r="839" spans="1:11" ht="12.75" customHeight="1" x14ac:dyDescent="0.2">
      <c r="A839" s="485" t="s">
        <v>197</v>
      </c>
      <c r="B839" s="485"/>
      <c r="C839" s="486" t="str">
        <f>IF(L="EN","Delivery specifications for the hydraulic equipment of machine tools, equipment and production equipment","Liefervorschriften für die hydraulische Ausrüstung von Werkzeugmaschinen, Anlagen und Fertigungseinrichtungen")</f>
        <v>Delivery specifications for the hydraulic equipment of machine tools, equipment and production equipment</v>
      </c>
      <c r="D839" s="487"/>
      <c r="E839" s="487"/>
      <c r="F839" s="487"/>
      <c r="G839" s="487"/>
      <c r="H839" s="488"/>
      <c r="I839" s="58"/>
      <c r="J839" s="319"/>
      <c r="K839" s="57"/>
    </row>
    <row r="840" spans="1:11" ht="12.75" customHeight="1" x14ac:dyDescent="0.2">
      <c r="A840" s="485" t="s">
        <v>198</v>
      </c>
      <c r="B840" s="485"/>
      <c r="C840" s="486" t="str">
        <f>IF(L="EN","Delivery specifications for the pneumatic equipment of machine tools, equipment and production equipment","Liefervorschriften für die pneumatische Ausrüstung von Werkzeugmaschinen, Anlagen und Fertigungseinrichtungen")</f>
        <v>Delivery specifications for the pneumatic equipment of machine tools, equipment and production equipment</v>
      </c>
      <c r="D840" s="487"/>
      <c r="E840" s="487"/>
      <c r="F840" s="487"/>
      <c r="G840" s="487"/>
      <c r="H840" s="488"/>
      <c r="I840" s="58"/>
      <c r="J840" s="319"/>
      <c r="K840" s="57"/>
    </row>
    <row r="841" spans="1:11" ht="12.75" customHeight="1" x14ac:dyDescent="0.2">
      <c r="A841" s="485" t="s">
        <v>417</v>
      </c>
      <c r="B841" s="485"/>
      <c r="C841" s="486" t="str">
        <f>IF(L="EN","IT Safety of machinery, equipment and manufacturing facilities (MAE)","IT Sicherheit von Maschinen, Anlagen und Fertigungseinrichtungen (MAE)")</f>
        <v>IT Safety of machinery, equipment and manufacturing facilities (MAE)</v>
      </c>
      <c r="D841" s="487"/>
      <c r="E841" s="487"/>
      <c r="F841" s="487"/>
      <c r="G841" s="487"/>
      <c r="H841" s="488"/>
      <c r="I841" s="58"/>
      <c r="J841" s="319"/>
      <c r="K841" s="57"/>
    </row>
    <row r="842" spans="1:11" ht="12.75" customHeight="1" x14ac:dyDescent="0.2">
      <c r="A842" s="497" t="s">
        <v>199</v>
      </c>
      <c r="B842" s="498"/>
      <c r="C842" s="486" t="str">
        <f>IF(L="EN","Control technology, electrical electronics; E-CAD; Design and design rules","Steuerungstechnik, Elektrik-Elektronik; E-CAD; Gestaltungs- und Bezeichnungsregeln")</f>
        <v>Control technology, electrical electronics; E-CAD; Design and design rules</v>
      </c>
      <c r="D842" s="487"/>
      <c r="E842" s="487"/>
      <c r="F842" s="487"/>
      <c r="G842" s="487"/>
      <c r="H842" s="488"/>
      <c r="I842" s="58"/>
      <c r="J842" s="319"/>
      <c r="K842" s="57"/>
    </row>
    <row r="843" spans="1:11" ht="12.75" customHeight="1" x14ac:dyDescent="0.2">
      <c r="A843" s="486" t="s">
        <v>200</v>
      </c>
      <c r="B843" s="488"/>
      <c r="C843" s="486" t="str">
        <f>IF(L="EN","Work system design","Arbeitssystem Design")</f>
        <v>Work system design</v>
      </c>
      <c r="D843" s="487"/>
      <c r="E843" s="487"/>
      <c r="F843" s="487"/>
      <c r="G843" s="487"/>
      <c r="H843" s="488"/>
      <c r="I843" s="58"/>
      <c r="J843" s="319"/>
      <c r="K843" s="57"/>
    </row>
    <row r="844" spans="1:11" ht="12.75" customHeight="1" x14ac:dyDescent="0.2">
      <c r="A844" s="486" t="s">
        <v>201</v>
      </c>
      <c r="B844" s="488"/>
      <c r="C844" s="486" t="str">
        <f>IF(L="EN","Work, fire and environmental protection; Adjuster key switch; safety standard","Arbeits-, Brand- und Umweltschutz; Einstellerschlüsselschalter; Sicherheitsstandard")</f>
        <v>Work, fire and environmental protection; Adjuster key switch; safety standard</v>
      </c>
      <c r="D844" s="487"/>
      <c r="E844" s="487"/>
      <c r="F844" s="487"/>
      <c r="G844" s="487"/>
      <c r="H844" s="488"/>
      <c r="I844" s="58"/>
      <c r="J844" s="322"/>
      <c r="K844" s="57"/>
    </row>
    <row r="845" spans="1:11" x14ac:dyDescent="0.2">
      <c r="A845" s="485" t="s">
        <v>202</v>
      </c>
      <c r="B845" s="485"/>
      <c r="C845" s="486" t="str">
        <f>IF(L="EN","Guidelines for the design and evaluation of VDU workstations","Leitfaden zur Gestaltung und Beurteilung von Bildschirmarbeitsplätzen")</f>
        <v>Guidelines for the design and evaluation of VDU workstations</v>
      </c>
      <c r="D845" s="487"/>
      <c r="E845" s="487"/>
      <c r="F845" s="487"/>
      <c r="G845" s="487"/>
      <c r="H845" s="488"/>
      <c r="I845" s="58"/>
      <c r="J845" s="322"/>
      <c r="K845" s="57"/>
    </row>
    <row r="846" spans="1:11" ht="12.75" customHeight="1" x14ac:dyDescent="0.2">
      <c r="A846" s="485" t="s">
        <v>203</v>
      </c>
      <c r="B846" s="485"/>
      <c r="C846" s="486" t="str">
        <f>IF(L="EN","Statistical examination of the working and positioning accuracy of machine tools - basics","Statistische Prüfung der Arbeits- und Positionsgenauigkeit von Werkzeugmaschinen - Grundlagen")</f>
        <v>Statistical examination of the working and positioning accuracy of machine tools - basics</v>
      </c>
      <c r="D846" s="487"/>
      <c r="E846" s="487"/>
      <c r="F846" s="487"/>
      <c r="G846" s="487"/>
      <c r="H846" s="488"/>
      <c r="I846" s="58"/>
      <c r="J846" s="322"/>
      <c r="K846" s="57"/>
    </row>
    <row r="847" spans="1:11" ht="12.75" customHeight="1" x14ac:dyDescent="0.2">
      <c r="A847" s="485" t="s">
        <v>204</v>
      </c>
      <c r="B847" s="485"/>
      <c r="C847" s="486" t="str">
        <f>IF(L="EN","Statistical test of the working accuracy of lathes","Statistische Prüfung der Arbeitsgenauigkeit von Drehmaschinen")</f>
        <v>Statistical test of the working accuracy of lathes</v>
      </c>
      <c r="D847" s="487"/>
      <c r="E847" s="487"/>
      <c r="F847" s="487"/>
      <c r="G847" s="487"/>
      <c r="H847" s="488"/>
      <c r="I847" s="58"/>
      <c r="J847" s="319"/>
      <c r="K847" s="57"/>
    </row>
    <row r="848" spans="1:11" ht="12.75" customHeight="1" x14ac:dyDescent="0.2">
      <c r="A848" s="485" t="s">
        <v>205</v>
      </c>
      <c r="B848" s="485"/>
      <c r="C848" s="486" t="str">
        <f>IF(L="EN","Statistical test of the working accuracy of milling machines","Statistische Prüfung der Arbeitsgenauigkeit von Fräsmaschinen")</f>
        <v>Statistical test of the working accuracy of milling machines</v>
      </c>
      <c r="D848" s="487"/>
      <c r="E848" s="487"/>
      <c r="F848" s="487"/>
      <c r="G848" s="487"/>
      <c r="H848" s="488"/>
      <c r="I848" s="58"/>
      <c r="J848" s="323"/>
      <c r="K848" s="57"/>
    </row>
    <row r="849" spans="1:11" ht="12.75" customHeight="1" x14ac:dyDescent="0.2">
      <c r="A849" s="485" t="s">
        <v>206</v>
      </c>
      <c r="B849" s="485"/>
      <c r="C849" s="486" t="str">
        <f>IF(L="EN","Statistical test of the working and positioning accuracy of coordinate drilling machines and processing centers","Statistische Prüfung der Arbeits- und Positionsgenauigkeit von Koordinaten-Bohrmaschinen und Bearbeitungszentren")</f>
        <v>Statistical test of the working and positioning accuracy of coordinate drilling machines and processing centers</v>
      </c>
      <c r="D849" s="487"/>
      <c r="E849" s="487"/>
      <c r="F849" s="487"/>
      <c r="G849" s="487"/>
      <c r="H849" s="488"/>
      <c r="I849" s="58"/>
      <c r="J849" s="319"/>
      <c r="K849" s="57"/>
    </row>
    <row r="850" spans="1:11" x14ac:dyDescent="0.2">
      <c r="A850" s="485" t="s">
        <v>207</v>
      </c>
      <c r="B850" s="485"/>
      <c r="C850" s="486" t="str">
        <f>IF(L="EN","Statistical test of the working accuracy of grinding machine bases","Statistische Prüfung der Arbeitsgenauigkeit von Schleifmaschinen - Grundlagen")</f>
        <v>Statistical test of the working accuracy of grinding machine bases</v>
      </c>
      <c r="D850" s="487"/>
      <c r="E850" s="487"/>
      <c r="F850" s="487"/>
      <c r="G850" s="487"/>
      <c r="H850" s="488"/>
      <c r="I850" s="58"/>
      <c r="J850" s="319"/>
      <c r="K850" s="57"/>
    </row>
    <row r="851" spans="1:11" ht="22.5" customHeight="1" x14ac:dyDescent="0.2">
      <c r="A851" s="485" t="s">
        <v>208</v>
      </c>
      <c r="B851" s="485"/>
      <c r="C851" s="486" t="str">
        <f>IF(L="EN","Statistical test of the working accuracy of grinding machines - external ground grinding machines with centering tips","Statistische Prüfung der Arbeitsgenauigkeit von Schleifmaschinen - Außenrundschleifmaschinen mit Zentrierspitzen")</f>
        <v>Statistical test of the working accuracy of grinding machines - external ground grinding machines with centering tips</v>
      </c>
      <c r="D851" s="487"/>
      <c r="E851" s="487"/>
      <c r="F851" s="487"/>
      <c r="G851" s="487"/>
      <c r="H851" s="488"/>
      <c r="I851" s="58"/>
      <c r="J851" s="319"/>
      <c r="K851" s="57"/>
    </row>
    <row r="852" spans="1:11" x14ac:dyDescent="0.2">
      <c r="A852" s="485" t="s">
        <v>209</v>
      </c>
      <c r="B852" s="485"/>
      <c r="C852" s="486" t="str">
        <f>IF(L="EN","Statistical test of the working accuracy of grinding machines - Topless ground grinding machines","Statistische Prüfung der Arbeitsgenauigkeit von Schleifmaschinen - Spitzenlose Außenrundschleifmaschinen")</f>
        <v>Statistical test of the working accuracy of grinding machines - Topless ground grinding machines</v>
      </c>
      <c r="D852" s="487"/>
      <c r="E852" s="487"/>
      <c r="F852" s="487"/>
      <c r="G852" s="487"/>
      <c r="H852" s="488"/>
      <c r="I852" s="58"/>
      <c r="J852" s="319"/>
      <c r="K852" s="57"/>
    </row>
    <row r="853" spans="1:11" x14ac:dyDescent="0.2">
      <c r="A853" s="485" t="s">
        <v>210</v>
      </c>
      <c r="B853" s="485"/>
      <c r="C853" s="486" t="str">
        <f>IF(L="EN","Statistical test of the working accuracy of grinding machines - internal grinding machines","Statistische Prüfung der Arbeitsgenauigkeit von Schleifmaschinen - Innenschleifmaschinen")</f>
        <v>Statistical test of the working accuracy of grinding machines - internal grinding machines</v>
      </c>
      <c r="D853" s="487"/>
      <c r="E853" s="487"/>
      <c r="F853" s="487"/>
      <c r="G853" s="487"/>
      <c r="H853" s="488"/>
      <c r="I853" s="58"/>
      <c r="J853" s="319"/>
      <c r="K853" s="57"/>
    </row>
    <row r="854" spans="1:11" ht="12.75" customHeight="1" x14ac:dyDescent="0.2">
      <c r="A854" s="485" t="s">
        <v>211</v>
      </c>
      <c r="B854" s="485"/>
      <c r="C854" s="486" t="str">
        <f>IF(L="EN","Statistical test of the working accuracy of grinding machines - flat grinding machines with movable rectangular table and horizontal grinding spindle","Statistische Prüfung der Arbeitsgenauigkeit von Schleifmaschinen - Flachschleifmaschinen mit beweglichem Rechtecktisch und waagerechter Schleifspindel")</f>
        <v>Statistical test of the working accuracy of grinding machines - flat grinding machines with movable rectangular table and horizontal grinding spindle</v>
      </c>
      <c r="D854" s="487"/>
      <c r="E854" s="487"/>
      <c r="F854" s="487"/>
      <c r="G854" s="487"/>
      <c r="H854" s="488"/>
      <c r="I854" s="58"/>
      <c r="J854" s="319"/>
      <c r="K854" s="57"/>
    </row>
    <row r="855" spans="1:11" ht="12.75" customHeight="1" x14ac:dyDescent="0.2">
      <c r="A855" s="485" t="s">
        <v>212</v>
      </c>
      <c r="B855" s="485"/>
      <c r="C855" s="486" t="str">
        <f>IF(L="EN","Security of machines; Basic concepts, general design principles; Part 1: Basic terminology, methodology","Sicherheit von Maschinen; Grundbegriffe, allgemeine Gestaltungsleitsätze; Teil 1: Grundsätzliche Terminologie, Methodologie")</f>
        <v>Security of machines; Basic concepts, general design principles; Part 1: Basic terminology, methodology</v>
      </c>
      <c r="D855" s="487"/>
      <c r="E855" s="487"/>
      <c r="F855" s="487"/>
      <c r="G855" s="487"/>
      <c r="H855" s="488"/>
      <c r="I855" s="58"/>
      <c r="J855" s="319"/>
      <c r="K855" s="57"/>
    </row>
    <row r="856" spans="1:11" ht="12.75" customHeight="1" x14ac:dyDescent="0.2">
      <c r="A856" s="485" t="s">
        <v>212</v>
      </c>
      <c r="B856" s="485"/>
      <c r="C856" s="486" t="str">
        <f>IF(L="EN","Security of machines; Basic concepts, general design principles; Part 2: Technical Guidelines","Sicherheit von Maschinen; Grundbegriffe, allgemeine Gestaltungsleitsätze; Teil 2: Technische Leitsätze")</f>
        <v>Security of machines; Basic concepts, general design principles; Part 2: Technical Guidelines</v>
      </c>
      <c r="D856" s="487"/>
      <c r="E856" s="487"/>
      <c r="F856" s="487"/>
      <c r="G856" s="487"/>
      <c r="H856" s="488"/>
      <c r="I856" s="58"/>
      <c r="J856" s="319"/>
      <c r="K856" s="57"/>
    </row>
    <row r="857" spans="1:11" ht="12.75" customHeight="1" x14ac:dyDescent="0.2">
      <c r="A857" s="485" t="s">
        <v>213</v>
      </c>
      <c r="B857" s="485"/>
      <c r="C857" s="486" t="str">
        <f>IF(L="EN","Security of machines; Safety distances against the reaching of danger points with the upper limbs","Sicherheit von Maschinen; Sicherheitsabstände gegen das Erreichen von Gefahrstellen mit den oberen Gliedmaßen")</f>
        <v>Security of machines; Safety distances against the reaching of danger points with the upper limbs</v>
      </c>
      <c r="D857" s="487"/>
      <c r="E857" s="487"/>
      <c r="F857" s="487"/>
      <c r="G857" s="487"/>
      <c r="H857" s="488"/>
      <c r="I857" s="58"/>
      <c r="J857" s="319"/>
      <c r="K857" s="57"/>
    </row>
    <row r="858" spans="1:11" ht="12.75" customHeight="1" x14ac:dyDescent="0.2">
      <c r="A858" s="485" t="s">
        <v>214</v>
      </c>
      <c r="B858" s="485"/>
      <c r="C858" s="486" t="str">
        <f>IF(L="EN","Security of machines; Minimum distances to avoid crushing of body parts
In addition, Part 1 - 4 is available for injection molding machines","Sicherheit von Maschinen; Mindestabstände zur Vermeidung des Quetschens von Körperteilen
zusätzlich ist Teil 1 - 4 für Spritzgießmaschinen verfügbar")</f>
        <v>Security of machines; Minimum distances to avoid crushing of body parts
In addition, Part 1 - 4 is available for injection molding machines</v>
      </c>
      <c r="D858" s="487"/>
      <c r="E858" s="487"/>
      <c r="F858" s="487"/>
      <c r="G858" s="487"/>
      <c r="H858" s="488"/>
      <c r="I858" s="58"/>
      <c r="J858" s="319"/>
      <c r="K858" s="57"/>
    </row>
    <row r="859" spans="1:11" x14ac:dyDescent="0.2">
      <c r="A859" s="485" t="s">
        <v>215</v>
      </c>
      <c r="B859" s="485"/>
      <c r="C859" s="486" t="str">
        <f>IF(L="EN","Security of machines; EMERGENCY STOP design principles, facilities, functional aspects","Sicherheit von Maschinen; NOT-Halt-Gestaltungsleitsätze, Einrichtungen, funktionelle Aspekte ")</f>
        <v>Security of machines; EMERGENCY STOP design principles, facilities, functional aspects</v>
      </c>
      <c r="D859" s="487"/>
      <c r="E859" s="487"/>
      <c r="F859" s="487"/>
      <c r="G859" s="487"/>
      <c r="H859" s="488"/>
      <c r="I859" s="58"/>
      <c r="J859" s="319"/>
      <c r="K859" s="57"/>
    </row>
    <row r="860" spans="1:11" ht="12.75" customHeight="1" x14ac:dyDescent="0.2">
      <c r="A860" s="485" t="s">
        <v>216</v>
      </c>
      <c r="B860" s="485"/>
      <c r="C860" s="486" t="str">
        <f>IF(L="EN","Security of machines; Acoustic Hazard Signals, General Requirements, Design and Testing","Sicherheit von Maschinen; Akustische Gefahrensignale, Allgemeine Anforderungen, Gestaltung und Prüfung")</f>
        <v>Security of machines; Acoustic Hazard Signals, General Requirements, Design and Testing</v>
      </c>
      <c r="D860" s="487"/>
      <c r="E860" s="487"/>
      <c r="F860" s="487"/>
      <c r="G860" s="487"/>
      <c r="H860" s="488"/>
      <c r="I860" s="58"/>
      <c r="J860" s="319"/>
      <c r="K860" s="57"/>
    </row>
    <row r="861" spans="1:11" ht="12.75" customHeight="1" x14ac:dyDescent="0.2">
      <c r="A861" s="485" t="s">
        <v>217</v>
      </c>
      <c r="B861" s="485"/>
      <c r="C861" s="486" t="str">
        <f>IF(L="EN","Security of machines; Temperatures of touchable surfaces, ergonomic data for setting temperature limits for hot surfaces","Sicherheit von Maschinen; Temperaturen berührbarer Oberflächen, Ergonomische Daten zur Festlegung von Temperaturgrenzwerten für heiße Oberflächen")</f>
        <v>Security of machines; Temperatures of touchable surfaces, ergonomic data for setting temperature limits for hot surfaces</v>
      </c>
      <c r="D861" s="487"/>
      <c r="E861" s="487"/>
      <c r="F861" s="487"/>
      <c r="G861" s="487"/>
      <c r="H861" s="488"/>
      <c r="I861" s="58"/>
      <c r="J861" s="319"/>
      <c r="K861" s="57"/>
    </row>
    <row r="862" spans="1:11" ht="12.75" customHeight="1" x14ac:dyDescent="0.2">
      <c r="A862" s="485" t="s">
        <v>218</v>
      </c>
      <c r="B862" s="485"/>
      <c r="C862" s="486" t="str">
        <f>IF(L="EN","Safety of machinery: Ergonomic design principles - Part 1: Terms and general principles","Sicherheit von Maschinen: Ergonomische Gestaltungsgrundsätze - Teil 1: Begriffe und allgemeine Leitsätze")</f>
        <v>Safety of machinery: Ergonomic design principles - Part 1: Terms and general principles</v>
      </c>
      <c r="D862" s="487"/>
      <c r="E862" s="487"/>
      <c r="F862" s="487"/>
      <c r="G862" s="487"/>
      <c r="H862" s="488"/>
      <c r="I862" s="58"/>
      <c r="J862" s="322"/>
      <c r="K862" s="57"/>
    </row>
    <row r="863" spans="1:11" ht="12.75" customHeight="1" x14ac:dyDescent="0.2">
      <c r="A863" s="485" t="s">
        <v>219</v>
      </c>
      <c r="B863" s="485"/>
      <c r="C863" s="486" t="str">
        <f>IF(L="EN","Security of machines; Reduction of the health risks caused by machines which are caused by machines","Sicherheit von Maschinen; Reduzierung des Gesundheitsrisikos durch Gefahrstoffe, die von Maschinen ausgehen")</f>
        <v>Security of machines; Reduction of the health risks caused by machines which are caused by machines</v>
      </c>
      <c r="D863" s="487"/>
      <c r="E863" s="487"/>
      <c r="F863" s="487"/>
      <c r="G863" s="487"/>
      <c r="H863" s="488"/>
      <c r="I863" s="58"/>
      <c r="J863" s="319"/>
      <c r="K863" s="57"/>
    </row>
    <row r="864" spans="1:11" x14ac:dyDescent="0.2">
      <c r="A864" s="485" t="s">
        <v>220</v>
      </c>
      <c r="B864" s="485"/>
      <c r="C864" s="486" t="str">
        <f>IF(L="EN","Industrial robots; safety","Industrieroboter; Sicherheit")</f>
        <v>Industrial robots; safety</v>
      </c>
      <c r="D864" s="487"/>
      <c r="E864" s="487"/>
      <c r="F864" s="487"/>
      <c r="G864" s="487"/>
      <c r="H864" s="488"/>
      <c r="I864" s="58"/>
      <c r="J864" s="319"/>
      <c r="K864" s="57"/>
    </row>
    <row r="865" spans="1:15" ht="12.75" customHeight="1" x14ac:dyDescent="0.2">
      <c r="A865" s="485" t="s">
        <v>221</v>
      </c>
      <c r="B865" s="485"/>
      <c r="C865" s="486" t="str">
        <f>IF(L="EN","Security of machines; Safety related parts of control systems - Part 1: General design principles","Sicherheit von Maschinen; Sicherheitsbezogene Teile von Steuerungen - Teil 1: Allgemeine Gestaltungsleitsätze")</f>
        <v>Security of machines; Safety related parts of control systems - Part 1: General design principles</v>
      </c>
      <c r="D865" s="487"/>
      <c r="E865" s="487"/>
      <c r="F865" s="487"/>
      <c r="G865" s="487"/>
      <c r="H865" s="488"/>
      <c r="I865" s="58"/>
      <c r="J865" s="319"/>
      <c r="K865" s="57"/>
    </row>
    <row r="866" spans="1:15" ht="12.75" customHeight="1" thickBot="1" x14ac:dyDescent="0.25">
      <c r="A866" s="485" t="s">
        <v>222</v>
      </c>
      <c r="B866" s="485"/>
      <c r="C866" s="486" t="str">
        <f>IF(L="EN","Security of machines; Avoid unexpected start-up","Sicherheit von Maschinen; Vermeidung von unerwartetem Anlauf")</f>
        <v>Security of machines; Avoid unexpected start-up</v>
      </c>
      <c r="D866" s="487"/>
      <c r="E866" s="487"/>
      <c r="F866" s="487"/>
      <c r="G866" s="487"/>
      <c r="H866" s="488"/>
      <c r="I866" s="58"/>
      <c r="J866" s="319"/>
      <c r="K866" s="57"/>
    </row>
    <row r="867" spans="1:15" s="71" customFormat="1" ht="19.5" customHeight="1" x14ac:dyDescent="0.2">
      <c r="A867" s="419"/>
      <c r="B867" s="420"/>
      <c r="C867" s="423" t="str">
        <f>IF(L="EN","C/MPE Acceptance Report","C/MPE Abnahmeprotokoll")</f>
        <v>C/MPE Acceptance Report</v>
      </c>
      <c r="D867" s="423"/>
      <c r="E867" s="423"/>
      <c r="F867" s="424"/>
      <c r="G867" s="136" t="str">
        <f>IF(L="EN","Issue:","Ausgabe")</f>
        <v>Issue:</v>
      </c>
      <c r="H867" s="154" t="str">
        <f>IF(L="EN","Page","Blatt")</f>
        <v>Page</v>
      </c>
      <c r="I867" s="58"/>
      <c r="N867" s="331"/>
      <c r="O867" s="331"/>
    </row>
    <row r="868" spans="1:15" s="71" customFormat="1" ht="19.5" customHeight="1" thickBot="1" x14ac:dyDescent="0.25">
      <c r="A868" s="421"/>
      <c r="B868" s="422"/>
      <c r="C868" s="425"/>
      <c r="D868" s="425"/>
      <c r="E868" s="425"/>
      <c r="F868" s="426"/>
      <c r="G868" s="350" t="s">
        <v>433</v>
      </c>
      <c r="H868" s="156" t="s">
        <v>415</v>
      </c>
      <c r="I868" s="58"/>
      <c r="N868" s="331"/>
      <c r="O868" s="331"/>
    </row>
    <row r="869" spans="1:15" s="71" customFormat="1" ht="13.5" customHeight="1" thickBot="1" x14ac:dyDescent="0.25">
      <c r="A869" s="167" t="str">
        <f>IF(L="EN","section","Kapitel")</f>
        <v>section</v>
      </c>
      <c r="B869" s="427" t="str">
        <f>IF(L="EN","items to be checked","Prüfmerkmale")</f>
        <v>items to be checked</v>
      </c>
      <c r="C869" s="427"/>
      <c r="D869" s="168" t="s">
        <v>17</v>
      </c>
      <c r="E869" s="169" t="s">
        <v>18</v>
      </c>
      <c r="F869" s="170" t="s">
        <v>19</v>
      </c>
      <c r="G869" s="428" t="str">
        <f>IF(L="EN","remark","Bemerkung")</f>
        <v>remark</v>
      </c>
      <c r="H869" s="428"/>
      <c r="I869" s="58"/>
      <c r="N869" s="331"/>
      <c r="O869" s="331"/>
    </row>
    <row r="870" spans="1:15" s="71" customFormat="1" ht="13.5" customHeight="1" x14ac:dyDescent="0.2">
      <c r="A870" s="171"/>
      <c r="B870" s="172"/>
      <c r="C870" s="172"/>
      <c r="D870" s="173"/>
      <c r="E870" s="174"/>
      <c r="F870" s="175"/>
      <c r="G870" s="176"/>
      <c r="H870" s="176"/>
      <c r="I870" s="58"/>
      <c r="N870" s="331"/>
      <c r="O870" s="331"/>
    </row>
    <row r="871" spans="1:15" ht="12.75" customHeight="1" x14ac:dyDescent="0.2">
      <c r="A871" s="485" t="s">
        <v>212</v>
      </c>
      <c r="B871" s="485"/>
      <c r="C871" s="486" t="str">
        <f>IF(L="EN","Security of machines; Guidelines for risk assessment","Sicherheit von Maschinen; Leitsätze zur Risikobeurteilung")</f>
        <v>Security of machines; Guidelines for risk assessment</v>
      </c>
      <c r="D871" s="487"/>
      <c r="E871" s="487"/>
      <c r="F871" s="487"/>
      <c r="G871" s="487"/>
      <c r="H871" s="488"/>
      <c r="I871" s="58"/>
      <c r="J871" s="319"/>
      <c r="K871" s="57"/>
    </row>
    <row r="872" spans="1:15" ht="12.75" customHeight="1" x14ac:dyDescent="0.2">
      <c r="A872" s="485" t="s">
        <v>223</v>
      </c>
      <c r="B872" s="485"/>
      <c r="C872" s="486" t="str">
        <f>IF(L="EN","Security of machines; Locking devices in conjunction with separate protective devices","Sicherheit von Maschinen; Verriegelungseinrichtungen in Verbindung mit trennenden Schutzeinrichtungen")</f>
        <v>Security of machines; Locking devices in conjunction with separate protective devices</v>
      </c>
      <c r="D872" s="487"/>
      <c r="E872" s="487"/>
      <c r="F872" s="487"/>
      <c r="G872" s="487"/>
      <c r="H872" s="488"/>
      <c r="I872" s="58"/>
      <c r="J872" s="319"/>
      <c r="K872" s="57"/>
    </row>
    <row r="873" spans="1:15" ht="12.75" customHeight="1" x14ac:dyDescent="0.2">
      <c r="A873" s="497" t="s">
        <v>224</v>
      </c>
      <c r="B873" s="498"/>
      <c r="C873" s="486" t="str">
        <f>IF(L="EN","Rotating electrical machines - Part 30: Efficiency classification of three-phase motors with cage rotors except for pole-changing motors (IE code) (IEC 60034-30: 2008); English version EN 60034-30: 2009","Drehende elektrische Maschinen - Teil 30: Wirkungsgrad-Klassifizierung von Drehstrommotoren mit Käfigläufern, ausgenommen polumschaltbare Motoren (IE-Code) (IEC 60034-30:2008); Deutsche Fassung EN 60034-30:2009")</f>
        <v>Rotating electrical machines - Part 30: Efficiency classification of three-phase motors with cage rotors except for pole-changing motors (IE code) (IEC 60034-30: 2008); English version EN 60034-30: 2009</v>
      </c>
      <c r="D873" s="487"/>
      <c r="E873" s="487"/>
      <c r="F873" s="487"/>
      <c r="G873" s="487"/>
      <c r="H873" s="488"/>
      <c r="I873" s="58"/>
      <c r="J873" s="319"/>
      <c r="K873" s="57"/>
    </row>
    <row r="874" spans="1:15" x14ac:dyDescent="0.2">
      <c r="A874" s="497" t="s">
        <v>225</v>
      </c>
      <c r="B874" s="498"/>
      <c r="C874" s="486" t="str">
        <f>IF(L="EN","Industrial systems, systems and equipment and industrial products - Structuring principles and reference marking - Part 2: Classification of objects and identification letters of classes (IEC 81346-2: 2009); English version EN 81346-2: 2009","Industrielle Systeme, Anlagen und Ausrüstungen und Industrieprodukte - Strukturierungsprinzipien und Referenzkennzeichnung - Teil 2: Klassifizierung von Objekten und Kennbuchstaben von Klassen (IEC 81346-2:2009); Deutsche Fassung EN 81346-2:2009")</f>
        <v>Industrial systems, systems and equipment and industrial products - Structuring principles and reference marking - Part 2: Classification of objects and identification letters of classes (IEC 81346-2: 2009); English version EN 81346-2: 2009</v>
      </c>
      <c r="D874" s="487"/>
      <c r="E874" s="487"/>
      <c r="F874" s="487"/>
      <c r="G874" s="487"/>
      <c r="H874" s="488"/>
      <c r="I874" s="58"/>
      <c r="J874" s="319"/>
      <c r="K874" s="57"/>
    </row>
    <row r="875" spans="1:15" ht="12.75" customHeight="1" x14ac:dyDescent="0.2">
      <c r="A875" s="497" t="s">
        <v>226</v>
      </c>
      <c r="B875" s="498"/>
      <c r="C875" s="486" t="str">
        <f>IF(L="EN","Safety of machinery - Safety related parts of control systems - Part 2: Validation (ISO 13849-2: 2003); English version EN ISO 13849-2: 2008","Sicherheit von Maschinen - Sicherheitsbezogene Teile von Steuerungen - Teil 2: Validierung (ISO 13849-2:2003); Deutsche Fassung EN ISO 13849-2:2008")</f>
        <v>Safety of machinery - Safety related parts of control systems - Part 2: Validation (ISO 13849-2: 2003); English version EN ISO 13849-2: 2008</v>
      </c>
      <c r="D875" s="487"/>
      <c r="E875" s="487"/>
      <c r="F875" s="487"/>
      <c r="G875" s="487"/>
      <c r="H875" s="488"/>
      <c r="I875" s="58"/>
      <c r="J875" s="319"/>
      <c r="K875" s="57"/>
    </row>
    <row r="876" spans="1:15" ht="12.75" customHeight="1" x14ac:dyDescent="0.2">
      <c r="A876" s="497" t="s">
        <v>227</v>
      </c>
      <c r="B876" s="498"/>
      <c r="C876" s="486" t="str">
        <f>IF(L="EN","Precision steel tubes - Technical delivery conditions - Part 1: Seamless cold drawn pipes; English version EN 10305-1: 2010","Präzisionsstahlrohre - Technische Lieferbedingungen - Teil 1: Nahtlose kaltgezogene Rohre; Deutsche Fassung EN 10305-1:2010")</f>
        <v>Precision steel tubes - Technical delivery conditions - Part 1: Seamless cold drawn pipes; English version EN 10305-1: 2010</v>
      </c>
      <c r="D876" s="487"/>
      <c r="E876" s="487"/>
      <c r="F876" s="487"/>
      <c r="G876" s="487"/>
      <c r="H876" s="488"/>
      <c r="I876" s="58"/>
      <c r="J876" s="322"/>
      <c r="K876" s="57"/>
    </row>
    <row r="877" spans="1:15" x14ac:dyDescent="0.2">
      <c r="A877" s="497" t="s">
        <v>228</v>
      </c>
      <c r="B877" s="498"/>
      <c r="C877" s="486" t="str">
        <f>IF(L="EN","Solderless pipe fittings with cutting ring - Complete screw connection and overview","Lötlose Rohrverschraubungen mit Schneidring - Vollständige Verschraubung und Übersicht")</f>
        <v>Solderless pipe fittings with cutting ring - Complete screw connection and overview</v>
      </c>
      <c r="D877" s="487"/>
      <c r="E877" s="487"/>
      <c r="F877" s="487"/>
      <c r="G877" s="487"/>
      <c r="H877" s="488"/>
      <c r="I877" s="58"/>
      <c r="J877" s="319"/>
      <c r="K877" s="57"/>
    </row>
    <row r="878" spans="1:15" ht="12.75" customHeight="1" x14ac:dyDescent="0.2">
      <c r="A878" s="497" t="s">
        <v>229</v>
      </c>
      <c r="B878" s="498"/>
      <c r="C878" s="486" t="str">
        <f>IF(L="EN","Metallic pipe fittings for fluid technology and general application - Part 1: Fittings with 24 ° cone (ISO 8434-1: 2007); English version EN ISO 8434-1: 2007","Metallische Rohrverschraubungen für Fluidtechnik und allgemeine Anwendung - Teil 1: Verschraubungen mit 24°-Konus (ISO 8434-1:2007); Deutsche Fassung EN ISO 8434-1:2007")</f>
        <v>Metallic pipe fittings for fluid technology and general application - Part 1: Fittings with 24 ° cone (ISO 8434-1: 2007); English version EN ISO 8434-1: 2007</v>
      </c>
      <c r="D878" s="487"/>
      <c r="E878" s="487"/>
      <c r="F878" s="487"/>
      <c r="G878" s="487"/>
      <c r="H878" s="488"/>
      <c r="I878" s="58"/>
      <c r="J878" s="319"/>
      <c r="K878" s="57"/>
    </row>
    <row r="879" spans="1:15" ht="12.75" customHeight="1" x14ac:dyDescent="0.2">
      <c r="A879" s="497" t="s">
        <v>230</v>
      </c>
      <c r="B879" s="498"/>
      <c r="C879" s="486" t="str">
        <f>IF(L="EN","Fluid technology - 4-way hydraulic valves - mounting surfaces","Fluidtechnik - 4-Wege-Hydroventile - Befestigungsflächen")</f>
        <v>Fluid technology - 4-way hydraulic valves - mounting surfaces</v>
      </c>
      <c r="D879" s="487"/>
      <c r="E879" s="487"/>
      <c r="F879" s="487"/>
      <c r="G879" s="487"/>
      <c r="H879" s="488"/>
      <c r="I879" s="58"/>
      <c r="J879" s="319"/>
      <c r="K879" s="57"/>
    </row>
    <row r="880" spans="1:15" x14ac:dyDescent="0.2">
      <c r="A880" s="497" t="s">
        <v>231</v>
      </c>
      <c r="B880" s="498"/>
      <c r="C880" s="486" t="str">
        <f>IF(L="EN","Fluid technology - Hydraulic pressure relief valves - Mounting surfaces","Fluidtechnik - Hydraulik-Druckbegrenzungsventile - Befestigungsflächen")</f>
        <v>Fluid technology - Hydraulic pressure relief valves - Mounting surfaces</v>
      </c>
      <c r="D880" s="487"/>
      <c r="E880" s="487"/>
      <c r="F880" s="487"/>
      <c r="G880" s="487"/>
      <c r="H880" s="488"/>
      <c r="I880" s="58"/>
      <c r="J880" s="319"/>
      <c r="K880" s="57"/>
    </row>
    <row r="881" spans="1:11" x14ac:dyDescent="0.2">
      <c r="A881" s="497" t="s">
        <v>232</v>
      </c>
      <c r="B881" s="498"/>
      <c r="C881" s="486" t="str">
        <f>IF(L="EN","Fluid technology - Flow control valves - Mounting surfaces","Fluidtechnik - Stromregelventile - Befestigungsflächen")</f>
        <v>Fluid technology - Flow control valves - Mounting surfaces</v>
      </c>
      <c r="D881" s="487"/>
      <c r="E881" s="487"/>
      <c r="F881" s="487"/>
      <c r="G881" s="487"/>
      <c r="H881" s="488"/>
      <c r="I881" s="58"/>
      <c r="J881" s="319"/>
      <c r="K881" s="57"/>
    </row>
    <row r="882" spans="1:11" ht="12.75" customHeight="1" x14ac:dyDescent="0.2">
      <c r="A882" s="497" t="s">
        <v>233</v>
      </c>
      <c r="B882" s="498"/>
      <c r="C882" s="486" t="str">
        <f>IF(L="EN","Hydraulic fluid hydraulics - Pressure valves (excluding pressure relief valves), follow-up valves, relief valves, throttle valves and check valves - mounting surfaces","Fluidtechnik-Hydraulik - Druckventile (ausgenommen Druckbegrenzungsventile), Folgeventile, Entlastungsventile, Drosselventile und Sperrventile - Befestigungsflächen")</f>
        <v>Hydraulic fluid hydraulics - Pressure valves (excluding pressure relief valves), follow-up valves, relief valves, throttle valves and check valves - mounting surfaces</v>
      </c>
      <c r="D882" s="487"/>
      <c r="E882" s="487"/>
      <c r="F882" s="487"/>
      <c r="G882" s="487"/>
      <c r="H882" s="488"/>
      <c r="I882" s="58"/>
      <c r="J882" s="319"/>
      <c r="K882" s="57"/>
    </row>
    <row r="883" spans="1:11" ht="14.25" customHeight="1" x14ac:dyDescent="0.2">
      <c r="A883" s="497" t="s">
        <v>182</v>
      </c>
      <c r="B883" s="498"/>
      <c r="C883" s="486" t="str">
        <f>IF(L="EN","Fluidtecknik; 2-way cartridge valves; Installation dimensions; Identical to ISO 7368: 1989","Fluidtecknik; 2-Wege-Einbauventile; Einbaumaße; Identisch mit ISO 7368:1989")</f>
        <v>Fluidtecknik; 2-way cartridge valves; Installation dimensions; Identical to ISO 7368: 1989</v>
      </c>
      <c r="D883" s="487"/>
      <c r="E883" s="487"/>
      <c r="F883" s="487"/>
      <c r="G883" s="487"/>
      <c r="H883" s="488"/>
      <c r="I883" s="58"/>
      <c r="J883" s="319"/>
      <c r="K883" s="57"/>
    </row>
    <row r="884" spans="1:11" ht="24.75" customHeight="1" x14ac:dyDescent="0.2">
      <c r="A884" s="497" t="s">
        <v>234</v>
      </c>
      <c r="B884" s="498"/>
      <c r="C884" s="486" t="str">
        <f>IF(L="EN","Fluid technology - Three-pole electrical connector with protective contact - Properties and requirements","Fluidtechnik - Dreipoliger elektrischer Steckverbinder mit Schutzkontakt - Eigenschaften und Anforderungen")</f>
        <v>Fluid technology - Three-pole electrical connector with protective contact - Properties and requirements</v>
      </c>
      <c r="D884" s="487"/>
      <c r="E884" s="487"/>
      <c r="F884" s="487"/>
      <c r="G884" s="487"/>
      <c r="H884" s="488"/>
      <c r="I884" s="58"/>
      <c r="J884" s="319"/>
      <c r="K884" s="57"/>
    </row>
    <row r="885" spans="1:11" x14ac:dyDescent="0.2">
      <c r="A885" s="497" t="s">
        <v>235</v>
      </c>
      <c r="B885" s="498"/>
      <c r="C885" s="486" t="str">
        <f>IF(L="EN","Compressed air - Part 1: Contaminants and purity classes","Druckluft - Teil 1: Schadstoffe und Reinheitsklassen")</f>
        <v>Compressed air - Part 1: Contaminants and purity classes</v>
      </c>
      <c r="D885" s="487"/>
      <c r="E885" s="487"/>
      <c r="F885" s="487"/>
      <c r="G885" s="487"/>
      <c r="H885" s="488"/>
      <c r="I885" s="58"/>
    </row>
    <row r="886" spans="1:11" x14ac:dyDescent="0.2">
      <c r="A886" s="497" t="s">
        <v>236</v>
      </c>
      <c r="B886" s="498"/>
      <c r="C886" s="486" t="str">
        <f>IF(L="EN","BG-rule - hydraulic hose lines - rules for safe use","BG-Regel - Hydraulik-Schlauchleitungen - Regeln für den sicheren Einsatz ")</f>
        <v>BG-rule - hydraulic hose lines - rules for safe use</v>
      </c>
      <c r="D886" s="487"/>
      <c r="E886" s="487"/>
      <c r="F886" s="487"/>
      <c r="G886" s="487"/>
      <c r="H886" s="488"/>
      <c r="I886" s="58"/>
    </row>
    <row r="887" spans="1:11" ht="24" customHeight="1" x14ac:dyDescent="0.2">
      <c r="A887" s="499" t="s">
        <v>237</v>
      </c>
      <c r="B887" s="500"/>
      <c r="C887" s="486" t="s">
        <v>238</v>
      </c>
      <c r="D887" s="487"/>
      <c r="E887" s="487"/>
      <c r="F887" s="487"/>
      <c r="G887" s="487"/>
      <c r="H887" s="488"/>
      <c r="I887" s="58"/>
    </row>
  </sheetData>
  <mergeCells count="706">
    <mergeCell ref="B216:H216"/>
    <mergeCell ref="B217:H217"/>
    <mergeCell ref="B218:H218"/>
    <mergeCell ref="B219:H219"/>
    <mergeCell ref="C244:H244"/>
    <mergeCell ref="C243:H243"/>
    <mergeCell ref="C245:H245"/>
    <mergeCell ref="C247:H247"/>
    <mergeCell ref="G310:H310"/>
    <mergeCell ref="G248:H248"/>
    <mergeCell ref="C249:H251"/>
    <mergeCell ref="G252:H252"/>
    <mergeCell ref="B311:H312"/>
    <mergeCell ref="G313:H313"/>
    <mergeCell ref="G314:H314"/>
    <mergeCell ref="G315:H315"/>
    <mergeCell ref="G304:H304"/>
    <mergeCell ref="D228:H228"/>
    <mergeCell ref="G213:H213"/>
    <mergeCell ref="G214:H214"/>
    <mergeCell ref="G215:H215"/>
    <mergeCell ref="G221:H221"/>
    <mergeCell ref="D222:H222"/>
    <mergeCell ref="G305:H305"/>
    <mergeCell ref="G306:H306"/>
    <mergeCell ref="B308:E309"/>
    <mergeCell ref="G309:H309"/>
    <mergeCell ref="G297:H297"/>
    <mergeCell ref="G298:H298"/>
    <mergeCell ref="G299:H299"/>
    <mergeCell ref="G300:H300"/>
    <mergeCell ref="G301:H301"/>
    <mergeCell ref="G302:H302"/>
    <mergeCell ref="C276:H277"/>
    <mergeCell ref="G278:H278"/>
    <mergeCell ref="G280:H280"/>
    <mergeCell ref="G164:H164"/>
    <mergeCell ref="G165:H165"/>
    <mergeCell ref="G166:H166"/>
    <mergeCell ref="A156:B157"/>
    <mergeCell ref="C156:F157"/>
    <mergeCell ref="B158:C158"/>
    <mergeCell ref="G158:H158"/>
    <mergeCell ref="A200:B201"/>
    <mergeCell ref="C200:F201"/>
    <mergeCell ref="B202:C202"/>
    <mergeCell ref="G208:H208"/>
    <mergeCell ref="G211:H211"/>
    <mergeCell ref="G212:H212"/>
    <mergeCell ref="A116:B117"/>
    <mergeCell ref="C116:F117"/>
    <mergeCell ref="B118:C118"/>
    <mergeCell ref="G150:H150"/>
    <mergeCell ref="C151:H152"/>
    <mergeCell ref="G160:H160"/>
    <mergeCell ref="G161:H161"/>
    <mergeCell ref="G162:H162"/>
    <mergeCell ref="G163:H163"/>
    <mergeCell ref="G144:H144"/>
    <mergeCell ref="G145:H145"/>
    <mergeCell ref="G146:H146"/>
    <mergeCell ref="G147:H147"/>
    <mergeCell ref="G148:H148"/>
    <mergeCell ref="G149:H149"/>
    <mergeCell ref="G131:H131"/>
    <mergeCell ref="G137:H137"/>
    <mergeCell ref="B138:H140"/>
    <mergeCell ref="G141:H141"/>
    <mergeCell ref="G142:H142"/>
    <mergeCell ref="A876:B876"/>
    <mergeCell ref="C876:H876"/>
    <mergeCell ref="A877:B877"/>
    <mergeCell ref="C877:H877"/>
    <mergeCell ref="A878:B878"/>
    <mergeCell ref="C878:H878"/>
    <mergeCell ref="G223:H223"/>
    <mergeCell ref="D224:H224"/>
    <mergeCell ref="G225:H225"/>
    <mergeCell ref="D226:H226"/>
    <mergeCell ref="G227:H227"/>
    <mergeCell ref="A292:B293"/>
    <mergeCell ref="C292:F293"/>
    <mergeCell ref="B294:C294"/>
    <mergeCell ref="A334:B335"/>
    <mergeCell ref="C334:F335"/>
    <mergeCell ref="B336:C336"/>
    <mergeCell ref="B326:E328"/>
    <mergeCell ref="G316:H316"/>
    <mergeCell ref="G317:H317"/>
    <mergeCell ref="G318:H318"/>
    <mergeCell ref="G319:H319"/>
    <mergeCell ref="G320:H320"/>
    <mergeCell ref="A873:B873"/>
    <mergeCell ref="C873:H873"/>
    <mergeCell ref="A874:B874"/>
    <mergeCell ref="C874:H874"/>
    <mergeCell ref="A875:B875"/>
    <mergeCell ref="C875:H875"/>
    <mergeCell ref="A866:B866"/>
    <mergeCell ref="C866:H866"/>
    <mergeCell ref="G202:H202"/>
    <mergeCell ref="A236:B237"/>
    <mergeCell ref="C236:F237"/>
    <mergeCell ref="A871:B871"/>
    <mergeCell ref="C871:H871"/>
    <mergeCell ref="A872:B872"/>
    <mergeCell ref="C872:H872"/>
    <mergeCell ref="A863:B863"/>
    <mergeCell ref="C863:H863"/>
    <mergeCell ref="A864:B864"/>
    <mergeCell ref="C864:H864"/>
    <mergeCell ref="A865:B865"/>
    <mergeCell ref="C865:H865"/>
    <mergeCell ref="A860:B860"/>
    <mergeCell ref="C860:H860"/>
    <mergeCell ref="A861:B861"/>
    <mergeCell ref="C861:H861"/>
    <mergeCell ref="A887:B887"/>
    <mergeCell ref="C887:H887"/>
    <mergeCell ref="A882:B882"/>
    <mergeCell ref="C882:H882"/>
    <mergeCell ref="A883:B883"/>
    <mergeCell ref="C883:H883"/>
    <mergeCell ref="A884:B884"/>
    <mergeCell ref="C884:H884"/>
    <mergeCell ref="A879:B879"/>
    <mergeCell ref="C879:H879"/>
    <mergeCell ref="A880:B880"/>
    <mergeCell ref="C880:H880"/>
    <mergeCell ref="A881:B881"/>
    <mergeCell ref="C881:H881"/>
    <mergeCell ref="A885:B885"/>
    <mergeCell ref="C885:H885"/>
    <mergeCell ref="A886:B886"/>
    <mergeCell ref="C886:H886"/>
    <mergeCell ref="A862:B862"/>
    <mergeCell ref="C862:H862"/>
    <mergeCell ref="A857:B857"/>
    <mergeCell ref="C857:H857"/>
    <mergeCell ref="A858:B858"/>
    <mergeCell ref="C858:H858"/>
    <mergeCell ref="A859:B859"/>
    <mergeCell ref="C859:H859"/>
    <mergeCell ref="A854:B854"/>
    <mergeCell ref="C854:H854"/>
    <mergeCell ref="A855:B855"/>
    <mergeCell ref="C855:H855"/>
    <mergeCell ref="A856:B856"/>
    <mergeCell ref="C856:H856"/>
    <mergeCell ref="A851:B851"/>
    <mergeCell ref="C851:H851"/>
    <mergeCell ref="A852:B852"/>
    <mergeCell ref="C852:H852"/>
    <mergeCell ref="A853:B853"/>
    <mergeCell ref="C853:H853"/>
    <mergeCell ref="A848:B848"/>
    <mergeCell ref="C848:H848"/>
    <mergeCell ref="A849:B849"/>
    <mergeCell ref="C849:H849"/>
    <mergeCell ref="A850:B850"/>
    <mergeCell ref="C850:H850"/>
    <mergeCell ref="A845:B845"/>
    <mergeCell ref="C845:H845"/>
    <mergeCell ref="A846:B846"/>
    <mergeCell ref="C846:H846"/>
    <mergeCell ref="A847:B847"/>
    <mergeCell ref="C847:H847"/>
    <mergeCell ref="A842:B842"/>
    <mergeCell ref="C842:H842"/>
    <mergeCell ref="A843:B843"/>
    <mergeCell ref="C843:H843"/>
    <mergeCell ref="A844:B844"/>
    <mergeCell ref="C844:H844"/>
    <mergeCell ref="A838:B838"/>
    <mergeCell ref="C838:H838"/>
    <mergeCell ref="A839:B839"/>
    <mergeCell ref="C839:H839"/>
    <mergeCell ref="A840:B840"/>
    <mergeCell ref="C840:H840"/>
    <mergeCell ref="A841:B841"/>
    <mergeCell ref="C841:H841"/>
    <mergeCell ref="A835:B835"/>
    <mergeCell ref="C835:H835"/>
    <mergeCell ref="A836:B836"/>
    <mergeCell ref="C836:H836"/>
    <mergeCell ref="A837:B837"/>
    <mergeCell ref="C837:H837"/>
    <mergeCell ref="A832:B832"/>
    <mergeCell ref="C832:H832"/>
    <mergeCell ref="A833:B833"/>
    <mergeCell ref="C833:H833"/>
    <mergeCell ref="A834:B834"/>
    <mergeCell ref="C834:H834"/>
    <mergeCell ref="A829:B829"/>
    <mergeCell ref="C829:H829"/>
    <mergeCell ref="A830:B830"/>
    <mergeCell ref="C830:H830"/>
    <mergeCell ref="A831:B831"/>
    <mergeCell ref="C831:H831"/>
    <mergeCell ref="A826:B826"/>
    <mergeCell ref="C826:H826"/>
    <mergeCell ref="A827:B827"/>
    <mergeCell ref="C827:H827"/>
    <mergeCell ref="A828:B828"/>
    <mergeCell ref="C828:H828"/>
    <mergeCell ref="A823:B823"/>
    <mergeCell ref="C823:H823"/>
    <mergeCell ref="A824:B824"/>
    <mergeCell ref="C824:H824"/>
    <mergeCell ref="A825:B825"/>
    <mergeCell ref="C825:H825"/>
    <mergeCell ref="A820:B820"/>
    <mergeCell ref="C820:H820"/>
    <mergeCell ref="A821:B821"/>
    <mergeCell ref="C821:H821"/>
    <mergeCell ref="A822:B822"/>
    <mergeCell ref="C822:H822"/>
    <mergeCell ref="A817:B817"/>
    <mergeCell ref="C817:H817"/>
    <mergeCell ref="A818:B818"/>
    <mergeCell ref="C818:H818"/>
    <mergeCell ref="A819:B819"/>
    <mergeCell ref="C819:H819"/>
    <mergeCell ref="A814:B814"/>
    <mergeCell ref="C814:H814"/>
    <mergeCell ref="A815:B815"/>
    <mergeCell ref="C815:H815"/>
    <mergeCell ref="A816:B816"/>
    <mergeCell ref="C816:H816"/>
    <mergeCell ref="G705:H705"/>
    <mergeCell ref="A751:B752"/>
    <mergeCell ref="C751:F752"/>
    <mergeCell ref="B786:H788"/>
    <mergeCell ref="C789:G789"/>
    <mergeCell ref="D790:G790"/>
    <mergeCell ref="B792:H794"/>
    <mergeCell ref="A813:B813"/>
    <mergeCell ref="C813:H813"/>
    <mergeCell ref="C761:G761"/>
    <mergeCell ref="B777:H779"/>
    <mergeCell ref="C781:H781"/>
    <mergeCell ref="C782:H782"/>
    <mergeCell ref="C783:H783"/>
    <mergeCell ref="C784:H784"/>
    <mergeCell ref="A807:B808"/>
    <mergeCell ref="C807:F808"/>
    <mergeCell ref="B809:C809"/>
    <mergeCell ref="G809:H809"/>
    <mergeCell ref="G810:H810"/>
    <mergeCell ref="G675:H675"/>
    <mergeCell ref="G676:H676"/>
    <mergeCell ref="B679:H681"/>
    <mergeCell ref="G667:H667"/>
    <mergeCell ref="G668:H668"/>
    <mergeCell ref="G669:H669"/>
    <mergeCell ref="G670:H670"/>
    <mergeCell ref="G671:H671"/>
    <mergeCell ref="B673:E674"/>
    <mergeCell ref="B654:C654"/>
    <mergeCell ref="G654:H654"/>
    <mergeCell ref="G655:H655"/>
    <mergeCell ref="G661:H661"/>
    <mergeCell ref="G662:H662"/>
    <mergeCell ref="G663:H663"/>
    <mergeCell ref="G664:H664"/>
    <mergeCell ref="G665:H665"/>
    <mergeCell ref="G666:H666"/>
    <mergeCell ref="G656:H656"/>
    <mergeCell ref="G657:H657"/>
    <mergeCell ref="G658:H658"/>
    <mergeCell ref="G659:H659"/>
    <mergeCell ref="G660:H660"/>
    <mergeCell ref="G642:H642"/>
    <mergeCell ref="G643:H643"/>
    <mergeCell ref="G644:H644"/>
    <mergeCell ref="G645:H645"/>
    <mergeCell ref="G646:H646"/>
    <mergeCell ref="G636:H636"/>
    <mergeCell ref="G637:H637"/>
    <mergeCell ref="G638:H638"/>
    <mergeCell ref="G639:H639"/>
    <mergeCell ref="G640:H640"/>
    <mergeCell ref="G641:H641"/>
    <mergeCell ref="G598:H598"/>
    <mergeCell ref="G599:H611"/>
    <mergeCell ref="G630:H630"/>
    <mergeCell ref="G631:H631"/>
    <mergeCell ref="G632:H632"/>
    <mergeCell ref="G633:H633"/>
    <mergeCell ref="G634:H634"/>
    <mergeCell ref="G635:H635"/>
    <mergeCell ref="G624:H624"/>
    <mergeCell ref="G625:H625"/>
    <mergeCell ref="G626:H626"/>
    <mergeCell ref="G627:H627"/>
    <mergeCell ref="G628:H628"/>
    <mergeCell ref="G629:H629"/>
    <mergeCell ref="G597:H597"/>
    <mergeCell ref="G568:H568"/>
    <mergeCell ref="G569:H569"/>
    <mergeCell ref="G570:H570"/>
    <mergeCell ref="G571:H571"/>
    <mergeCell ref="G580:H580"/>
    <mergeCell ref="G581:H581"/>
    <mergeCell ref="G585:H585"/>
    <mergeCell ref="G586:H586"/>
    <mergeCell ref="G587:H587"/>
    <mergeCell ref="A536:B537"/>
    <mergeCell ref="C536:F537"/>
    <mergeCell ref="B538:C538"/>
    <mergeCell ref="G538:H538"/>
    <mergeCell ref="G563:H563"/>
    <mergeCell ref="G564:H564"/>
    <mergeCell ref="G565:H565"/>
    <mergeCell ref="G566:H566"/>
    <mergeCell ref="G567:H567"/>
    <mergeCell ref="G558:H558"/>
    <mergeCell ref="G559:H559"/>
    <mergeCell ref="G560:H560"/>
    <mergeCell ref="G561:H561"/>
    <mergeCell ref="G562:H562"/>
    <mergeCell ref="G556:H556"/>
    <mergeCell ref="G557:H557"/>
    <mergeCell ref="B549:H550"/>
    <mergeCell ref="G551:H551"/>
    <mergeCell ref="G552:H552"/>
    <mergeCell ref="G553:H553"/>
    <mergeCell ref="G539:H539"/>
    <mergeCell ref="G540:H540"/>
    <mergeCell ref="G541:H541"/>
    <mergeCell ref="G542:H542"/>
    <mergeCell ref="G543:H543"/>
    <mergeCell ref="G545:H545"/>
    <mergeCell ref="G486:H486"/>
    <mergeCell ref="G488:H488"/>
    <mergeCell ref="G489:H489"/>
    <mergeCell ref="G490:H490"/>
    <mergeCell ref="G498:H498"/>
    <mergeCell ref="G499:H499"/>
    <mergeCell ref="G510:H510"/>
    <mergeCell ref="G511:H511"/>
    <mergeCell ref="G512:H512"/>
    <mergeCell ref="G506:H506"/>
    <mergeCell ref="G507:H507"/>
    <mergeCell ref="G508:H508"/>
    <mergeCell ref="G509:H509"/>
    <mergeCell ref="G481:H481"/>
    <mergeCell ref="G482:H482"/>
    <mergeCell ref="G483:H483"/>
    <mergeCell ref="G484:H484"/>
    <mergeCell ref="G485:H485"/>
    <mergeCell ref="G476:H476"/>
    <mergeCell ref="G477:H477"/>
    <mergeCell ref="G478:H478"/>
    <mergeCell ref="G479:H479"/>
    <mergeCell ref="G480:H480"/>
    <mergeCell ref="G470:H470"/>
    <mergeCell ref="G471:H471"/>
    <mergeCell ref="G472:H472"/>
    <mergeCell ref="G473:H473"/>
    <mergeCell ref="G474:H474"/>
    <mergeCell ref="G475:H475"/>
    <mergeCell ref="G464:H464"/>
    <mergeCell ref="G465:H465"/>
    <mergeCell ref="G466:H466"/>
    <mergeCell ref="G467:H467"/>
    <mergeCell ref="G468:H468"/>
    <mergeCell ref="G469:H469"/>
    <mergeCell ref="G459:H459"/>
    <mergeCell ref="G460:H460"/>
    <mergeCell ref="G461:H461"/>
    <mergeCell ref="G462:H462"/>
    <mergeCell ref="G463:H463"/>
    <mergeCell ref="G443:H443"/>
    <mergeCell ref="G444:H444"/>
    <mergeCell ref="G445:H445"/>
    <mergeCell ref="G446:H446"/>
    <mergeCell ref="G447:H447"/>
    <mergeCell ref="G448:H448"/>
    <mergeCell ref="G404:H404"/>
    <mergeCell ref="G405:H405"/>
    <mergeCell ref="G406:H406"/>
    <mergeCell ref="G414:H414"/>
    <mergeCell ref="G415:H415"/>
    <mergeCell ref="G416:H416"/>
    <mergeCell ref="G429:H429"/>
    <mergeCell ref="G430:H430"/>
    <mergeCell ref="G423:H423"/>
    <mergeCell ref="G424:H424"/>
    <mergeCell ref="G425:H425"/>
    <mergeCell ref="G426:H426"/>
    <mergeCell ref="G427:H427"/>
    <mergeCell ref="G428:H428"/>
    <mergeCell ref="G400:H400"/>
    <mergeCell ref="G401:H401"/>
    <mergeCell ref="G402:H402"/>
    <mergeCell ref="G403:H403"/>
    <mergeCell ref="G392:H392"/>
    <mergeCell ref="G393:H393"/>
    <mergeCell ref="G394:H394"/>
    <mergeCell ref="G395:H395"/>
    <mergeCell ref="B396:H397"/>
    <mergeCell ref="G369:H369"/>
    <mergeCell ref="G370:H370"/>
    <mergeCell ref="G379:H379"/>
    <mergeCell ref="G380:H380"/>
    <mergeCell ref="G381:H381"/>
    <mergeCell ref="G364:H364"/>
    <mergeCell ref="G365:H365"/>
    <mergeCell ref="G366:H366"/>
    <mergeCell ref="G367:H367"/>
    <mergeCell ref="G368:H368"/>
    <mergeCell ref="G360:H360"/>
    <mergeCell ref="G361:H361"/>
    <mergeCell ref="G362:H362"/>
    <mergeCell ref="G363:H363"/>
    <mergeCell ref="G354:H354"/>
    <mergeCell ref="G355:H355"/>
    <mergeCell ref="G356:H356"/>
    <mergeCell ref="G357:H357"/>
    <mergeCell ref="G358:H358"/>
    <mergeCell ref="G359:H359"/>
    <mergeCell ref="G347:H347"/>
    <mergeCell ref="G348:H348"/>
    <mergeCell ref="G350:H350"/>
    <mergeCell ref="G351:H351"/>
    <mergeCell ref="G352:H352"/>
    <mergeCell ref="G353:H353"/>
    <mergeCell ref="G341:H341"/>
    <mergeCell ref="G342:H342"/>
    <mergeCell ref="G343:H343"/>
    <mergeCell ref="G344:H344"/>
    <mergeCell ref="G345:H345"/>
    <mergeCell ref="G346:H346"/>
    <mergeCell ref="G337:H337"/>
    <mergeCell ref="G338:H338"/>
    <mergeCell ref="G339:H339"/>
    <mergeCell ref="G340:H340"/>
    <mergeCell ref="G336:H336"/>
    <mergeCell ref="G321:H321"/>
    <mergeCell ref="G322:H322"/>
    <mergeCell ref="G323:H323"/>
    <mergeCell ref="G324:H324"/>
    <mergeCell ref="G327:H327"/>
    <mergeCell ref="G328:H328"/>
    <mergeCell ref="B329:H329"/>
    <mergeCell ref="B330:H330"/>
    <mergeCell ref="B331:H331"/>
    <mergeCell ref="B332:H332"/>
    <mergeCell ref="I281:N291"/>
    <mergeCell ref="G294:H294"/>
    <mergeCell ref="G296:H296"/>
    <mergeCell ref="G260:H260"/>
    <mergeCell ref="G261:H261"/>
    <mergeCell ref="C262:H264"/>
    <mergeCell ref="G265:H265"/>
    <mergeCell ref="J266:O274"/>
    <mergeCell ref="G275:H275"/>
    <mergeCell ref="J254:O256"/>
    <mergeCell ref="G256:H256"/>
    <mergeCell ref="C257:H259"/>
    <mergeCell ref="G229:H229"/>
    <mergeCell ref="G232:H232"/>
    <mergeCell ref="G240:H240"/>
    <mergeCell ref="D241:H241"/>
    <mergeCell ref="G242:H242"/>
    <mergeCell ref="M241:R245"/>
    <mergeCell ref="B238:C238"/>
    <mergeCell ref="G238:H238"/>
    <mergeCell ref="C255:H255"/>
    <mergeCell ref="G143:H143"/>
    <mergeCell ref="G122:H122"/>
    <mergeCell ref="G123:H123"/>
    <mergeCell ref="G124:H124"/>
    <mergeCell ref="G126:H126"/>
    <mergeCell ref="G127:H127"/>
    <mergeCell ref="G129:H129"/>
    <mergeCell ref="G108:H108"/>
    <mergeCell ref="G109:H109"/>
    <mergeCell ref="G110:H110"/>
    <mergeCell ref="G120:H120"/>
    <mergeCell ref="G121:H121"/>
    <mergeCell ref="G118:H118"/>
    <mergeCell ref="G103:H103"/>
    <mergeCell ref="G104:H104"/>
    <mergeCell ref="G105:H105"/>
    <mergeCell ref="G106:H106"/>
    <mergeCell ref="G107:H107"/>
    <mergeCell ref="G95:H95"/>
    <mergeCell ref="G96:H96"/>
    <mergeCell ref="G97:H97"/>
    <mergeCell ref="G100:H100"/>
    <mergeCell ref="G101:H101"/>
    <mergeCell ref="G102:H102"/>
    <mergeCell ref="B87:E88"/>
    <mergeCell ref="G88:H88"/>
    <mergeCell ref="G89:H89"/>
    <mergeCell ref="G91:H91"/>
    <mergeCell ref="G92:H92"/>
    <mergeCell ref="G94:H94"/>
    <mergeCell ref="G75:H75"/>
    <mergeCell ref="G76:H76"/>
    <mergeCell ref="G77:H77"/>
    <mergeCell ref="A82:B83"/>
    <mergeCell ref="C82:F83"/>
    <mergeCell ref="B84:C84"/>
    <mergeCell ref="G84:H84"/>
    <mergeCell ref="G69:H69"/>
    <mergeCell ref="G70:H70"/>
    <mergeCell ref="G71:H71"/>
    <mergeCell ref="G72:H72"/>
    <mergeCell ref="G73:H73"/>
    <mergeCell ref="G74:H74"/>
    <mergeCell ref="C66:F66"/>
    <mergeCell ref="G66:H66"/>
    <mergeCell ref="C67:F67"/>
    <mergeCell ref="G67:H67"/>
    <mergeCell ref="C68:F68"/>
    <mergeCell ref="G68:H68"/>
    <mergeCell ref="C63:F63"/>
    <mergeCell ref="G63:H63"/>
    <mergeCell ref="C64:F64"/>
    <mergeCell ref="G64:H64"/>
    <mergeCell ref="C65:F65"/>
    <mergeCell ref="G65:H65"/>
    <mergeCell ref="C60:F60"/>
    <mergeCell ref="G60:H60"/>
    <mergeCell ref="C61:F61"/>
    <mergeCell ref="G61:H61"/>
    <mergeCell ref="C62:F62"/>
    <mergeCell ref="G62:H62"/>
    <mergeCell ref="C57:F57"/>
    <mergeCell ref="G57:H57"/>
    <mergeCell ref="C58:F58"/>
    <mergeCell ref="G58:H58"/>
    <mergeCell ref="C59:F59"/>
    <mergeCell ref="G59:H59"/>
    <mergeCell ref="C54:F54"/>
    <mergeCell ref="G54:H54"/>
    <mergeCell ref="C55:F55"/>
    <mergeCell ref="G55:H55"/>
    <mergeCell ref="C56:F56"/>
    <mergeCell ref="G56:H56"/>
    <mergeCell ref="C50:D50"/>
    <mergeCell ref="E50:F50"/>
    <mergeCell ref="C52:F52"/>
    <mergeCell ref="G52:H52"/>
    <mergeCell ref="C53:F53"/>
    <mergeCell ref="G53:H53"/>
    <mergeCell ref="C36:G36"/>
    <mergeCell ref="C16:G16"/>
    <mergeCell ref="C17:G17"/>
    <mergeCell ref="C18:G18"/>
    <mergeCell ref="C19:G19"/>
    <mergeCell ref="C20:G20"/>
    <mergeCell ref="C24:G24"/>
    <mergeCell ref="C31:G31"/>
    <mergeCell ref="C32:G32"/>
    <mergeCell ref="C25:G25"/>
    <mergeCell ref="C26:G26"/>
    <mergeCell ref="C27:G27"/>
    <mergeCell ref="B48:H48"/>
    <mergeCell ref="G386:H386"/>
    <mergeCell ref="G398:H398"/>
    <mergeCell ref="G399:H399"/>
    <mergeCell ref="A1:B2"/>
    <mergeCell ref="C1:F2"/>
    <mergeCell ref="A3:B4"/>
    <mergeCell ref="C3:F3"/>
    <mergeCell ref="C4:F4"/>
    <mergeCell ref="C9:H9"/>
    <mergeCell ref="C10:G10"/>
    <mergeCell ref="C11:G11"/>
    <mergeCell ref="C12:G12"/>
    <mergeCell ref="C13:G13"/>
    <mergeCell ref="C14:G14"/>
    <mergeCell ref="C15:G15"/>
    <mergeCell ref="C37:G37"/>
    <mergeCell ref="A42:B43"/>
    <mergeCell ref="C42:F43"/>
    <mergeCell ref="B44:C44"/>
    <mergeCell ref="G44:H44"/>
    <mergeCell ref="C33:H33"/>
    <mergeCell ref="C34:G34"/>
    <mergeCell ref="C35:G35"/>
    <mergeCell ref="A50:B50"/>
    <mergeCell ref="A495:B496"/>
    <mergeCell ref="C495:F496"/>
    <mergeCell ref="B497:C497"/>
    <mergeCell ref="G497:H497"/>
    <mergeCell ref="C28:G28"/>
    <mergeCell ref="C29:G29"/>
    <mergeCell ref="C30:G30"/>
    <mergeCell ref="G439:H439"/>
    <mergeCell ref="G440:H440"/>
    <mergeCell ref="G441:H441"/>
    <mergeCell ref="G442:H442"/>
    <mergeCell ref="A376:B377"/>
    <mergeCell ref="C376:F377"/>
    <mergeCell ref="B378:C378"/>
    <mergeCell ref="G378:H378"/>
    <mergeCell ref="G387:H387"/>
    <mergeCell ref="G388:H388"/>
    <mergeCell ref="G389:H389"/>
    <mergeCell ref="G390:H390"/>
    <mergeCell ref="G391:H391"/>
    <mergeCell ref="G382:H382"/>
    <mergeCell ref="G383:H383"/>
    <mergeCell ref="G384:H384"/>
    <mergeCell ref="G385:H385"/>
    <mergeCell ref="A411:B412"/>
    <mergeCell ref="C411:F412"/>
    <mergeCell ref="B413:C413"/>
    <mergeCell ref="G413:H413"/>
    <mergeCell ref="A455:B456"/>
    <mergeCell ref="C455:F456"/>
    <mergeCell ref="B457:C457"/>
    <mergeCell ref="G457:H457"/>
    <mergeCell ref="G458:H458"/>
    <mergeCell ref="G417:H417"/>
    <mergeCell ref="G418:H418"/>
    <mergeCell ref="G419:H419"/>
    <mergeCell ref="G420:H420"/>
    <mergeCell ref="G421:H421"/>
    <mergeCell ref="G422:H422"/>
    <mergeCell ref="G431:H431"/>
    <mergeCell ref="G432:H432"/>
    <mergeCell ref="G433:H433"/>
    <mergeCell ref="G434:H434"/>
    <mergeCell ref="G435:H435"/>
    <mergeCell ref="G436:H436"/>
    <mergeCell ref="G437:H437"/>
    <mergeCell ref="G438:H438"/>
    <mergeCell ref="G454:H454"/>
    <mergeCell ref="A577:B578"/>
    <mergeCell ref="C577:F578"/>
    <mergeCell ref="G500:H500"/>
    <mergeCell ref="G501:H501"/>
    <mergeCell ref="G502:H502"/>
    <mergeCell ref="G503:H503"/>
    <mergeCell ref="G504:H504"/>
    <mergeCell ref="G505:H505"/>
    <mergeCell ref="G513:H513"/>
    <mergeCell ref="G514:H514"/>
    <mergeCell ref="G525:H525"/>
    <mergeCell ref="G527:H527"/>
    <mergeCell ref="G515:H515"/>
    <mergeCell ref="G516:H516"/>
    <mergeCell ref="G517:H517"/>
    <mergeCell ref="G518:H518"/>
    <mergeCell ref="G519:H519"/>
    <mergeCell ref="B547:E548"/>
    <mergeCell ref="G520:H520"/>
    <mergeCell ref="G522:H522"/>
    <mergeCell ref="G523:H523"/>
    <mergeCell ref="G524:H524"/>
    <mergeCell ref="G554:H554"/>
    <mergeCell ref="G555:H555"/>
    <mergeCell ref="B579:C579"/>
    <mergeCell ref="G579:H579"/>
    <mergeCell ref="A614:B615"/>
    <mergeCell ref="C614:F615"/>
    <mergeCell ref="B616:C616"/>
    <mergeCell ref="G616:H616"/>
    <mergeCell ref="G617:H617"/>
    <mergeCell ref="A652:B653"/>
    <mergeCell ref="C652:F653"/>
    <mergeCell ref="G588:H588"/>
    <mergeCell ref="G589:H589"/>
    <mergeCell ref="G590:H590"/>
    <mergeCell ref="G591:H591"/>
    <mergeCell ref="G592:H592"/>
    <mergeCell ref="G582:H582"/>
    <mergeCell ref="G583:H583"/>
    <mergeCell ref="G584:H584"/>
    <mergeCell ref="B619:E620"/>
    <mergeCell ref="G622:H622"/>
    <mergeCell ref="G623:H623"/>
    <mergeCell ref="G593:H593"/>
    <mergeCell ref="G594:H594"/>
    <mergeCell ref="G595:H595"/>
    <mergeCell ref="G596:H596"/>
    <mergeCell ref="A867:B868"/>
    <mergeCell ref="C867:F868"/>
    <mergeCell ref="B869:C869"/>
    <mergeCell ref="G869:H869"/>
    <mergeCell ref="G683:H683"/>
    <mergeCell ref="G684:H684"/>
    <mergeCell ref="G685:H685"/>
    <mergeCell ref="B745:H745"/>
    <mergeCell ref="B746:H746"/>
    <mergeCell ref="C758:H758"/>
    <mergeCell ref="C759:H759"/>
    <mergeCell ref="C760:H760"/>
    <mergeCell ref="G686:H686"/>
    <mergeCell ref="G707:H708"/>
    <mergeCell ref="D725:E725"/>
    <mergeCell ref="D726:E726"/>
    <mergeCell ref="D727:E727"/>
    <mergeCell ref="B753:C753"/>
    <mergeCell ref="G753:H753"/>
    <mergeCell ref="G754:H754"/>
    <mergeCell ref="A702:B703"/>
    <mergeCell ref="C702:F703"/>
    <mergeCell ref="B704:C704"/>
    <mergeCell ref="G704:H704"/>
  </mergeCells>
  <conditionalFormatting sqref="G728:G729">
    <cfRule type="cellIs" dxfId="3" priority="1" stopIfTrue="1" operator="lessThan">
      <formula>$G$725</formula>
    </cfRule>
    <cfRule type="cellIs" dxfId="2" priority="2" stopIfTrue="1" operator="greaterThanOrEqual">
      <formula>$G$725</formula>
    </cfRule>
  </conditionalFormatting>
  <conditionalFormatting sqref="G727">
    <cfRule type="cellIs" dxfId="1" priority="3" stopIfTrue="1" operator="lessThan">
      <formula>$G$725</formula>
    </cfRule>
    <cfRule type="cellIs" dxfId="0" priority="4" stopIfTrue="1" operator="greaterThanOrEqual">
      <formula>$G$725</formula>
    </cfRule>
  </conditionalFormatting>
  <hyperlinks>
    <hyperlink ref="A812" r:id="rId1"/>
    <hyperlink ref="D97" r:id="rId2"/>
    <hyperlink ref="E97" r:id="rId3"/>
    <hyperlink ref="G208:H208" r:id="rId4" display="DS-MAE-Checkliste"/>
    <hyperlink ref="B748" r:id="rId5"/>
  </hyperlinks>
  <pageMargins left="0.7" right="0.7" top="0.78740157499999996" bottom="0.78740157499999996" header="0.3" footer="0.3"/>
  <pageSetup paperSize="9" scale="84" orientation="portrait" r:id="rId6"/>
  <rowBreaks count="20" manualBreakCount="20">
    <brk id="41" max="7" man="1"/>
    <brk id="81" max="7" man="1"/>
    <brk id="115" max="7" man="1"/>
    <brk id="155" max="7" man="1"/>
    <brk id="199" max="7" man="1"/>
    <brk id="235" max="7" man="1"/>
    <brk id="291" max="7" man="1"/>
    <brk id="333" max="7" man="1"/>
    <brk id="375" max="7" man="1"/>
    <brk id="410" max="7" man="1"/>
    <brk id="454" max="7" man="1"/>
    <brk id="494" max="7" man="1"/>
    <brk id="535" max="7" man="1"/>
    <brk id="576" max="7" man="1"/>
    <brk id="613" max="7" man="1"/>
    <brk id="651" max="7" man="1"/>
    <brk id="701" max="7" man="1"/>
    <brk id="750" max="7" man="1"/>
    <brk id="806" max="7" man="1"/>
    <brk id="866" max="7" man="1"/>
  </rowBreaks>
  <drawing r:id="rId7"/>
  <legacyDrawing r:id="rId8"/>
  <oleObjects>
    <mc:AlternateContent xmlns:mc="http://schemas.openxmlformats.org/markup-compatibility/2006">
      <mc:Choice Requires="x14">
        <oleObject progId="Equation.3" shapeId="1025" r:id="rId9">
          <objectPr defaultSize="0" autoPict="0" r:id="rId10">
            <anchor moveWithCells="1">
              <from>
                <xdr:col>2</xdr:col>
                <xdr:colOff>161925</xdr:colOff>
                <xdr:row>736</xdr:row>
                <xdr:rowOff>47625</xdr:rowOff>
              </from>
              <to>
                <xdr:col>2</xdr:col>
                <xdr:colOff>2295525</xdr:colOff>
                <xdr:row>738</xdr:row>
                <xdr:rowOff>123825</xdr:rowOff>
              </to>
            </anchor>
          </objectPr>
        </oleObject>
      </mc:Choice>
      <mc:Fallback>
        <oleObject progId="Equation.3" shapeId="1025" r:id="rId9"/>
      </mc:Fallback>
    </mc:AlternateContent>
    <mc:AlternateContent xmlns:mc="http://schemas.openxmlformats.org/markup-compatibility/2006">
      <mc:Choice Requires="x14">
        <oleObject progId="Equation.3" shapeId="1026" r:id="rId11">
          <objectPr defaultSize="0" autoPict="0" r:id="rId12">
            <anchor moveWithCells="1">
              <from>
                <xdr:col>2</xdr:col>
                <xdr:colOff>57150</xdr:colOff>
                <xdr:row>729</xdr:row>
                <xdr:rowOff>76200</xdr:rowOff>
              </from>
              <to>
                <xdr:col>2</xdr:col>
                <xdr:colOff>2324100</xdr:colOff>
                <xdr:row>731</xdr:row>
                <xdr:rowOff>152400</xdr:rowOff>
              </to>
            </anchor>
          </objectPr>
        </oleObject>
      </mc:Choice>
      <mc:Fallback>
        <oleObject progId="Equation.3" shapeId="1026" r:id="rId11"/>
      </mc:Fallback>
    </mc:AlternateContent>
  </oleObjects>
  <controls>
    <mc:AlternateContent xmlns:mc="http://schemas.openxmlformats.org/markup-compatibility/2006">
      <mc:Choice Requires="x14">
        <control shapeId="1755" r:id="rId13" name="CheckBox692">
          <controlPr autoLine="0" r:id="rId14">
            <anchor moveWithCells="1">
              <from>
                <xdr:col>1</xdr:col>
                <xdr:colOff>171450</xdr:colOff>
                <xdr:row>788</xdr:row>
                <xdr:rowOff>76200</xdr:rowOff>
              </from>
              <to>
                <xdr:col>1</xdr:col>
                <xdr:colOff>304800</xdr:colOff>
                <xdr:row>789</xdr:row>
                <xdr:rowOff>66675</xdr:rowOff>
              </to>
            </anchor>
          </controlPr>
        </control>
      </mc:Choice>
      <mc:Fallback>
        <control shapeId="1755" r:id="rId13" name="CheckBox692"/>
      </mc:Fallback>
    </mc:AlternateContent>
    <mc:AlternateContent xmlns:mc="http://schemas.openxmlformats.org/markup-compatibility/2006">
      <mc:Choice Requires="x14">
        <control shapeId="1754" r:id="rId15" name="CheckBox691">
          <controlPr autoLine="0" r:id="rId14">
            <anchor moveWithCells="1">
              <from>
                <xdr:col>1</xdr:col>
                <xdr:colOff>142875</xdr:colOff>
                <xdr:row>782</xdr:row>
                <xdr:rowOff>19050</xdr:rowOff>
              </from>
              <to>
                <xdr:col>1</xdr:col>
                <xdr:colOff>276225</xdr:colOff>
                <xdr:row>783</xdr:row>
                <xdr:rowOff>0</xdr:rowOff>
              </to>
            </anchor>
          </controlPr>
        </control>
      </mc:Choice>
      <mc:Fallback>
        <control shapeId="1754" r:id="rId15" name="CheckBox691"/>
      </mc:Fallback>
    </mc:AlternateContent>
    <mc:AlternateContent xmlns:mc="http://schemas.openxmlformats.org/markup-compatibility/2006">
      <mc:Choice Requires="x14">
        <control shapeId="1753" r:id="rId16" name="CheckBox690">
          <controlPr autoLine="0" r:id="rId14">
            <anchor moveWithCells="1">
              <from>
                <xdr:col>1</xdr:col>
                <xdr:colOff>133350</xdr:colOff>
                <xdr:row>783</xdr:row>
                <xdr:rowOff>19050</xdr:rowOff>
              </from>
              <to>
                <xdr:col>1</xdr:col>
                <xdr:colOff>266700</xdr:colOff>
                <xdr:row>784</xdr:row>
                <xdr:rowOff>9525</xdr:rowOff>
              </to>
            </anchor>
          </controlPr>
        </control>
      </mc:Choice>
      <mc:Fallback>
        <control shapeId="1753" r:id="rId16" name="CheckBox690"/>
      </mc:Fallback>
    </mc:AlternateContent>
    <mc:AlternateContent xmlns:mc="http://schemas.openxmlformats.org/markup-compatibility/2006">
      <mc:Choice Requires="x14">
        <control shapeId="1752" r:id="rId17" name="CheckBox689">
          <controlPr autoLine="0" r:id="rId14">
            <anchor moveWithCells="1">
              <from>
                <xdr:col>1</xdr:col>
                <xdr:colOff>152400</xdr:colOff>
                <xdr:row>781</xdr:row>
                <xdr:rowOff>28575</xdr:rowOff>
              </from>
              <to>
                <xdr:col>1</xdr:col>
                <xdr:colOff>285750</xdr:colOff>
                <xdr:row>782</xdr:row>
                <xdr:rowOff>19050</xdr:rowOff>
              </to>
            </anchor>
          </controlPr>
        </control>
      </mc:Choice>
      <mc:Fallback>
        <control shapeId="1752" r:id="rId17" name="CheckBox689"/>
      </mc:Fallback>
    </mc:AlternateContent>
    <mc:AlternateContent xmlns:mc="http://schemas.openxmlformats.org/markup-compatibility/2006">
      <mc:Choice Requires="x14">
        <control shapeId="1751" r:id="rId18" name="CheckBox688">
          <controlPr autoLine="0" r:id="rId14">
            <anchor moveWithCells="1">
              <from>
                <xdr:col>1</xdr:col>
                <xdr:colOff>161925</xdr:colOff>
                <xdr:row>780</xdr:row>
                <xdr:rowOff>28575</xdr:rowOff>
              </from>
              <to>
                <xdr:col>1</xdr:col>
                <xdr:colOff>295275</xdr:colOff>
                <xdr:row>781</xdr:row>
                <xdr:rowOff>19050</xdr:rowOff>
              </to>
            </anchor>
          </controlPr>
        </control>
      </mc:Choice>
      <mc:Fallback>
        <control shapeId="1751" r:id="rId18" name="CheckBox688"/>
      </mc:Fallback>
    </mc:AlternateContent>
    <mc:AlternateContent xmlns:mc="http://schemas.openxmlformats.org/markup-compatibility/2006">
      <mc:Choice Requires="x14">
        <control shapeId="1750" r:id="rId19" name="CheckBox687">
          <controlPr autoLine="0" r:id="rId14">
            <anchor moveWithCells="1">
              <from>
                <xdr:col>6</xdr:col>
                <xdr:colOff>38100</xdr:colOff>
                <xdr:row>684</xdr:row>
                <xdr:rowOff>28575</xdr:rowOff>
              </from>
              <to>
                <xdr:col>6</xdr:col>
                <xdr:colOff>171450</xdr:colOff>
                <xdr:row>685</xdr:row>
                <xdr:rowOff>19050</xdr:rowOff>
              </to>
            </anchor>
          </controlPr>
        </control>
      </mc:Choice>
      <mc:Fallback>
        <control shapeId="1750" r:id="rId19" name="CheckBox687"/>
      </mc:Fallback>
    </mc:AlternateContent>
    <mc:AlternateContent xmlns:mc="http://schemas.openxmlformats.org/markup-compatibility/2006">
      <mc:Choice Requires="x14">
        <control shapeId="1743" r:id="rId20" name="CheckBox680">
          <controlPr autoLine="0" r:id="rId14">
            <anchor moveWithCells="1">
              <from>
                <xdr:col>6</xdr:col>
                <xdr:colOff>38100</xdr:colOff>
                <xdr:row>675</xdr:row>
                <xdr:rowOff>28575</xdr:rowOff>
              </from>
              <to>
                <xdr:col>6</xdr:col>
                <xdr:colOff>171450</xdr:colOff>
                <xdr:row>676</xdr:row>
                <xdr:rowOff>19050</xdr:rowOff>
              </to>
            </anchor>
          </controlPr>
        </control>
      </mc:Choice>
      <mc:Fallback>
        <control shapeId="1743" r:id="rId20" name="CheckBox680"/>
      </mc:Fallback>
    </mc:AlternateContent>
    <mc:AlternateContent xmlns:mc="http://schemas.openxmlformats.org/markup-compatibility/2006">
      <mc:Choice Requires="x14">
        <control shapeId="1028" r:id="rId21" name="CheckBox2">
          <controlPr autoLine="0" r:id="rId22">
            <anchor moveWithCells="1">
              <from>
                <xdr:col>1</xdr:col>
                <xdr:colOff>95250</xdr:colOff>
                <xdr:row>23</xdr:row>
                <xdr:rowOff>85725</xdr:rowOff>
              </from>
              <to>
                <xdr:col>1</xdr:col>
                <xdr:colOff>247650</xdr:colOff>
                <xdr:row>23</xdr:row>
                <xdr:rowOff>228600</xdr:rowOff>
              </to>
            </anchor>
          </controlPr>
        </control>
      </mc:Choice>
      <mc:Fallback>
        <control shapeId="1028" r:id="rId21" name="CheckBox2"/>
      </mc:Fallback>
    </mc:AlternateContent>
    <mc:AlternateContent xmlns:mc="http://schemas.openxmlformats.org/markup-compatibility/2006">
      <mc:Choice Requires="x14">
        <control shapeId="1029" r:id="rId23" name="CheckBox3">
          <controlPr autoLine="0" r:id="rId24">
            <anchor moveWithCells="1">
              <from>
                <xdr:col>1</xdr:col>
                <xdr:colOff>95250</xdr:colOff>
                <xdr:row>24</xdr:row>
                <xdr:rowOff>85725</xdr:rowOff>
              </from>
              <to>
                <xdr:col>1</xdr:col>
                <xdr:colOff>247650</xdr:colOff>
                <xdr:row>24</xdr:row>
                <xdr:rowOff>228600</xdr:rowOff>
              </to>
            </anchor>
          </controlPr>
        </control>
      </mc:Choice>
      <mc:Fallback>
        <control shapeId="1029" r:id="rId23" name="CheckBox3"/>
      </mc:Fallback>
    </mc:AlternateContent>
    <mc:AlternateContent xmlns:mc="http://schemas.openxmlformats.org/markup-compatibility/2006">
      <mc:Choice Requires="x14">
        <control shapeId="1030" r:id="rId25" name="CheckBox4">
          <controlPr autoLine="0" r:id="rId26">
            <anchor moveWithCells="1">
              <from>
                <xdr:col>1</xdr:col>
                <xdr:colOff>95250</xdr:colOff>
                <xdr:row>25</xdr:row>
                <xdr:rowOff>85725</xdr:rowOff>
              </from>
              <to>
                <xdr:col>1</xdr:col>
                <xdr:colOff>247650</xdr:colOff>
                <xdr:row>25</xdr:row>
                <xdr:rowOff>228600</xdr:rowOff>
              </to>
            </anchor>
          </controlPr>
        </control>
      </mc:Choice>
      <mc:Fallback>
        <control shapeId="1030" r:id="rId25" name="CheckBox4"/>
      </mc:Fallback>
    </mc:AlternateContent>
    <mc:AlternateContent xmlns:mc="http://schemas.openxmlformats.org/markup-compatibility/2006">
      <mc:Choice Requires="x14">
        <control shapeId="1031" r:id="rId27" name="CheckBox5">
          <controlPr autoLine="0" r:id="rId28">
            <anchor moveWithCells="1">
              <from>
                <xdr:col>1</xdr:col>
                <xdr:colOff>95250</xdr:colOff>
                <xdr:row>26</xdr:row>
                <xdr:rowOff>85725</xdr:rowOff>
              </from>
              <to>
                <xdr:col>1</xdr:col>
                <xdr:colOff>247650</xdr:colOff>
                <xdr:row>26</xdr:row>
                <xdr:rowOff>228600</xdr:rowOff>
              </to>
            </anchor>
          </controlPr>
        </control>
      </mc:Choice>
      <mc:Fallback>
        <control shapeId="1031" r:id="rId27" name="CheckBox5"/>
      </mc:Fallback>
    </mc:AlternateContent>
    <mc:AlternateContent xmlns:mc="http://schemas.openxmlformats.org/markup-compatibility/2006">
      <mc:Choice Requires="x14">
        <control shapeId="1032" r:id="rId29" name="CheckBox6">
          <controlPr autoLine="0" r:id="rId30">
            <anchor moveWithCells="1">
              <from>
                <xdr:col>1</xdr:col>
                <xdr:colOff>95250</xdr:colOff>
                <xdr:row>27</xdr:row>
                <xdr:rowOff>85725</xdr:rowOff>
              </from>
              <to>
                <xdr:col>1</xdr:col>
                <xdr:colOff>247650</xdr:colOff>
                <xdr:row>27</xdr:row>
                <xdr:rowOff>228600</xdr:rowOff>
              </to>
            </anchor>
          </controlPr>
        </control>
      </mc:Choice>
      <mc:Fallback>
        <control shapeId="1032" r:id="rId29" name="CheckBox6"/>
      </mc:Fallback>
    </mc:AlternateContent>
    <mc:AlternateContent xmlns:mc="http://schemas.openxmlformats.org/markup-compatibility/2006">
      <mc:Choice Requires="x14">
        <control shapeId="1033" r:id="rId31" name="CheckBox7">
          <controlPr autoLine="0" r:id="rId32">
            <anchor moveWithCells="1">
              <from>
                <xdr:col>1</xdr:col>
                <xdr:colOff>95250</xdr:colOff>
                <xdr:row>28</xdr:row>
                <xdr:rowOff>85725</xdr:rowOff>
              </from>
              <to>
                <xdr:col>1</xdr:col>
                <xdr:colOff>247650</xdr:colOff>
                <xdr:row>28</xdr:row>
                <xdr:rowOff>228600</xdr:rowOff>
              </to>
            </anchor>
          </controlPr>
        </control>
      </mc:Choice>
      <mc:Fallback>
        <control shapeId="1033" r:id="rId31" name="CheckBox7"/>
      </mc:Fallback>
    </mc:AlternateContent>
    <mc:AlternateContent xmlns:mc="http://schemas.openxmlformats.org/markup-compatibility/2006">
      <mc:Choice Requires="x14">
        <control shapeId="1034" r:id="rId33" name="CheckBox8">
          <controlPr autoLine="0" r:id="rId34">
            <anchor moveWithCells="1">
              <from>
                <xdr:col>1</xdr:col>
                <xdr:colOff>95250</xdr:colOff>
                <xdr:row>29</xdr:row>
                <xdr:rowOff>85725</xdr:rowOff>
              </from>
              <to>
                <xdr:col>1</xdr:col>
                <xdr:colOff>247650</xdr:colOff>
                <xdr:row>29</xdr:row>
                <xdr:rowOff>228600</xdr:rowOff>
              </to>
            </anchor>
          </controlPr>
        </control>
      </mc:Choice>
      <mc:Fallback>
        <control shapeId="1034" r:id="rId33" name="CheckBox8"/>
      </mc:Fallback>
    </mc:AlternateContent>
    <mc:AlternateContent xmlns:mc="http://schemas.openxmlformats.org/markup-compatibility/2006">
      <mc:Choice Requires="x14">
        <control shapeId="1035" r:id="rId35" name="CheckBox9">
          <controlPr autoLine="0" r:id="rId36">
            <anchor moveWithCells="1">
              <from>
                <xdr:col>1</xdr:col>
                <xdr:colOff>95250</xdr:colOff>
                <xdr:row>30</xdr:row>
                <xdr:rowOff>85725</xdr:rowOff>
              </from>
              <to>
                <xdr:col>1</xdr:col>
                <xdr:colOff>247650</xdr:colOff>
                <xdr:row>30</xdr:row>
                <xdr:rowOff>228600</xdr:rowOff>
              </to>
            </anchor>
          </controlPr>
        </control>
      </mc:Choice>
      <mc:Fallback>
        <control shapeId="1035" r:id="rId35" name="CheckBox9"/>
      </mc:Fallback>
    </mc:AlternateContent>
    <mc:AlternateContent xmlns:mc="http://schemas.openxmlformats.org/markup-compatibility/2006">
      <mc:Choice Requires="x14">
        <control shapeId="1036" r:id="rId37" name="CheckBox10">
          <controlPr autoLine="0" r:id="rId38">
            <anchor moveWithCells="1">
              <from>
                <xdr:col>1</xdr:col>
                <xdr:colOff>95250</xdr:colOff>
                <xdr:row>31</xdr:row>
                <xdr:rowOff>85725</xdr:rowOff>
              </from>
              <to>
                <xdr:col>1</xdr:col>
                <xdr:colOff>247650</xdr:colOff>
                <xdr:row>31</xdr:row>
                <xdr:rowOff>228600</xdr:rowOff>
              </to>
            </anchor>
          </controlPr>
        </control>
      </mc:Choice>
      <mc:Fallback>
        <control shapeId="1036" r:id="rId37" name="CheckBox10"/>
      </mc:Fallback>
    </mc:AlternateContent>
    <mc:AlternateContent xmlns:mc="http://schemas.openxmlformats.org/markup-compatibility/2006">
      <mc:Choice Requires="x14">
        <control shapeId="1037" r:id="rId39" name="CheckBox11">
          <controlPr autoLine="0" r:id="rId40">
            <anchor moveWithCells="1">
              <from>
                <xdr:col>1</xdr:col>
                <xdr:colOff>95250</xdr:colOff>
                <xdr:row>32</xdr:row>
                <xdr:rowOff>85725</xdr:rowOff>
              </from>
              <to>
                <xdr:col>1</xdr:col>
                <xdr:colOff>247650</xdr:colOff>
                <xdr:row>32</xdr:row>
                <xdr:rowOff>228600</xdr:rowOff>
              </to>
            </anchor>
          </controlPr>
        </control>
      </mc:Choice>
      <mc:Fallback>
        <control shapeId="1037" r:id="rId39" name="CheckBox11"/>
      </mc:Fallback>
    </mc:AlternateContent>
    <mc:AlternateContent xmlns:mc="http://schemas.openxmlformats.org/markup-compatibility/2006">
      <mc:Choice Requires="x14">
        <control shapeId="1038" r:id="rId41" name="CheckBox12">
          <controlPr autoLine="0" r:id="rId42">
            <anchor moveWithCells="1">
              <from>
                <xdr:col>1</xdr:col>
                <xdr:colOff>95250</xdr:colOff>
                <xdr:row>33</xdr:row>
                <xdr:rowOff>85725</xdr:rowOff>
              </from>
              <to>
                <xdr:col>1</xdr:col>
                <xdr:colOff>247650</xdr:colOff>
                <xdr:row>33</xdr:row>
                <xdr:rowOff>228600</xdr:rowOff>
              </to>
            </anchor>
          </controlPr>
        </control>
      </mc:Choice>
      <mc:Fallback>
        <control shapeId="1038" r:id="rId41" name="CheckBox12"/>
      </mc:Fallback>
    </mc:AlternateContent>
    <mc:AlternateContent xmlns:mc="http://schemas.openxmlformats.org/markup-compatibility/2006">
      <mc:Choice Requires="x14">
        <control shapeId="1039" r:id="rId43" name="CheckBox13">
          <controlPr autoLine="0" r:id="rId44">
            <anchor moveWithCells="1">
              <from>
                <xdr:col>1</xdr:col>
                <xdr:colOff>95250</xdr:colOff>
                <xdr:row>34</xdr:row>
                <xdr:rowOff>85725</xdr:rowOff>
              </from>
              <to>
                <xdr:col>1</xdr:col>
                <xdr:colOff>247650</xdr:colOff>
                <xdr:row>34</xdr:row>
                <xdr:rowOff>228600</xdr:rowOff>
              </to>
            </anchor>
          </controlPr>
        </control>
      </mc:Choice>
      <mc:Fallback>
        <control shapeId="1039" r:id="rId43" name="CheckBox13"/>
      </mc:Fallback>
    </mc:AlternateContent>
    <mc:AlternateContent xmlns:mc="http://schemas.openxmlformats.org/markup-compatibility/2006">
      <mc:Choice Requires="x14">
        <control shapeId="1040" r:id="rId45" name="CheckBox14">
          <controlPr autoLine="0" r:id="rId46">
            <anchor moveWithCells="1">
              <from>
                <xdr:col>1</xdr:col>
                <xdr:colOff>95250</xdr:colOff>
                <xdr:row>35</xdr:row>
                <xdr:rowOff>85725</xdr:rowOff>
              </from>
              <to>
                <xdr:col>1</xdr:col>
                <xdr:colOff>247650</xdr:colOff>
                <xdr:row>35</xdr:row>
                <xdr:rowOff>228600</xdr:rowOff>
              </to>
            </anchor>
          </controlPr>
        </control>
      </mc:Choice>
      <mc:Fallback>
        <control shapeId="1040" r:id="rId45" name="CheckBox14"/>
      </mc:Fallback>
    </mc:AlternateContent>
    <mc:AlternateContent xmlns:mc="http://schemas.openxmlformats.org/markup-compatibility/2006">
      <mc:Choice Requires="x14">
        <control shapeId="1041" r:id="rId47" name="CheckBox15">
          <controlPr autoLine="0" r:id="rId48">
            <anchor moveWithCells="1">
              <from>
                <xdr:col>1</xdr:col>
                <xdr:colOff>95250</xdr:colOff>
                <xdr:row>36</xdr:row>
                <xdr:rowOff>85725</xdr:rowOff>
              </from>
              <to>
                <xdr:col>1</xdr:col>
                <xdr:colOff>247650</xdr:colOff>
                <xdr:row>36</xdr:row>
                <xdr:rowOff>228600</xdr:rowOff>
              </to>
            </anchor>
          </controlPr>
        </control>
      </mc:Choice>
      <mc:Fallback>
        <control shapeId="1041" r:id="rId47" name="CheckBox15"/>
      </mc:Fallback>
    </mc:AlternateContent>
    <mc:AlternateContent xmlns:mc="http://schemas.openxmlformats.org/markup-compatibility/2006">
      <mc:Choice Requires="x14">
        <control shapeId="1042" r:id="rId49" name="TextBox1">
          <controlPr autoLine="0" autoPict="0" r:id="rId50">
            <anchor moveWithCells="1">
              <from>
                <xdr:col>2</xdr:col>
                <xdr:colOff>933450</xdr:colOff>
                <xdr:row>27</xdr:row>
                <xdr:rowOff>38100</xdr:rowOff>
              </from>
              <to>
                <xdr:col>2</xdr:col>
                <xdr:colOff>2638425</xdr:colOff>
                <xdr:row>27</xdr:row>
                <xdr:rowOff>219075</xdr:rowOff>
              </to>
            </anchor>
          </controlPr>
        </control>
      </mc:Choice>
      <mc:Fallback>
        <control shapeId="1042" r:id="rId49" name="TextBox1"/>
      </mc:Fallback>
    </mc:AlternateContent>
    <mc:AlternateContent xmlns:mc="http://schemas.openxmlformats.org/markup-compatibility/2006">
      <mc:Choice Requires="x14">
        <control shapeId="1043" r:id="rId51" name="TextBox2">
          <controlPr autoLine="0" autoPict="0" r:id="rId52">
            <anchor moveWithCells="1">
              <from>
                <xdr:col>4</xdr:col>
                <xdr:colOff>19050</xdr:colOff>
                <xdr:row>27</xdr:row>
                <xdr:rowOff>9525</xdr:rowOff>
              </from>
              <to>
                <xdr:col>6</xdr:col>
                <xdr:colOff>695325</xdr:colOff>
                <xdr:row>27</xdr:row>
                <xdr:rowOff>219075</xdr:rowOff>
              </to>
            </anchor>
          </controlPr>
        </control>
      </mc:Choice>
      <mc:Fallback>
        <control shapeId="1043" r:id="rId51" name="TextBox2"/>
      </mc:Fallback>
    </mc:AlternateContent>
    <mc:AlternateContent xmlns:mc="http://schemas.openxmlformats.org/markup-compatibility/2006">
      <mc:Choice Requires="x14">
        <control shapeId="1044" r:id="rId53" name="TextBox3">
          <controlPr autoLine="0" autoPict="0" r:id="rId54">
            <anchor moveWithCells="1">
              <from>
                <xdr:col>1</xdr:col>
                <xdr:colOff>476250</xdr:colOff>
                <xdr:row>35</xdr:row>
                <xdr:rowOff>28575</xdr:rowOff>
              </from>
              <to>
                <xdr:col>6</xdr:col>
                <xdr:colOff>628650</xdr:colOff>
                <xdr:row>35</xdr:row>
                <xdr:rowOff>238125</xdr:rowOff>
              </to>
            </anchor>
          </controlPr>
        </control>
      </mc:Choice>
      <mc:Fallback>
        <control shapeId="1044" r:id="rId53" name="TextBox3"/>
      </mc:Fallback>
    </mc:AlternateContent>
    <mc:AlternateContent xmlns:mc="http://schemas.openxmlformats.org/markup-compatibility/2006">
      <mc:Choice Requires="x14">
        <control shapeId="1045" r:id="rId55" name="TextBox4">
          <controlPr autoLine="0" autoPict="0" r:id="rId56">
            <anchor moveWithCells="1">
              <from>
                <xdr:col>1</xdr:col>
                <xdr:colOff>476250</xdr:colOff>
                <xdr:row>36</xdr:row>
                <xdr:rowOff>19050</xdr:rowOff>
              </from>
              <to>
                <xdr:col>6</xdr:col>
                <xdr:colOff>619125</xdr:colOff>
                <xdr:row>36</xdr:row>
                <xdr:rowOff>228600</xdr:rowOff>
              </to>
            </anchor>
          </controlPr>
        </control>
      </mc:Choice>
      <mc:Fallback>
        <control shapeId="1045" r:id="rId55" name="TextBox4"/>
      </mc:Fallback>
    </mc:AlternateContent>
    <mc:AlternateContent xmlns:mc="http://schemas.openxmlformats.org/markup-compatibility/2006">
      <mc:Choice Requires="x14">
        <control shapeId="1046" r:id="rId57" name="TextBox5">
          <controlPr autoLine="0" autoPict="0" r:id="rId58">
            <anchor moveWithCells="1">
              <from>
                <xdr:col>2</xdr:col>
                <xdr:colOff>1343025</xdr:colOff>
                <xdr:row>49</xdr:row>
                <xdr:rowOff>28575</xdr:rowOff>
              </from>
              <to>
                <xdr:col>7</xdr:col>
                <xdr:colOff>438150</xdr:colOff>
                <xdr:row>49</xdr:row>
                <xdr:rowOff>238125</xdr:rowOff>
              </to>
            </anchor>
          </controlPr>
        </control>
      </mc:Choice>
      <mc:Fallback>
        <control shapeId="1046" r:id="rId57" name="TextBox5"/>
      </mc:Fallback>
    </mc:AlternateContent>
    <mc:AlternateContent xmlns:mc="http://schemas.openxmlformats.org/markup-compatibility/2006">
      <mc:Choice Requires="x14">
        <control shapeId="1047" r:id="rId59" name="CheckBox1">
          <controlPr autoLine="0" r:id="rId60">
            <anchor moveWithCells="1">
              <from>
                <xdr:col>1</xdr:col>
                <xdr:colOff>209550</xdr:colOff>
                <xdr:row>49</xdr:row>
                <xdr:rowOff>57150</xdr:rowOff>
              </from>
              <to>
                <xdr:col>1</xdr:col>
                <xdr:colOff>361950</xdr:colOff>
                <xdr:row>49</xdr:row>
                <xdr:rowOff>200025</xdr:rowOff>
              </to>
            </anchor>
          </controlPr>
        </control>
      </mc:Choice>
      <mc:Fallback>
        <control shapeId="1047" r:id="rId59" name="CheckBox1"/>
      </mc:Fallback>
    </mc:AlternateContent>
    <mc:AlternateContent xmlns:mc="http://schemas.openxmlformats.org/markup-compatibility/2006">
      <mc:Choice Requires="x14">
        <control shapeId="1057" r:id="rId61" name="TextBox6">
          <controlPr autoLine="0" r:id="rId62">
            <anchor moveWithCells="1">
              <from>
                <xdr:col>3</xdr:col>
                <xdr:colOff>38100</xdr:colOff>
                <xdr:row>74</xdr:row>
                <xdr:rowOff>38100</xdr:rowOff>
              </from>
              <to>
                <xdr:col>5</xdr:col>
                <xdr:colOff>95250</xdr:colOff>
                <xdr:row>75</xdr:row>
                <xdr:rowOff>19050</xdr:rowOff>
              </to>
            </anchor>
          </controlPr>
        </control>
      </mc:Choice>
      <mc:Fallback>
        <control shapeId="1057" r:id="rId61" name="TextBox6"/>
      </mc:Fallback>
    </mc:AlternateContent>
    <mc:AlternateContent xmlns:mc="http://schemas.openxmlformats.org/markup-compatibility/2006">
      <mc:Choice Requires="x14">
        <control shapeId="1058" r:id="rId63" name="TextBox7">
          <controlPr autoLine="0" r:id="rId62">
            <anchor moveWithCells="1">
              <from>
                <xdr:col>5</xdr:col>
                <xdr:colOff>200025</xdr:colOff>
                <xdr:row>74</xdr:row>
                <xdr:rowOff>28575</xdr:rowOff>
              </from>
              <to>
                <xdr:col>6</xdr:col>
                <xdr:colOff>514350</xdr:colOff>
                <xdr:row>75</xdr:row>
                <xdr:rowOff>9525</xdr:rowOff>
              </to>
            </anchor>
          </controlPr>
        </control>
      </mc:Choice>
      <mc:Fallback>
        <control shapeId="1058" r:id="rId63" name="TextBox7"/>
      </mc:Fallback>
    </mc:AlternateContent>
    <mc:AlternateContent xmlns:mc="http://schemas.openxmlformats.org/markup-compatibility/2006">
      <mc:Choice Requires="x14">
        <control shapeId="1059" r:id="rId64" name="TextBox8">
          <controlPr autoLine="0" autoPict="0" r:id="rId65">
            <anchor moveWithCells="1">
              <from>
                <xdr:col>6</xdr:col>
                <xdr:colOff>647700</xdr:colOff>
                <xdr:row>74</xdr:row>
                <xdr:rowOff>28575</xdr:rowOff>
              </from>
              <to>
                <xdr:col>7</xdr:col>
                <xdr:colOff>495300</xdr:colOff>
                <xdr:row>74</xdr:row>
                <xdr:rowOff>209550</xdr:rowOff>
              </to>
            </anchor>
          </controlPr>
        </control>
      </mc:Choice>
      <mc:Fallback>
        <control shapeId="1059" r:id="rId64" name="TextBox8"/>
      </mc:Fallback>
    </mc:AlternateContent>
    <mc:AlternateContent xmlns:mc="http://schemas.openxmlformats.org/markup-compatibility/2006">
      <mc:Choice Requires="x14">
        <control shapeId="1060" r:id="rId66" name="TextBox9">
          <controlPr autoLine="0" r:id="rId65">
            <anchor moveWithCells="1">
              <from>
                <xdr:col>6</xdr:col>
                <xdr:colOff>647700</xdr:colOff>
                <xdr:row>75</xdr:row>
                <xdr:rowOff>19050</xdr:rowOff>
              </from>
              <to>
                <xdr:col>7</xdr:col>
                <xdr:colOff>495300</xdr:colOff>
                <xdr:row>75</xdr:row>
                <xdr:rowOff>200025</xdr:rowOff>
              </to>
            </anchor>
          </controlPr>
        </control>
      </mc:Choice>
      <mc:Fallback>
        <control shapeId="1060" r:id="rId66" name="TextBox9"/>
      </mc:Fallback>
    </mc:AlternateContent>
    <mc:AlternateContent xmlns:mc="http://schemas.openxmlformats.org/markup-compatibility/2006">
      <mc:Choice Requires="x14">
        <control shapeId="1061" r:id="rId67" name="TextBox10">
          <controlPr autoLine="0" r:id="rId68">
            <anchor moveWithCells="1">
              <from>
                <xdr:col>6</xdr:col>
                <xdr:colOff>647700</xdr:colOff>
                <xdr:row>76</xdr:row>
                <xdr:rowOff>0</xdr:rowOff>
              </from>
              <to>
                <xdr:col>7</xdr:col>
                <xdr:colOff>504825</xdr:colOff>
                <xdr:row>76</xdr:row>
                <xdr:rowOff>190500</xdr:rowOff>
              </to>
            </anchor>
          </controlPr>
        </control>
      </mc:Choice>
      <mc:Fallback>
        <control shapeId="1061" r:id="rId67" name="TextBox10"/>
      </mc:Fallback>
    </mc:AlternateContent>
    <mc:AlternateContent xmlns:mc="http://schemas.openxmlformats.org/markup-compatibility/2006">
      <mc:Choice Requires="x14">
        <control shapeId="1756" r:id="rId69" name="CheckBox693">
          <controlPr autoLine="0" r:id="rId70">
            <anchor moveWithCells="1">
              <from>
                <xdr:col>6</xdr:col>
                <xdr:colOff>57150</xdr:colOff>
                <xdr:row>91</xdr:row>
                <xdr:rowOff>9525</xdr:rowOff>
              </from>
              <to>
                <xdr:col>6</xdr:col>
                <xdr:colOff>209550</xdr:colOff>
                <xdr:row>91</xdr:row>
                <xdr:rowOff>152400</xdr:rowOff>
              </to>
            </anchor>
          </controlPr>
        </control>
      </mc:Choice>
      <mc:Fallback>
        <control shapeId="1756" r:id="rId69" name="CheckBox693"/>
      </mc:Fallback>
    </mc:AlternateContent>
    <mc:AlternateContent xmlns:mc="http://schemas.openxmlformats.org/markup-compatibility/2006">
      <mc:Choice Requires="x14">
        <control shapeId="1757" r:id="rId71" name="CheckBox694">
          <controlPr autoLine="0" r:id="rId72">
            <anchor moveWithCells="1">
              <from>
                <xdr:col>6</xdr:col>
                <xdr:colOff>47625</xdr:colOff>
                <xdr:row>96</xdr:row>
                <xdr:rowOff>38100</xdr:rowOff>
              </from>
              <to>
                <xdr:col>6</xdr:col>
                <xdr:colOff>200025</xdr:colOff>
                <xdr:row>96</xdr:row>
                <xdr:rowOff>180975</xdr:rowOff>
              </to>
            </anchor>
          </controlPr>
        </control>
      </mc:Choice>
      <mc:Fallback>
        <control shapeId="1757" r:id="rId71" name="CheckBox694"/>
      </mc:Fallback>
    </mc:AlternateContent>
    <mc:AlternateContent xmlns:mc="http://schemas.openxmlformats.org/markup-compatibility/2006">
      <mc:Choice Requires="x14">
        <control shapeId="1758" r:id="rId73" name="CheckBox695">
          <controlPr autoLine="0" r:id="rId74">
            <anchor moveWithCells="1">
              <from>
                <xdr:col>6</xdr:col>
                <xdr:colOff>28575</xdr:colOff>
                <xdr:row>149</xdr:row>
                <xdr:rowOff>57150</xdr:rowOff>
              </from>
              <to>
                <xdr:col>6</xdr:col>
                <xdr:colOff>180975</xdr:colOff>
                <xdr:row>149</xdr:row>
                <xdr:rowOff>200025</xdr:rowOff>
              </to>
            </anchor>
          </controlPr>
        </control>
      </mc:Choice>
      <mc:Fallback>
        <control shapeId="1758" r:id="rId73" name="CheckBox695"/>
      </mc:Fallback>
    </mc:AlternateContent>
    <mc:AlternateContent xmlns:mc="http://schemas.openxmlformats.org/markup-compatibility/2006">
      <mc:Choice Requires="x14">
        <control shapeId="1759" r:id="rId75" name="CheckBox696">
          <controlPr autoLine="0" r:id="rId76">
            <anchor moveWithCells="1">
              <from>
                <xdr:col>6</xdr:col>
                <xdr:colOff>57150</xdr:colOff>
                <xdr:row>161</xdr:row>
                <xdr:rowOff>38100</xdr:rowOff>
              </from>
              <to>
                <xdr:col>6</xdr:col>
                <xdr:colOff>209550</xdr:colOff>
                <xdr:row>162</xdr:row>
                <xdr:rowOff>19050</xdr:rowOff>
              </to>
            </anchor>
          </controlPr>
        </control>
      </mc:Choice>
      <mc:Fallback>
        <control shapeId="1759" r:id="rId75" name="CheckBox696"/>
      </mc:Fallback>
    </mc:AlternateContent>
    <mc:AlternateContent xmlns:mc="http://schemas.openxmlformats.org/markup-compatibility/2006">
      <mc:Choice Requires="x14">
        <control shapeId="6" r:id="rId77" name="Check Box 741">
          <controlPr defaultSize="0" autoFill="0" autoLine="0" autoPict="0" macro="[0]!ProcessChkBoxes">
            <anchor moveWithCells="1">
              <from>
                <xdr:col>3</xdr:col>
                <xdr:colOff>76200</xdr:colOff>
                <xdr:row>70</xdr:row>
                <xdr:rowOff>152400</xdr:rowOff>
              </from>
              <to>
                <xdr:col>3</xdr:col>
                <xdr:colOff>228600</xdr:colOff>
                <xdr:row>71</xdr:row>
                <xdr:rowOff>9525</xdr:rowOff>
              </to>
            </anchor>
          </controlPr>
        </control>
      </mc:Choice>
    </mc:AlternateContent>
    <mc:AlternateContent xmlns:mc="http://schemas.openxmlformats.org/markup-compatibility/2006">
      <mc:Choice Requires="x14">
        <control shapeId="7" r:id="rId78" name="Check Box 743">
          <controlPr defaultSize="0" autoFill="0" autoLine="0" autoPict="0" macro="[0]!ProcessChkBoxes">
            <anchor moveWithCells="1">
              <from>
                <xdr:col>4</xdr:col>
                <xdr:colOff>47625</xdr:colOff>
                <xdr:row>70</xdr:row>
                <xdr:rowOff>142875</xdr:rowOff>
              </from>
              <to>
                <xdr:col>4</xdr:col>
                <xdr:colOff>200025</xdr:colOff>
                <xdr:row>71</xdr:row>
                <xdr:rowOff>0</xdr:rowOff>
              </to>
            </anchor>
          </controlPr>
        </control>
      </mc:Choice>
    </mc:AlternateContent>
    <mc:AlternateContent xmlns:mc="http://schemas.openxmlformats.org/markup-compatibility/2006">
      <mc:Choice Requires="x14">
        <control shapeId="1768" r:id="rId79" name="Check Box 744">
          <controlPr defaultSize="0" autoFill="0" autoLine="0" autoPict="0" macro="[0]!ProcessChkBoxes">
            <anchor moveWithCells="1">
              <from>
                <xdr:col>5</xdr:col>
                <xdr:colOff>57150</xdr:colOff>
                <xdr:row>70</xdr:row>
                <xdr:rowOff>133350</xdr:rowOff>
              </from>
              <to>
                <xdr:col>5</xdr:col>
                <xdr:colOff>209550</xdr:colOff>
                <xdr:row>70</xdr:row>
                <xdr:rowOff>238125</xdr:rowOff>
              </to>
            </anchor>
          </controlPr>
        </control>
      </mc:Choice>
    </mc:AlternateContent>
    <mc:AlternateContent xmlns:mc="http://schemas.openxmlformats.org/markup-compatibility/2006">
      <mc:Choice Requires="x14">
        <control shapeId="1769" r:id="rId80" name="Check Box 745">
          <controlPr defaultSize="0" autoFill="0" autoLine="0" autoPict="0" macro="[0]!ProcessChkBoxes">
            <anchor moveWithCells="1">
              <from>
                <xdr:col>3</xdr:col>
                <xdr:colOff>85725</xdr:colOff>
                <xdr:row>71</xdr:row>
                <xdr:rowOff>123825</xdr:rowOff>
              </from>
              <to>
                <xdr:col>3</xdr:col>
                <xdr:colOff>238125</xdr:colOff>
                <xdr:row>71</xdr:row>
                <xdr:rowOff>228600</xdr:rowOff>
              </to>
            </anchor>
          </controlPr>
        </control>
      </mc:Choice>
    </mc:AlternateContent>
    <mc:AlternateContent xmlns:mc="http://schemas.openxmlformats.org/markup-compatibility/2006">
      <mc:Choice Requires="x14">
        <control shapeId="1770" r:id="rId81" name="Check Box 746">
          <controlPr defaultSize="0" autoFill="0" autoLine="0" autoPict="0" macro="[0]!ProcessChkBoxes">
            <anchor moveWithCells="1">
              <from>
                <xdr:col>4</xdr:col>
                <xdr:colOff>57150</xdr:colOff>
                <xdr:row>71</xdr:row>
                <xdr:rowOff>114300</xdr:rowOff>
              </from>
              <to>
                <xdr:col>4</xdr:col>
                <xdr:colOff>209550</xdr:colOff>
                <xdr:row>71</xdr:row>
                <xdr:rowOff>219075</xdr:rowOff>
              </to>
            </anchor>
          </controlPr>
        </control>
      </mc:Choice>
    </mc:AlternateContent>
    <mc:AlternateContent xmlns:mc="http://schemas.openxmlformats.org/markup-compatibility/2006">
      <mc:Choice Requires="x14">
        <control shapeId="1771" r:id="rId82" name="Check Box 747">
          <controlPr defaultSize="0" autoFill="0" autoLine="0" autoPict="0" macro="[0]!ProcessChkBoxes">
            <anchor moveWithCells="1">
              <from>
                <xdr:col>5</xdr:col>
                <xdr:colOff>66675</xdr:colOff>
                <xdr:row>71</xdr:row>
                <xdr:rowOff>104775</xdr:rowOff>
              </from>
              <to>
                <xdr:col>5</xdr:col>
                <xdr:colOff>219075</xdr:colOff>
                <xdr:row>71</xdr:row>
                <xdr:rowOff>209550</xdr:rowOff>
              </to>
            </anchor>
          </controlPr>
        </control>
      </mc:Choice>
    </mc:AlternateContent>
    <mc:AlternateContent xmlns:mc="http://schemas.openxmlformats.org/markup-compatibility/2006">
      <mc:Choice Requires="x14">
        <control shapeId="1772" r:id="rId83" name="Check Box 748">
          <controlPr defaultSize="0" autoFill="0" autoLine="0" autoPict="0" macro="[0]!ProcessChkBoxes">
            <anchor moveWithCells="1">
              <from>
                <xdr:col>3</xdr:col>
                <xdr:colOff>85725</xdr:colOff>
                <xdr:row>72</xdr:row>
                <xdr:rowOff>104775</xdr:rowOff>
              </from>
              <to>
                <xdr:col>3</xdr:col>
                <xdr:colOff>238125</xdr:colOff>
                <xdr:row>72</xdr:row>
                <xdr:rowOff>209550</xdr:rowOff>
              </to>
            </anchor>
          </controlPr>
        </control>
      </mc:Choice>
    </mc:AlternateContent>
    <mc:AlternateContent xmlns:mc="http://schemas.openxmlformats.org/markup-compatibility/2006">
      <mc:Choice Requires="x14">
        <control shapeId="1773" r:id="rId84" name="Check Box 749">
          <controlPr defaultSize="0" autoFill="0" autoLine="0" autoPict="0" macro="[0]!ProcessChkBoxes">
            <anchor moveWithCells="1">
              <from>
                <xdr:col>4</xdr:col>
                <xdr:colOff>57150</xdr:colOff>
                <xdr:row>72</xdr:row>
                <xdr:rowOff>95250</xdr:rowOff>
              </from>
              <to>
                <xdr:col>4</xdr:col>
                <xdr:colOff>209550</xdr:colOff>
                <xdr:row>72</xdr:row>
                <xdr:rowOff>200025</xdr:rowOff>
              </to>
            </anchor>
          </controlPr>
        </control>
      </mc:Choice>
    </mc:AlternateContent>
    <mc:AlternateContent xmlns:mc="http://schemas.openxmlformats.org/markup-compatibility/2006">
      <mc:Choice Requires="x14">
        <control shapeId="1774" r:id="rId85" name="Check Box 750">
          <controlPr defaultSize="0" autoFill="0" autoLine="0" autoPict="0" macro="[0]!ProcessChkBoxes">
            <anchor moveWithCells="1">
              <from>
                <xdr:col>5</xdr:col>
                <xdr:colOff>66675</xdr:colOff>
                <xdr:row>72</xdr:row>
                <xdr:rowOff>85725</xdr:rowOff>
              </from>
              <to>
                <xdr:col>5</xdr:col>
                <xdr:colOff>219075</xdr:colOff>
                <xdr:row>72</xdr:row>
                <xdr:rowOff>190500</xdr:rowOff>
              </to>
            </anchor>
          </controlPr>
        </control>
      </mc:Choice>
    </mc:AlternateContent>
    <mc:AlternateContent xmlns:mc="http://schemas.openxmlformats.org/markup-compatibility/2006">
      <mc:Choice Requires="x14">
        <control shapeId="1775" r:id="rId86" name="Check Box 751">
          <controlPr defaultSize="0" autoFill="0" autoLine="0" autoPict="0" macro="[0]!ProcessChkBoxes">
            <anchor moveWithCells="1">
              <from>
                <xdr:col>3</xdr:col>
                <xdr:colOff>85725</xdr:colOff>
                <xdr:row>73</xdr:row>
                <xdr:rowOff>57150</xdr:rowOff>
              </from>
              <to>
                <xdr:col>3</xdr:col>
                <xdr:colOff>238125</xdr:colOff>
                <xdr:row>73</xdr:row>
                <xdr:rowOff>161925</xdr:rowOff>
              </to>
            </anchor>
          </controlPr>
        </control>
      </mc:Choice>
    </mc:AlternateContent>
    <mc:AlternateContent xmlns:mc="http://schemas.openxmlformats.org/markup-compatibility/2006">
      <mc:Choice Requires="x14">
        <control shapeId="1776" r:id="rId87" name="Check Box 752">
          <controlPr defaultSize="0" autoFill="0" autoLine="0" autoPict="0" macro="[0]!ProcessChkBoxes">
            <anchor moveWithCells="1">
              <from>
                <xdr:col>4</xdr:col>
                <xdr:colOff>57150</xdr:colOff>
                <xdr:row>73</xdr:row>
                <xdr:rowOff>47625</xdr:rowOff>
              </from>
              <to>
                <xdr:col>4</xdr:col>
                <xdr:colOff>209550</xdr:colOff>
                <xdr:row>73</xdr:row>
                <xdr:rowOff>152400</xdr:rowOff>
              </to>
            </anchor>
          </controlPr>
        </control>
      </mc:Choice>
    </mc:AlternateContent>
    <mc:AlternateContent xmlns:mc="http://schemas.openxmlformats.org/markup-compatibility/2006">
      <mc:Choice Requires="x14">
        <control shapeId="1777" r:id="rId88" name="Check Box 753">
          <controlPr defaultSize="0" autoFill="0" autoLine="0" autoPict="0" macro="[0]!ProcessChkBoxes">
            <anchor moveWithCells="1">
              <from>
                <xdr:col>5</xdr:col>
                <xdr:colOff>66675</xdr:colOff>
                <xdr:row>73</xdr:row>
                <xdr:rowOff>38100</xdr:rowOff>
              </from>
              <to>
                <xdr:col>5</xdr:col>
                <xdr:colOff>219075</xdr:colOff>
                <xdr:row>73</xdr:row>
                <xdr:rowOff>142875</xdr:rowOff>
              </to>
            </anchor>
          </controlPr>
        </control>
      </mc:Choice>
    </mc:AlternateContent>
    <mc:AlternateContent xmlns:mc="http://schemas.openxmlformats.org/markup-compatibility/2006">
      <mc:Choice Requires="x14">
        <control shapeId="1778" r:id="rId89" name="Check Box 754">
          <controlPr defaultSize="0" autoFill="0" autoLine="0" autoPict="0" macro="[0]!ProcessChkBoxes">
            <anchor moveWithCells="1">
              <from>
                <xdr:col>3</xdr:col>
                <xdr:colOff>47625</xdr:colOff>
                <xdr:row>90</xdr:row>
                <xdr:rowOff>180975</xdr:rowOff>
              </from>
              <to>
                <xdr:col>3</xdr:col>
                <xdr:colOff>200025</xdr:colOff>
                <xdr:row>90</xdr:row>
                <xdr:rowOff>285750</xdr:rowOff>
              </to>
            </anchor>
          </controlPr>
        </control>
      </mc:Choice>
    </mc:AlternateContent>
    <mc:AlternateContent xmlns:mc="http://schemas.openxmlformats.org/markup-compatibility/2006">
      <mc:Choice Requires="x14">
        <control shapeId="1779" r:id="rId90" name="Check Box 755">
          <controlPr defaultSize="0" autoFill="0" autoLine="0" autoPict="0" macro="[0]!ProcessChkBoxes">
            <anchor moveWithCells="1">
              <from>
                <xdr:col>4</xdr:col>
                <xdr:colOff>19050</xdr:colOff>
                <xdr:row>90</xdr:row>
                <xdr:rowOff>171450</xdr:rowOff>
              </from>
              <to>
                <xdr:col>4</xdr:col>
                <xdr:colOff>171450</xdr:colOff>
                <xdr:row>90</xdr:row>
                <xdr:rowOff>276225</xdr:rowOff>
              </to>
            </anchor>
          </controlPr>
        </control>
      </mc:Choice>
    </mc:AlternateContent>
    <mc:AlternateContent xmlns:mc="http://schemas.openxmlformats.org/markup-compatibility/2006">
      <mc:Choice Requires="x14">
        <control shapeId="1780" r:id="rId91" name="Check Box 756">
          <controlPr defaultSize="0" autoFill="0" autoLine="0" autoPict="0" macro="[0]!ProcessChkBoxes">
            <anchor moveWithCells="1">
              <from>
                <xdr:col>5</xdr:col>
                <xdr:colOff>28575</xdr:colOff>
                <xdr:row>90</xdr:row>
                <xdr:rowOff>161925</xdr:rowOff>
              </from>
              <to>
                <xdr:col>5</xdr:col>
                <xdr:colOff>180975</xdr:colOff>
                <xdr:row>90</xdr:row>
                <xdr:rowOff>266700</xdr:rowOff>
              </to>
            </anchor>
          </controlPr>
        </control>
      </mc:Choice>
    </mc:AlternateContent>
    <mc:AlternateContent xmlns:mc="http://schemas.openxmlformats.org/markup-compatibility/2006">
      <mc:Choice Requires="x14">
        <control shapeId="1784" r:id="rId92" name="Check Box 760">
          <controlPr defaultSize="0" autoFill="0" autoLine="0" autoPict="0" macro="[0]!ProcessChkBoxes">
            <anchor moveWithCells="1">
              <from>
                <xdr:col>3</xdr:col>
                <xdr:colOff>47625</xdr:colOff>
                <xdr:row>90</xdr:row>
                <xdr:rowOff>590550</xdr:rowOff>
              </from>
              <to>
                <xdr:col>3</xdr:col>
                <xdr:colOff>200025</xdr:colOff>
                <xdr:row>91</xdr:row>
                <xdr:rowOff>85725</xdr:rowOff>
              </to>
            </anchor>
          </controlPr>
        </control>
      </mc:Choice>
    </mc:AlternateContent>
    <mc:AlternateContent xmlns:mc="http://schemas.openxmlformats.org/markup-compatibility/2006">
      <mc:Choice Requires="x14">
        <control shapeId="1785" r:id="rId93" name="Check Box 761">
          <controlPr defaultSize="0" autoFill="0" autoLine="0" autoPict="0" macro="[0]!ProcessChkBoxes">
            <anchor moveWithCells="1">
              <from>
                <xdr:col>4</xdr:col>
                <xdr:colOff>19050</xdr:colOff>
                <xdr:row>90</xdr:row>
                <xdr:rowOff>581025</xdr:rowOff>
              </from>
              <to>
                <xdr:col>4</xdr:col>
                <xdr:colOff>171450</xdr:colOff>
                <xdr:row>91</xdr:row>
                <xdr:rowOff>76200</xdr:rowOff>
              </to>
            </anchor>
          </controlPr>
        </control>
      </mc:Choice>
    </mc:AlternateContent>
    <mc:AlternateContent xmlns:mc="http://schemas.openxmlformats.org/markup-compatibility/2006">
      <mc:Choice Requires="x14">
        <control shapeId="1786" r:id="rId94" name="Check Box 762">
          <controlPr defaultSize="0" autoFill="0" autoLine="0" autoPict="0" macro="[0]!ProcessChkBoxes">
            <anchor moveWithCells="1">
              <from>
                <xdr:col>5</xdr:col>
                <xdr:colOff>28575</xdr:colOff>
                <xdr:row>90</xdr:row>
                <xdr:rowOff>571500</xdr:rowOff>
              </from>
              <to>
                <xdr:col>5</xdr:col>
                <xdr:colOff>180975</xdr:colOff>
                <xdr:row>91</xdr:row>
                <xdr:rowOff>66675</xdr:rowOff>
              </to>
            </anchor>
          </controlPr>
        </control>
      </mc:Choice>
    </mc:AlternateContent>
    <mc:AlternateContent xmlns:mc="http://schemas.openxmlformats.org/markup-compatibility/2006">
      <mc:Choice Requires="x14">
        <control shapeId="1787" r:id="rId95" name="Check Box 763">
          <controlPr defaultSize="0" autoFill="0" autoLine="0" autoPict="0" macro="[0]!ProcessChkBoxes">
            <anchor moveWithCells="1">
              <from>
                <xdr:col>3</xdr:col>
                <xdr:colOff>38100</xdr:colOff>
                <xdr:row>95</xdr:row>
                <xdr:rowOff>304800</xdr:rowOff>
              </from>
              <to>
                <xdr:col>3</xdr:col>
                <xdr:colOff>190500</xdr:colOff>
                <xdr:row>95</xdr:row>
                <xdr:rowOff>409575</xdr:rowOff>
              </to>
            </anchor>
          </controlPr>
        </control>
      </mc:Choice>
    </mc:AlternateContent>
    <mc:AlternateContent xmlns:mc="http://schemas.openxmlformats.org/markup-compatibility/2006">
      <mc:Choice Requires="x14">
        <control shapeId="1788" r:id="rId96" name="Check Box 764">
          <controlPr defaultSize="0" autoFill="0" autoLine="0" autoPict="0" macro="[0]!ProcessChkBoxes">
            <anchor moveWithCells="1">
              <from>
                <xdr:col>4</xdr:col>
                <xdr:colOff>9525</xdr:colOff>
                <xdr:row>95</xdr:row>
                <xdr:rowOff>295275</xdr:rowOff>
              </from>
              <to>
                <xdr:col>4</xdr:col>
                <xdr:colOff>161925</xdr:colOff>
                <xdr:row>95</xdr:row>
                <xdr:rowOff>400050</xdr:rowOff>
              </to>
            </anchor>
          </controlPr>
        </control>
      </mc:Choice>
    </mc:AlternateContent>
    <mc:AlternateContent xmlns:mc="http://schemas.openxmlformats.org/markup-compatibility/2006">
      <mc:Choice Requires="x14">
        <control shapeId="1789" r:id="rId97" name="Check Box 765">
          <controlPr defaultSize="0" autoFill="0" autoLine="0" autoPict="0" macro="[0]!ProcessChkBoxes">
            <anchor moveWithCells="1">
              <from>
                <xdr:col>5</xdr:col>
                <xdr:colOff>19050</xdr:colOff>
                <xdr:row>95</xdr:row>
                <xdr:rowOff>285750</xdr:rowOff>
              </from>
              <to>
                <xdr:col>5</xdr:col>
                <xdr:colOff>171450</xdr:colOff>
                <xdr:row>95</xdr:row>
                <xdr:rowOff>390525</xdr:rowOff>
              </to>
            </anchor>
          </controlPr>
        </control>
      </mc:Choice>
    </mc:AlternateContent>
    <mc:AlternateContent xmlns:mc="http://schemas.openxmlformats.org/markup-compatibility/2006">
      <mc:Choice Requires="x14">
        <control shapeId="1790" r:id="rId98" name="Check Box 766">
          <controlPr defaultSize="0" autoFill="0" autoLine="0" autoPict="0" macro="[0]!ProcessChkBoxes">
            <anchor moveWithCells="1">
              <from>
                <xdr:col>3</xdr:col>
                <xdr:colOff>38100</xdr:colOff>
                <xdr:row>95</xdr:row>
                <xdr:rowOff>19050</xdr:rowOff>
              </from>
              <to>
                <xdr:col>3</xdr:col>
                <xdr:colOff>190500</xdr:colOff>
                <xdr:row>95</xdr:row>
                <xdr:rowOff>123825</xdr:rowOff>
              </to>
            </anchor>
          </controlPr>
        </control>
      </mc:Choice>
    </mc:AlternateContent>
    <mc:AlternateContent xmlns:mc="http://schemas.openxmlformats.org/markup-compatibility/2006">
      <mc:Choice Requires="x14">
        <control shapeId="1791" r:id="rId99" name="Check Box 767">
          <controlPr defaultSize="0" autoFill="0" autoLine="0" autoPict="0" macro="[0]!ProcessChkBoxes">
            <anchor moveWithCells="1">
              <from>
                <xdr:col>4</xdr:col>
                <xdr:colOff>9525</xdr:colOff>
                <xdr:row>95</xdr:row>
                <xdr:rowOff>9525</xdr:rowOff>
              </from>
              <to>
                <xdr:col>4</xdr:col>
                <xdr:colOff>161925</xdr:colOff>
                <xdr:row>95</xdr:row>
                <xdr:rowOff>114300</xdr:rowOff>
              </to>
            </anchor>
          </controlPr>
        </control>
      </mc:Choice>
    </mc:AlternateContent>
    <mc:AlternateContent xmlns:mc="http://schemas.openxmlformats.org/markup-compatibility/2006">
      <mc:Choice Requires="x14">
        <control shapeId="1792" r:id="rId100" name="Check Box 768">
          <controlPr defaultSize="0" autoFill="0" autoLine="0" autoPict="0" macro="[0]!ProcessChkBoxes">
            <anchor moveWithCells="1">
              <from>
                <xdr:col>5</xdr:col>
                <xdr:colOff>19050</xdr:colOff>
                <xdr:row>95</xdr:row>
                <xdr:rowOff>0</xdr:rowOff>
              </from>
              <to>
                <xdr:col>5</xdr:col>
                <xdr:colOff>171450</xdr:colOff>
                <xdr:row>95</xdr:row>
                <xdr:rowOff>104775</xdr:rowOff>
              </to>
            </anchor>
          </controlPr>
        </control>
      </mc:Choice>
    </mc:AlternateContent>
    <mc:AlternateContent xmlns:mc="http://schemas.openxmlformats.org/markup-compatibility/2006">
      <mc:Choice Requires="x14">
        <control shapeId="1793" r:id="rId101" name="Check Box 769">
          <controlPr defaultSize="0" autoFill="0" autoLine="0" autoPict="0" macro="[0]!ProcessChkBoxes">
            <anchor moveWithCells="1">
              <from>
                <xdr:col>3</xdr:col>
                <xdr:colOff>47625</xdr:colOff>
                <xdr:row>96</xdr:row>
                <xdr:rowOff>104775</xdr:rowOff>
              </from>
              <to>
                <xdr:col>3</xdr:col>
                <xdr:colOff>200025</xdr:colOff>
                <xdr:row>96</xdr:row>
                <xdr:rowOff>209550</xdr:rowOff>
              </to>
            </anchor>
          </controlPr>
        </control>
      </mc:Choice>
    </mc:AlternateContent>
    <mc:AlternateContent xmlns:mc="http://schemas.openxmlformats.org/markup-compatibility/2006">
      <mc:Choice Requires="x14">
        <control shapeId="1794" r:id="rId102" name="Check Box 770">
          <controlPr defaultSize="0" autoFill="0" autoLine="0" autoPict="0" macro="[0]!ProcessChkBoxes">
            <anchor moveWithCells="1">
              <from>
                <xdr:col>4</xdr:col>
                <xdr:colOff>19050</xdr:colOff>
                <xdr:row>96</xdr:row>
                <xdr:rowOff>95250</xdr:rowOff>
              </from>
              <to>
                <xdr:col>4</xdr:col>
                <xdr:colOff>171450</xdr:colOff>
                <xdr:row>96</xdr:row>
                <xdr:rowOff>200025</xdr:rowOff>
              </to>
            </anchor>
          </controlPr>
        </control>
      </mc:Choice>
    </mc:AlternateContent>
    <mc:AlternateContent xmlns:mc="http://schemas.openxmlformats.org/markup-compatibility/2006">
      <mc:Choice Requires="x14">
        <control shapeId="1795" r:id="rId103" name="Check Box 771">
          <controlPr defaultSize="0" autoFill="0" autoLine="0" autoPict="0" macro="[0]!ProcessChkBoxes">
            <anchor moveWithCells="1">
              <from>
                <xdr:col>5</xdr:col>
                <xdr:colOff>28575</xdr:colOff>
                <xdr:row>96</xdr:row>
                <xdr:rowOff>85725</xdr:rowOff>
              </from>
              <to>
                <xdr:col>5</xdr:col>
                <xdr:colOff>180975</xdr:colOff>
                <xdr:row>96</xdr:row>
                <xdr:rowOff>190500</xdr:rowOff>
              </to>
            </anchor>
          </controlPr>
        </control>
      </mc:Choice>
    </mc:AlternateContent>
    <mc:AlternateContent xmlns:mc="http://schemas.openxmlformats.org/markup-compatibility/2006">
      <mc:Choice Requires="x14">
        <control shapeId="1796" r:id="rId104" name="Check Box 772">
          <controlPr defaultSize="0" autoFill="0" autoLine="0" autoPict="0" macro="[0]!ProcessChkBoxes">
            <anchor moveWithCells="1">
              <from>
                <xdr:col>3</xdr:col>
                <xdr:colOff>0</xdr:colOff>
                <xdr:row>99</xdr:row>
                <xdr:rowOff>19050</xdr:rowOff>
              </from>
              <to>
                <xdr:col>3</xdr:col>
                <xdr:colOff>152400</xdr:colOff>
                <xdr:row>99</xdr:row>
                <xdr:rowOff>123825</xdr:rowOff>
              </to>
            </anchor>
          </controlPr>
        </control>
      </mc:Choice>
    </mc:AlternateContent>
    <mc:AlternateContent xmlns:mc="http://schemas.openxmlformats.org/markup-compatibility/2006">
      <mc:Choice Requires="x14">
        <control shapeId="1797" r:id="rId105" name="Check Box 773">
          <controlPr defaultSize="0" autoFill="0" autoLine="0" autoPict="0" macro="[0]!ProcessChkBoxes">
            <anchor moveWithCells="1">
              <from>
                <xdr:col>3</xdr:col>
                <xdr:colOff>228600</xdr:colOff>
                <xdr:row>99</xdr:row>
                <xdr:rowOff>9525</xdr:rowOff>
              </from>
              <to>
                <xdr:col>4</xdr:col>
                <xdr:colOff>123825</xdr:colOff>
                <xdr:row>99</xdr:row>
                <xdr:rowOff>114300</xdr:rowOff>
              </to>
            </anchor>
          </controlPr>
        </control>
      </mc:Choice>
    </mc:AlternateContent>
    <mc:AlternateContent xmlns:mc="http://schemas.openxmlformats.org/markup-compatibility/2006">
      <mc:Choice Requires="x14">
        <control shapeId="1798" r:id="rId106" name="Check Box 774">
          <controlPr defaultSize="0" autoFill="0" autoLine="0" autoPict="0" macro="[0]!ProcessChkBoxes">
            <anchor moveWithCells="1">
              <from>
                <xdr:col>4</xdr:col>
                <xdr:colOff>238125</xdr:colOff>
                <xdr:row>99</xdr:row>
                <xdr:rowOff>0</xdr:rowOff>
              </from>
              <to>
                <xdr:col>5</xdr:col>
                <xdr:colOff>133350</xdr:colOff>
                <xdr:row>99</xdr:row>
                <xdr:rowOff>104775</xdr:rowOff>
              </to>
            </anchor>
          </controlPr>
        </control>
      </mc:Choice>
    </mc:AlternateContent>
    <mc:AlternateContent xmlns:mc="http://schemas.openxmlformats.org/markup-compatibility/2006">
      <mc:Choice Requires="x14">
        <control shapeId="1799" r:id="rId107" name="Check Box 775">
          <controlPr defaultSize="0" autoFill="0" autoLine="0" autoPict="0" macro="[0]!ProcessChkBoxes">
            <anchor moveWithCells="1">
              <from>
                <xdr:col>3</xdr:col>
                <xdr:colOff>0</xdr:colOff>
                <xdr:row>100</xdr:row>
                <xdr:rowOff>19050</xdr:rowOff>
              </from>
              <to>
                <xdr:col>3</xdr:col>
                <xdr:colOff>152400</xdr:colOff>
                <xdr:row>100</xdr:row>
                <xdr:rowOff>123825</xdr:rowOff>
              </to>
            </anchor>
          </controlPr>
        </control>
      </mc:Choice>
    </mc:AlternateContent>
    <mc:AlternateContent xmlns:mc="http://schemas.openxmlformats.org/markup-compatibility/2006">
      <mc:Choice Requires="x14">
        <control shapeId="1800" r:id="rId108" name="Check Box 776">
          <controlPr defaultSize="0" autoFill="0" autoLine="0" autoPict="0" macro="[0]!ProcessChkBoxes">
            <anchor moveWithCells="1">
              <from>
                <xdr:col>3</xdr:col>
                <xdr:colOff>228600</xdr:colOff>
                <xdr:row>100</xdr:row>
                <xdr:rowOff>9525</xdr:rowOff>
              </from>
              <to>
                <xdr:col>4</xdr:col>
                <xdr:colOff>123825</xdr:colOff>
                <xdr:row>100</xdr:row>
                <xdr:rowOff>114300</xdr:rowOff>
              </to>
            </anchor>
          </controlPr>
        </control>
      </mc:Choice>
    </mc:AlternateContent>
    <mc:AlternateContent xmlns:mc="http://schemas.openxmlformats.org/markup-compatibility/2006">
      <mc:Choice Requires="x14">
        <control shapeId="1801" r:id="rId109" name="Check Box 777">
          <controlPr defaultSize="0" autoFill="0" autoLine="0" autoPict="0" macro="[0]!ProcessChkBoxes">
            <anchor moveWithCells="1">
              <from>
                <xdr:col>4</xdr:col>
                <xdr:colOff>238125</xdr:colOff>
                <xdr:row>100</xdr:row>
                <xdr:rowOff>0</xdr:rowOff>
              </from>
              <to>
                <xdr:col>5</xdr:col>
                <xdr:colOff>133350</xdr:colOff>
                <xdr:row>100</xdr:row>
                <xdr:rowOff>104775</xdr:rowOff>
              </to>
            </anchor>
          </controlPr>
        </control>
      </mc:Choice>
    </mc:AlternateContent>
    <mc:AlternateContent xmlns:mc="http://schemas.openxmlformats.org/markup-compatibility/2006">
      <mc:Choice Requires="x14">
        <control shapeId="1805" r:id="rId110" name="Check Box 781">
          <controlPr defaultSize="0" autoFill="0" autoLine="0" autoPict="0" macro="[0]!ProcessChkBoxes">
            <anchor moveWithCells="1">
              <from>
                <xdr:col>3</xdr:col>
                <xdr:colOff>0</xdr:colOff>
                <xdr:row>101</xdr:row>
                <xdr:rowOff>19050</xdr:rowOff>
              </from>
              <to>
                <xdr:col>3</xdr:col>
                <xdr:colOff>152400</xdr:colOff>
                <xdr:row>101</xdr:row>
                <xdr:rowOff>123825</xdr:rowOff>
              </to>
            </anchor>
          </controlPr>
        </control>
      </mc:Choice>
    </mc:AlternateContent>
    <mc:AlternateContent xmlns:mc="http://schemas.openxmlformats.org/markup-compatibility/2006">
      <mc:Choice Requires="x14">
        <control shapeId="1806" r:id="rId111" name="Check Box 782">
          <controlPr defaultSize="0" autoFill="0" autoLine="0" autoPict="0" macro="[0]!ProcessChkBoxes">
            <anchor moveWithCells="1">
              <from>
                <xdr:col>3</xdr:col>
                <xdr:colOff>228600</xdr:colOff>
                <xdr:row>101</xdr:row>
                <xdr:rowOff>9525</xdr:rowOff>
              </from>
              <to>
                <xdr:col>4</xdr:col>
                <xdr:colOff>123825</xdr:colOff>
                <xdr:row>101</xdr:row>
                <xdr:rowOff>114300</xdr:rowOff>
              </to>
            </anchor>
          </controlPr>
        </control>
      </mc:Choice>
    </mc:AlternateContent>
    <mc:AlternateContent xmlns:mc="http://schemas.openxmlformats.org/markup-compatibility/2006">
      <mc:Choice Requires="x14">
        <control shapeId="1807" r:id="rId112" name="Check Box 783">
          <controlPr defaultSize="0" autoFill="0" autoLine="0" autoPict="0" macro="[0]!ProcessChkBoxes">
            <anchor moveWithCells="1">
              <from>
                <xdr:col>4</xdr:col>
                <xdr:colOff>238125</xdr:colOff>
                <xdr:row>101</xdr:row>
                <xdr:rowOff>0</xdr:rowOff>
              </from>
              <to>
                <xdr:col>5</xdr:col>
                <xdr:colOff>133350</xdr:colOff>
                <xdr:row>101</xdr:row>
                <xdr:rowOff>104775</xdr:rowOff>
              </to>
            </anchor>
          </controlPr>
        </control>
      </mc:Choice>
    </mc:AlternateContent>
    <mc:AlternateContent xmlns:mc="http://schemas.openxmlformats.org/markup-compatibility/2006">
      <mc:Choice Requires="x14">
        <control shapeId="1808" r:id="rId113" name="Check Box 784">
          <controlPr defaultSize="0" autoFill="0" autoLine="0" autoPict="0" macro="[0]!ProcessChkBoxes">
            <anchor moveWithCells="1">
              <from>
                <xdr:col>3</xdr:col>
                <xdr:colOff>19050</xdr:colOff>
                <xdr:row>103</xdr:row>
                <xdr:rowOff>38100</xdr:rowOff>
              </from>
              <to>
                <xdr:col>3</xdr:col>
                <xdr:colOff>171450</xdr:colOff>
                <xdr:row>103</xdr:row>
                <xdr:rowOff>142875</xdr:rowOff>
              </to>
            </anchor>
          </controlPr>
        </control>
      </mc:Choice>
    </mc:AlternateContent>
    <mc:AlternateContent xmlns:mc="http://schemas.openxmlformats.org/markup-compatibility/2006">
      <mc:Choice Requires="x14">
        <control shapeId="1809" r:id="rId114" name="Check Box 785">
          <controlPr defaultSize="0" autoFill="0" autoLine="0" autoPict="0" macro="[0]!ProcessChkBoxes">
            <anchor moveWithCells="1">
              <from>
                <xdr:col>3</xdr:col>
                <xdr:colOff>247650</xdr:colOff>
                <xdr:row>103</xdr:row>
                <xdr:rowOff>28575</xdr:rowOff>
              </from>
              <to>
                <xdr:col>4</xdr:col>
                <xdr:colOff>142875</xdr:colOff>
                <xdr:row>103</xdr:row>
                <xdr:rowOff>133350</xdr:rowOff>
              </to>
            </anchor>
          </controlPr>
        </control>
      </mc:Choice>
    </mc:AlternateContent>
    <mc:AlternateContent xmlns:mc="http://schemas.openxmlformats.org/markup-compatibility/2006">
      <mc:Choice Requires="x14">
        <control shapeId="1810" r:id="rId115" name="Check Box 786">
          <controlPr defaultSize="0" autoFill="0" autoLine="0" autoPict="0" macro="[0]!ProcessChkBoxes">
            <anchor moveWithCells="1">
              <from>
                <xdr:col>5</xdr:col>
                <xdr:colOff>0</xdr:colOff>
                <xdr:row>103</xdr:row>
                <xdr:rowOff>19050</xdr:rowOff>
              </from>
              <to>
                <xdr:col>5</xdr:col>
                <xdr:colOff>152400</xdr:colOff>
                <xdr:row>103</xdr:row>
                <xdr:rowOff>123825</xdr:rowOff>
              </to>
            </anchor>
          </controlPr>
        </control>
      </mc:Choice>
    </mc:AlternateContent>
    <mc:AlternateContent xmlns:mc="http://schemas.openxmlformats.org/markup-compatibility/2006">
      <mc:Choice Requires="x14">
        <control shapeId="1811" r:id="rId116" name="Check Box 787">
          <controlPr defaultSize="0" autoFill="0" autoLine="0" autoPict="0" macro="[0]!ProcessChkBoxes">
            <anchor moveWithCells="1">
              <from>
                <xdr:col>3</xdr:col>
                <xdr:colOff>19050</xdr:colOff>
                <xdr:row>104</xdr:row>
                <xdr:rowOff>28575</xdr:rowOff>
              </from>
              <to>
                <xdr:col>3</xdr:col>
                <xdr:colOff>171450</xdr:colOff>
                <xdr:row>104</xdr:row>
                <xdr:rowOff>133350</xdr:rowOff>
              </to>
            </anchor>
          </controlPr>
        </control>
      </mc:Choice>
    </mc:AlternateContent>
    <mc:AlternateContent xmlns:mc="http://schemas.openxmlformats.org/markup-compatibility/2006">
      <mc:Choice Requires="x14">
        <control shapeId="1812" r:id="rId117" name="Check Box 788">
          <controlPr defaultSize="0" autoFill="0" autoLine="0" autoPict="0" macro="[0]!ProcessChkBoxes">
            <anchor moveWithCells="1">
              <from>
                <xdr:col>3</xdr:col>
                <xdr:colOff>247650</xdr:colOff>
                <xdr:row>104</xdr:row>
                <xdr:rowOff>19050</xdr:rowOff>
              </from>
              <to>
                <xdr:col>4</xdr:col>
                <xdr:colOff>142875</xdr:colOff>
                <xdr:row>104</xdr:row>
                <xdr:rowOff>123825</xdr:rowOff>
              </to>
            </anchor>
          </controlPr>
        </control>
      </mc:Choice>
    </mc:AlternateContent>
    <mc:AlternateContent xmlns:mc="http://schemas.openxmlformats.org/markup-compatibility/2006">
      <mc:Choice Requires="x14">
        <control shapeId="1813" r:id="rId118" name="Check Box 789">
          <controlPr defaultSize="0" autoFill="0" autoLine="0" autoPict="0" macro="[0]!ProcessChkBoxes">
            <anchor moveWithCells="1">
              <from>
                <xdr:col>5</xdr:col>
                <xdr:colOff>0</xdr:colOff>
                <xdr:row>104</xdr:row>
                <xdr:rowOff>9525</xdr:rowOff>
              </from>
              <to>
                <xdr:col>5</xdr:col>
                <xdr:colOff>152400</xdr:colOff>
                <xdr:row>104</xdr:row>
                <xdr:rowOff>114300</xdr:rowOff>
              </to>
            </anchor>
          </controlPr>
        </control>
      </mc:Choice>
    </mc:AlternateContent>
    <mc:AlternateContent xmlns:mc="http://schemas.openxmlformats.org/markup-compatibility/2006">
      <mc:Choice Requires="x14">
        <control shapeId="1814" r:id="rId119" name="Check Box 790">
          <controlPr defaultSize="0" autoFill="0" autoLine="0" autoPict="0" macro="[0]!ProcessChkBoxes">
            <anchor moveWithCells="1">
              <from>
                <xdr:col>3</xdr:col>
                <xdr:colOff>38100</xdr:colOff>
                <xdr:row>105</xdr:row>
                <xdr:rowOff>28575</xdr:rowOff>
              </from>
              <to>
                <xdr:col>3</xdr:col>
                <xdr:colOff>190500</xdr:colOff>
                <xdr:row>105</xdr:row>
                <xdr:rowOff>133350</xdr:rowOff>
              </to>
            </anchor>
          </controlPr>
        </control>
      </mc:Choice>
    </mc:AlternateContent>
    <mc:AlternateContent xmlns:mc="http://schemas.openxmlformats.org/markup-compatibility/2006">
      <mc:Choice Requires="x14">
        <control shapeId="1815" r:id="rId120" name="Check Box 791">
          <controlPr defaultSize="0" autoFill="0" autoLine="0" autoPict="0" macro="[0]!ProcessChkBoxes">
            <anchor moveWithCells="1">
              <from>
                <xdr:col>4</xdr:col>
                <xdr:colOff>9525</xdr:colOff>
                <xdr:row>105</xdr:row>
                <xdr:rowOff>19050</xdr:rowOff>
              </from>
              <to>
                <xdr:col>4</xdr:col>
                <xdr:colOff>161925</xdr:colOff>
                <xdr:row>105</xdr:row>
                <xdr:rowOff>123825</xdr:rowOff>
              </to>
            </anchor>
          </controlPr>
        </control>
      </mc:Choice>
    </mc:AlternateContent>
    <mc:AlternateContent xmlns:mc="http://schemas.openxmlformats.org/markup-compatibility/2006">
      <mc:Choice Requires="x14">
        <control shapeId="1816" r:id="rId121" name="Check Box 792">
          <controlPr defaultSize="0" autoFill="0" autoLine="0" autoPict="0" macro="[0]!ProcessChkBoxes">
            <anchor moveWithCells="1">
              <from>
                <xdr:col>5</xdr:col>
                <xdr:colOff>19050</xdr:colOff>
                <xdr:row>105</xdr:row>
                <xdr:rowOff>9525</xdr:rowOff>
              </from>
              <to>
                <xdr:col>5</xdr:col>
                <xdr:colOff>171450</xdr:colOff>
                <xdr:row>105</xdr:row>
                <xdr:rowOff>114300</xdr:rowOff>
              </to>
            </anchor>
          </controlPr>
        </control>
      </mc:Choice>
    </mc:AlternateContent>
    <mc:AlternateContent xmlns:mc="http://schemas.openxmlformats.org/markup-compatibility/2006">
      <mc:Choice Requires="x14">
        <control shapeId="1817" r:id="rId122" name="Check Box 793">
          <controlPr defaultSize="0" autoFill="0" autoLine="0" autoPict="0" macro="[0]!ProcessChkBoxes">
            <anchor moveWithCells="1">
              <from>
                <xdr:col>3</xdr:col>
                <xdr:colOff>28575</xdr:colOff>
                <xdr:row>106</xdr:row>
                <xdr:rowOff>19050</xdr:rowOff>
              </from>
              <to>
                <xdr:col>3</xdr:col>
                <xdr:colOff>180975</xdr:colOff>
                <xdr:row>106</xdr:row>
                <xdr:rowOff>123825</xdr:rowOff>
              </to>
            </anchor>
          </controlPr>
        </control>
      </mc:Choice>
    </mc:AlternateContent>
    <mc:AlternateContent xmlns:mc="http://schemas.openxmlformats.org/markup-compatibility/2006">
      <mc:Choice Requires="x14">
        <control shapeId="1818" r:id="rId123" name="Check Box 794">
          <controlPr defaultSize="0" autoFill="0" autoLine="0" autoPict="0" macro="[0]!ProcessChkBoxes">
            <anchor moveWithCells="1">
              <from>
                <xdr:col>4</xdr:col>
                <xdr:colOff>0</xdr:colOff>
                <xdr:row>106</xdr:row>
                <xdr:rowOff>9525</xdr:rowOff>
              </from>
              <to>
                <xdr:col>4</xdr:col>
                <xdr:colOff>152400</xdr:colOff>
                <xdr:row>106</xdr:row>
                <xdr:rowOff>114300</xdr:rowOff>
              </to>
            </anchor>
          </controlPr>
        </control>
      </mc:Choice>
    </mc:AlternateContent>
    <mc:AlternateContent xmlns:mc="http://schemas.openxmlformats.org/markup-compatibility/2006">
      <mc:Choice Requires="x14">
        <control shapeId="1819" r:id="rId124" name="Check Box 795">
          <controlPr defaultSize="0" autoFill="0" autoLine="0" autoPict="0" macro="[0]!ProcessChkBoxes">
            <anchor moveWithCells="1">
              <from>
                <xdr:col>5</xdr:col>
                <xdr:colOff>9525</xdr:colOff>
                <xdr:row>106</xdr:row>
                <xdr:rowOff>0</xdr:rowOff>
              </from>
              <to>
                <xdr:col>5</xdr:col>
                <xdr:colOff>161925</xdr:colOff>
                <xdr:row>106</xdr:row>
                <xdr:rowOff>104775</xdr:rowOff>
              </to>
            </anchor>
          </controlPr>
        </control>
      </mc:Choice>
    </mc:AlternateContent>
    <mc:AlternateContent xmlns:mc="http://schemas.openxmlformats.org/markup-compatibility/2006">
      <mc:Choice Requires="x14">
        <control shapeId="1823" r:id="rId125" name="Check Box 799">
          <controlPr defaultSize="0" autoFill="0" autoLine="0" autoPict="0" macro="[0]!ProcessChkBoxes">
            <anchor moveWithCells="1">
              <from>
                <xdr:col>3</xdr:col>
                <xdr:colOff>47625</xdr:colOff>
                <xdr:row>107</xdr:row>
                <xdr:rowOff>28575</xdr:rowOff>
              </from>
              <to>
                <xdr:col>3</xdr:col>
                <xdr:colOff>200025</xdr:colOff>
                <xdr:row>107</xdr:row>
                <xdr:rowOff>133350</xdr:rowOff>
              </to>
            </anchor>
          </controlPr>
        </control>
      </mc:Choice>
    </mc:AlternateContent>
    <mc:AlternateContent xmlns:mc="http://schemas.openxmlformats.org/markup-compatibility/2006">
      <mc:Choice Requires="x14">
        <control shapeId="1824" r:id="rId126" name="Check Box 800">
          <controlPr defaultSize="0" autoFill="0" autoLine="0" autoPict="0" macro="[0]!ProcessChkBoxes">
            <anchor moveWithCells="1">
              <from>
                <xdr:col>4</xdr:col>
                <xdr:colOff>19050</xdr:colOff>
                <xdr:row>107</xdr:row>
                <xdr:rowOff>19050</xdr:rowOff>
              </from>
              <to>
                <xdr:col>4</xdr:col>
                <xdr:colOff>171450</xdr:colOff>
                <xdr:row>107</xdr:row>
                <xdr:rowOff>123825</xdr:rowOff>
              </to>
            </anchor>
          </controlPr>
        </control>
      </mc:Choice>
    </mc:AlternateContent>
    <mc:AlternateContent xmlns:mc="http://schemas.openxmlformats.org/markup-compatibility/2006">
      <mc:Choice Requires="x14">
        <control shapeId="1825" r:id="rId127" name="Check Box 801">
          <controlPr defaultSize="0" autoFill="0" autoLine="0" autoPict="0" macro="[0]!ProcessChkBoxes">
            <anchor moveWithCells="1">
              <from>
                <xdr:col>5</xdr:col>
                <xdr:colOff>28575</xdr:colOff>
                <xdr:row>107</xdr:row>
                <xdr:rowOff>9525</xdr:rowOff>
              </from>
              <to>
                <xdr:col>5</xdr:col>
                <xdr:colOff>180975</xdr:colOff>
                <xdr:row>107</xdr:row>
                <xdr:rowOff>114300</xdr:rowOff>
              </to>
            </anchor>
          </controlPr>
        </control>
      </mc:Choice>
    </mc:AlternateContent>
    <mc:AlternateContent xmlns:mc="http://schemas.openxmlformats.org/markup-compatibility/2006">
      <mc:Choice Requires="x14">
        <control shapeId="1829" r:id="rId128" name="Check Box 805">
          <controlPr defaultSize="0" autoFill="0" autoLine="0" autoPict="0" macro="[0]!ProcessChkBoxes">
            <anchor moveWithCells="1">
              <from>
                <xdr:col>3</xdr:col>
                <xdr:colOff>0</xdr:colOff>
                <xdr:row>120</xdr:row>
                <xdr:rowOff>19050</xdr:rowOff>
              </from>
              <to>
                <xdr:col>3</xdr:col>
                <xdr:colOff>152400</xdr:colOff>
                <xdr:row>120</xdr:row>
                <xdr:rowOff>123825</xdr:rowOff>
              </to>
            </anchor>
          </controlPr>
        </control>
      </mc:Choice>
    </mc:AlternateContent>
    <mc:AlternateContent xmlns:mc="http://schemas.openxmlformats.org/markup-compatibility/2006">
      <mc:Choice Requires="x14">
        <control shapeId="1830" r:id="rId129" name="Check Box 806">
          <controlPr defaultSize="0" autoFill="0" autoLine="0" autoPict="0" macro="[0]!ProcessChkBoxes">
            <anchor moveWithCells="1">
              <from>
                <xdr:col>3</xdr:col>
                <xdr:colOff>228600</xdr:colOff>
                <xdr:row>120</xdr:row>
                <xdr:rowOff>9525</xdr:rowOff>
              </from>
              <to>
                <xdr:col>4</xdr:col>
                <xdr:colOff>123825</xdr:colOff>
                <xdr:row>120</xdr:row>
                <xdr:rowOff>114300</xdr:rowOff>
              </to>
            </anchor>
          </controlPr>
        </control>
      </mc:Choice>
    </mc:AlternateContent>
    <mc:AlternateContent xmlns:mc="http://schemas.openxmlformats.org/markup-compatibility/2006">
      <mc:Choice Requires="x14">
        <control shapeId="1831" r:id="rId130" name="Check Box 807">
          <controlPr defaultSize="0" autoFill="0" autoLine="0" autoPict="0" macro="[0]!ProcessChkBoxes">
            <anchor moveWithCells="1">
              <from>
                <xdr:col>4</xdr:col>
                <xdr:colOff>238125</xdr:colOff>
                <xdr:row>120</xdr:row>
                <xdr:rowOff>0</xdr:rowOff>
              </from>
              <to>
                <xdr:col>5</xdr:col>
                <xdr:colOff>133350</xdr:colOff>
                <xdr:row>120</xdr:row>
                <xdr:rowOff>104775</xdr:rowOff>
              </to>
            </anchor>
          </controlPr>
        </control>
      </mc:Choice>
    </mc:AlternateContent>
    <mc:AlternateContent xmlns:mc="http://schemas.openxmlformats.org/markup-compatibility/2006">
      <mc:Choice Requires="x14">
        <control shapeId="1832" r:id="rId131" name="Check Box 808">
          <controlPr defaultSize="0" autoFill="0" autoLine="0" autoPict="0" macro="[0]!ProcessChkBoxes">
            <anchor moveWithCells="1">
              <from>
                <xdr:col>3</xdr:col>
                <xdr:colOff>0</xdr:colOff>
                <xdr:row>121</xdr:row>
                <xdr:rowOff>19050</xdr:rowOff>
              </from>
              <to>
                <xdr:col>3</xdr:col>
                <xdr:colOff>152400</xdr:colOff>
                <xdr:row>121</xdr:row>
                <xdr:rowOff>123825</xdr:rowOff>
              </to>
            </anchor>
          </controlPr>
        </control>
      </mc:Choice>
    </mc:AlternateContent>
    <mc:AlternateContent xmlns:mc="http://schemas.openxmlformats.org/markup-compatibility/2006">
      <mc:Choice Requires="x14">
        <control shapeId="1833" r:id="rId132" name="Check Box 809">
          <controlPr defaultSize="0" autoFill="0" autoLine="0" autoPict="0" macro="[0]!ProcessChkBoxes">
            <anchor moveWithCells="1">
              <from>
                <xdr:col>3</xdr:col>
                <xdr:colOff>228600</xdr:colOff>
                <xdr:row>121</xdr:row>
                <xdr:rowOff>9525</xdr:rowOff>
              </from>
              <to>
                <xdr:col>4</xdr:col>
                <xdr:colOff>123825</xdr:colOff>
                <xdr:row>121</xdr:row>
                <xdr:rowOff>114300</xdr:rowOff>
              </to>
            </anchor>
          </controlPr>
        </control>
      </mc:Choice>
    </mc:AlternateContent>
    <mc:AlternateContent xmlns:mc="http://schemas.openxmlformats.org/markup-compatibility/2006">
      <mc:Choice Requires="x14">
        <control shapeId="1834" r:id="rId133" name="Check Box 810">
          <controlPr defaultSize="0" autoFill="0" autoLine="0" autoPict="0" macro="[0]!ProcessChkBoxes">
            <anchor moveWithCells="1">
              <from>
                <xdr:col>4</xdr:col>
                <xdr:colOff>238125</xdr:colOff>
                <xdr:row>121</xdr:row>
                <xdr:rowOff>0</xdr:rowOff>
              </from>
              <to>
                <xdr:col>5</xdr:col>
                <xdr:colOff>133350</xdr:colOff>
                <xdr:row>121</xdr:row>
                <xdr:rowOff>104775</xdr:rowOff>
              </to>
            </anchor>
          </controlPr>
        </control>
      </mc:Choice>
    </mc:AlternateContent>
    <mc:AlternateContent xmlns:mc="http://schemas.openxmlformats.org/markup-compatibility/2006">
      <mc:Choice Requires="x14">
        <control shapeId="1835" r:id="rId134" name="Check Box 811">
          <controlPr defaultSize="0" autoFill="0" autoLine="0" autoPict="0" macro="[0]!ProcessChkBoxes">
            <anchor moveWithCells="1">
              <from>
                <xdr:col>3</xdr:col>
                <xdr:colOff>0</xdr:colOff>
                <xdr:row>125</xdr:row>
                <xdr:rowOff>19050</xdr:rowOff>
              </from>
              <to>
                <xdr:col>3</xdr:col>
                <xdr:colOff>152400</xdr:colOff>
                <xdr:row>125</xdr:row>
                <xdr:rowOff>123825</xdr:rowOff>
              </to>
            </anchor>
          </controlPr>
        </control>
      </mc:Choice>
    </mc:AlternateContent>
    <mc:AlternateContent xmlns:mc="http://schemas.openxmlformats.org/markup-compatibility/2006">
      <mc:Choice Requires="x14">
        <control shapeId="1836" r:id="rId135" name="Check Box 812">
          <controlPr defaultSize="0" autoFill="0" autoLine="0" autoPict="0" macro="[0]!ProcessChkBoxes">
            <anchor moveWithCells="1">
              <from>
                <xdr:col>3</xdr:col>
                <xdr:colOff>228600</xdr:colOff>
                <xdr:row>125</xdr:row>
                <xdr:rowOff>9525</xdr:rowOff>
              </from>
              <to>
                <xdr:col>4</xdr:col>
                <xdr:colOff>123825</xdr:colOff>
                <xdr:row>125</xdr:row>
                <xdr:rowOff>114300</xdr:rowOff>
              </to>
            </anchor>
          </controlPr>
        </control>
      </mc:Choice>
    </mc:AlternateContent>
    <mc:AlternateContent xmlns:mc="http://schemas.openxmlformats.org/markup-compatibility/2006">
      <mc:Choice Requires="x14">
        <control shapeId="1837" r:id="rId136" name="Check Box 813">
          <controlPr defaultSize="0" autoFill="0" autoLine="0" autoPict="0" macro="[0]!ProcessChkBoxes">
            <anchor moveWithCells="1">
              <from>
                <xdr:col>4</xdr:col>
                <xdr:colOff>238125</xdr:colOff>
                <xdr:row>125</xdr:row>
                <xdr:rowOff>0</xdr:rowOff>
              </from>
              <to>
                <xdr:col>5</xdr:col>
                <xdr:colOff>133350</xdr:colOff>
                <xdr:row>125</xdr:row>
                <xdr:rowOff>104775</xdr:rowOff>
              </to>
            </anchor>
          </controlPr>
        </control>
      </mc:Choice>
    </mc:AlternateContent>
    <mc:AlternateContent xmlns:mc="http://schemas.openxmlformats.org/markup-compatibility/2006">
      <mc:Choice Requires="x14">
        <control shapeId="1841" r:id="rId137" name="Check Box 817">
          <controlPr defaultSize="0" autoFill="0" autoLine="0" autoPict="0" macro="[0]!ProcessChkBoxes">
            <anchor moveWithCells="1">
              <from>
                <xdr:col>3</xdr:col>
                <xdr:colOff>0</xdr:colOff>
                <xdr:row>126</xdr:row>
                <xdr:rowOff>19050</xdr:rowOff>
              </from>
              <to>
                <xdr:col>3</xdr:col>
                <xdr:colOff>152400</xdr:colOff>
                <xdr:row>126</xdr:row>
                <xdr:rowOff>123825</xdr:rowOff>
              </to>
            </anchor>
          </controlPr>
        </control>
      </mc:Choice>
    </mc:AlternateContent>
    <mc:AlternateContent xmlns:mc="http://schemas.openxmlformats.org/markup-compatibility/2006">
      <mc:Choice Requires="x14">
        <control shapeId="1842" r:id="rId138" name="Check Box 818">
          <controlPr defaultSize="0" autoFill="0" autoLine="0" autoPict="0" macro="[0]!ProcessChkBoxes">
            <anchor moveWithCells="1">
              <from>
                <xdr:col>3</xdr:col>
                <xdr:colOff>228600</xdr:colOff>
                <xdr:row>126</xdr:row>
                <xdr:rowOff>9525</xdr:rowOff>
              </from>
              <to>
                <xdr:col>4</xdr:col>
                <xdr:colOff>123825</xdr:colOff>
                <xdr:row>126</xdr:row>
                <xdr:rowOff>114300</xdr:rowOff>
              </to>
            </anchor>
          </controlPr>
        </control>
      </mc:Choice>
    </mc:AlternateContent>
    <mc:AlternateContent xmlns:mc="http://schemas.openxmlformats.org/markup-compatibility/2006">
      <mc:Choice Requires="x14">
        <control shapeId="1843" r:id="rId139" name="Check Box 819">
          <controlPr defaultSize="0" autoFill="0" autoLine="0" autoPict="0" macro="[0]!ProcessChkBoxes">
            <anchor moveWithCells="1">
              <from>
                <xdr:col>4</xdr:col>
                <xdr:colOff>238125</xdr:colOff>
                <xdr:row>126</xdr:row>
                <xdr:rowOff>0</xdr:rowOff>
              </from>
              <to>
                <xdr:col>5</xdr:col>
                <xdr:colOff>133350</xdr:colOff>
                <xdr:row>126</xdr:row>
                <xdr:rowOff>104775</xdr:rowOff>
              </to>
            </anchor>
          </controlPr>
        </control>
      </mc:Choice>
    </mc:AlternateContent>
    <mc:AlternateContent xmlns:mc="http://schemas.openxmlformats.org/markup-compatibility/2006">
      <mc:Choice Requires="x14">
        <control shapeId="1844" r:id="rId140" name="Check Box 820">
          <controlPr defaultSize="0" autoFill="0" autoLine="0" autoPict="0" macro="[0]!ProcessChkBoxes">
            <anchor moveWithCells="1">
              <from>
                <xdr:col>3</xdr:col>
                <xdr:colOff>0</xdr:colOff>
                <xdr:row>128</xdr:row>
                <xdr:rowOff>19050</xdr:rowOff>
              </from>
              <to>
                <xdr:col>3</xdr:col>
                <xdr:colOff>152400</xdr:colOff>
                <xdr:row>128</xdr:row>
                <xdr:rowOff>123825</xdr:rowOff>
              </to>
            </anchor>
          </controlPr>
        </control>
      </mc:Choice>
    </mc:AlternateContent>
    <mc:AlternateContent xmlns:mc="http://schemas.openxmlformats.org/markup-compatibility/2006">
      <mc:Choice Requires="x14">
        <control shapeId="1845" r:id="rId141" name="Check Box 821">
          <controlPr defaultSize="0" autoFill="0" autoLine="0" autoPict="0" macro="[0]!ProcessChkBoxes">
            <anchor moveWithCells="1">
              <from>
                <xdr:col>3</xdr:col>
                <xdr:colOff>228600</xdr:colOff>
                <xdr:row>128</xdr:row>
                <xdr:rowOff>9525</xdr:rowOff>
              </from>
              <to>
                <xdr:col>4</xdr:col>
                <xdr:colOff>123825</xdr:colOff>
                <xdr:row>128</xdr:row>
                <xdr:rowOff>114300</xdr:rowOff>
              </to>
            </anchor>
          </controlPr>
        </control>
      </mc:Choice>
    </mc:AlternateContent>
    <mc:AlternateContent xmlns:mc="http://schemas.openxmlformats.org/markup-compatibility/2006">
      <mc:Choice Requires="x14">
        <control shapeId="1846" r:id="rId142" name="Check Box 822">
          <controlPr defaultSize="0" autoFill="0" autoLine="0" autoPict="0" macro="[0]!ProcessChkBoxes">
            <anchor moveWithCells="1">
              <from>
                <xdr:col>4</xdr:col>
                <xdr:colOff>238125</xdr:colOff>
                <xdr:row>128</xdr:row>
                <xdr:rowOff>0</xdr:rowOff>
              </from>
              <to>
                <xdr:col>5</xdr:col>
                <xdr:colOff>133350</xdr:colOff>
                <xdr:row>128</xdr:row>
                <xdr:rowOff>104775</xdr:rowOff>
              </to>
            </anchor>
          </controlPr>
        </control>
      </mc:Choice>
    </mc:AlternateContent>
    <mc:AlternateContent xmlns:mc="http://schemas.openxmlformats.org/markup-compatibility/2006">
      <mc:Choice Requires="x14">
        <control shapeId="1847" r:id="rId143" name="Check Box 823">
          <controlPr defaultSize="0" autoFill="0" autoLine="0" autoPict="0" macro="[0]!ProcessChkBoxes">
            <anchor moveWithCells="1">
              <from>
                <xdr:col>3</xdr:col>
                <xdr:colOff>0</xdr:colOff>
                <xdr:row>130</xdr:row>
                <xdr:rowOff>19050</xdr:rowOff>
              </from>
              <to>
                <xdr:col>3</xdr:col>
                <xdr:colOff>152400</xdr:colOff>
                <xdr:row>130</xdr:row>
                <xdr:rowOff>123825</xdr:rowOff>
              </to>
            </anchor>
          </controlPr>
        </control>
      </mc:Choice>
    </mc:AlternateContent>
    <mc:AlternateContent xmlns:mc="http://schemas.openxmlformats.org/markup-compatibility/2006">
      <mc:Choice Requires="x14">
        <control shapeId="1848" r:id="rId144" name="Check Box 824">
          <controlPr defaultSize="0" autoFill="0" autoLine="0" autoPict="0" macro="[0]!ProcessChkBoxes">
            <anchor moveWithCells="1">
              <from>
                <xdr:col>3</xdr:col>
                <xdr:colOff>228600</xdr:colOff>
                <xdr:row>130</xdr:row>
                <xdr:rowOff>9525</xdr:rowOff>
              </from>
              <to>
                <xdr:col>4</xdr:col>
                <xdr:colOff>123825</xdr:colOff>
                <xdr:row>130</xdr:row>
                <xdr:rowOff>114300</xdr:rowOff>
              </to>
            </anchor>
          </controlPr>
        </control>
      </mc:Choice>
    </mc:AlternateContent>
    <mc:AlternateContent xmlns:mc="http://schemas.openxmlformats.org/markup-compatibility/2006">
      <mc:Choice Requires="x14">
        <control shapeId="1849" r:id="rId145" name="Check Box 825">
          <controlPr defaultSize="0" autoFill="0" autoLine="0" autoPict="0" macro="[0]!ProcessChkBoxes">
            <anchor moveWithCells="1">
              <from>
                <xdr:col>4</xdr:col>
                <xdr:colOff>238125</xdr:colOff>
                <xdr:row>130</xdr:row>
                <xdr:rowOff>0</xdr:rowOff>
              </from>
              <to>
                <xdr:col>5</xdr:col>
                <xdr:colOff>133350</xdr:colOff>
                <xdr:row>130</xdr:row>
                <xdr:rowOff>104775</xdr:rowOff>
              </to>
            </anchor>
          </controlPr>
        </control>
      </mc:Choice>
    </mc:AlternateContent>
    <mc:AlternateContent xmlns:mc="http://schemas.openxmlformats.org/markup-compatibility/2006">
      <mc:Choice Requires="x14">
        <control shapeId="1850" r:id="rId146" name="Check Box 826">
          <controlPr defaultSize="0" autoFill="0" autoLine="0" autoPict="0" macro="[0]!ProcessChkBoxes">
            <anchor moveWithCells="1">
              <from>
                <xdr:col>3</xdr:col>
                <xdr:colOff>0</xdr:colOff>
                <xdr:row>141</xdr:row>
                <xdr:rowOff>19050</xdr:rowOff>
              </from>
              <to>
                <xdr:col>3</xdr:col>
                <xdr:colOff>152400</xdr:colOff>
                <xdr:row>141</xdr:row>
                <xdr:rowOff>123825</xdr:rowOff>
              </to>
            </anchor>
          </controlPr>
        </control>
      </mc:Choice>
    </mc:AlternateContent>
    <mc:AlternateContent xmlns:mc="http://schemas.openxmlformats.org/markup-compatibility/2006">
      <mc:Choice Requires="x14">
        <control shapeId="1851" r:id="rId147" name="Check Box 827">
          <controlPr defaultSize="0" autoFill="0" autoLine="0" autoPict="0" macro="[0]!ProcessChkBoxes">
            <anchor moveWithCells="1">
              <from>
                <xdr:col>3</xdr:col>
                <xdr:colOff>228600</xdr:colOff>
                <xdr:row>141</xdr:row>
                <xdr:rowOff>9525</xdr:rowOff>
              </from>
              <to>
                <xdr:col>4</xdr:col>
                <xdr:colOff>123825</xdr:colOff>
                <xdr:row>141</xdr:row>
                <xdr:rowOff>114300</xdr:rowOff>
              </to>
            </anchor>
          </controlPr>
        </control>
      </mc:Choice>
    </mc:AlternateContent>
    <mc:AlternateContent xmlns:mc="http://schemas.openxmlformats.org/markup-compatibility/2006">
      <mc:Choice Requires="x14">
        <control shapeId="1852" r:id="rId148" name="Check Box 828">
          <controlPr defaultSize="0" autoFill="0" autoLine="0" autoPict="0" macro="[0]!ProcessChkBoxes">
            <anchor moveWithCells="1">
              <from>
                <xdr:col>4</xdr:col>
                <xdr:colOff>238125</xdr:colOff>
                <xdr:row>141</xdr:row>
                <xdr:rowOff>0</xdr:rowOff>
              </from>
              <to>
                <xdr:col>5</xdr:col>
                <xdr:colOff>133350</xdr:colOff>
                <xdr:row>141</xdr:row>
                <xdr:rowOff>104775</xdr:rowOff>
              </to>
            </anchor>
          </controlPr>
        </control>
      </mc:Choice>
    </mc:AlternateContent>
    <mc:AlternateContent xmlns:mc="http://schemas.openxmlformats.org/markup-compatibility/2006">
      <mc:Choice Requires="x14">
        <control shapeId="1853" r:id="rId149" name="Check Box 829">
          <controlPr defaultSize="0" autoFill="0" autoLine="0" autoPict="0" macro="[0]!ProcessChkBoxes">
            <anchor moveWithCells="1">
              <from>
                <xdr:col>3</xdr:col>
                <xdr:colOff>0</xdr:colOff>
                <xdr:row>142</xdr:row>
                <xdr:rowOff>19050</xdr:rowOff>
              </from>
              <to>
                <xdr:col>3</xdr:col>
                <xdr:colOff>152400</xdr:colOff>
                <xdr:row>142</xdr:row>
                <xdr:rowOff>123825</xdr:rowOff>
              </to>
            </anchor>
          </controlPr>
        </control>
      </mc:Choice>
    </mc:AlternateContent>
    <mc:AlternateContent xmlns:mc="http://schemas.openxmlformats.org/markup-compatibility/2006">
      <mc:Choice Requires="x14">
        <control shapeId="1854" r:id="rId150" name="Check Box 830">
          <controlPr defaultSize="0" autoFill="0" autoLine="0" autoPict="0" macro="[0]!ProcessChkBoxes">
            <anchor moveWithCells="1">
              <from>
                <xdr:col>3</xdr:col>
                <xdr:colOff>228600</xdr:colOff>
                <xdr:row>142</xdr:row>
                <xdr:rowOff>9525</xdr:rowOff>
              </from>
              <to>
                <xdr:col>4</xdr:col>
                <xdr:colOff>123825</xdr:colOff>
                <xdr:row>142</xdr:row>
                <xdr:rowOff>114300</xdr:rowOff>
              </to>
            </anchor>
          </controlPr>
        </control>
      </mc:Choice>
    </mc:AlternateContent>
    <mc:AlternateContent xmlns:mc="http://schemas.openxmlformats.org/markup-compatibility/2006">
      <mc:Choice Requires="x14">
        <control shapeId="1855" r:id="rId151" name="Check Box 831">
          <controlPr defaultSize="0" autoFill="0" autoLine="0" autoPict="0" macro="[0]!ProcessChkBoxes">
            <anchor moveWithCells="1">
              <from>
                <xdr:col>4</xdr:col>
                <xdr:colOff>238125</xdr:colOff>
                <xdr:row>142</xdr:row>
                <xdr:rowOff>0</xdr:rowOff>
              </from>
              <to>
                <xdr:col>5</xdr:col>
                <xdr:colOff>133350</xdr:colOff>
                <xdr:row>142</xdr:row>
                <xdr:rowOff>104775</xdr:rowOff>
              </to>
            </anchor>
          </controlPr>
        </control>
      </mc:Choice>
    </mc:AlternateContent>
    <mc:AlternateContent xmlns:mc="http://schemas.openxmlformats.org/markup-compatibility/2006">
      <mc:Choice Requires="x14">
        <control shapeId="1856" r:id="rId152" name="Check Box 832">
          <controlPr defaultSize="0" autoFill="0" autoLine="0" autoPict="0" macro="[0]!ProcessChkBoxes">
            <anchor moveWithCells="1">
              <from>
                <xdr:col>3</xdr:col>
                <xdr:colOff>0</xdr:colOff>
                <xdr:row>143</xdr:row>
                <xdr:rowOff>19050</xdr:rowOff>
              </from>
              <to>
                <xdr:col>3</xdr:col>
                <xdr:colOff>152400</xdr:colOff>
                <xdr:row>143</xdr:row>
                <xdr:rowOff>123825</xdr:rowOff>
              </to>
            </anchor>
          </controlPr>
        </control>
      </mc:Choice>
    </mc:AlternateContent>
    <mc:AlternateContent xmlns:mc="http://schemas.openxmlformats.org/markup-compatibility/2006">
      <mc:Choice Requires="x14">
        <control shapeId="1857" r:id="rId153" name="Check Box 833">
          <controlPr defaultSize="0" autoFill="0" autoLine="0" autoPict="0" macro="[0]!ProcessChkBoxes">
            <anchor moveWithCells="1">
              <from>
                <xdr:col>3</xdr:col>
                <xdr:colOff>228600</xdr:colOff>
                <xdr:row>143</xdr:row>
                <xdr:rowOff>9525</xdr:rowOff>
              </from>
              <to>
                <xdr:col>4</xdr:col>
                <xdr:colOff>123825</xdr:colOff>
                <xdr:row>143</xdr:row>
                <xdr:rowOff>114300</xdr:rowOff>
              </to>
            </anchor>
          </controlPr>
        </control>
      </mc:Choice>
    </mc:AlternateContent>
    <mc:AlternateContent xmlns:mc="http://schemas.openxmlformats.org/markup-compatibility/2006">
      <mc:Choice Requires="x14">
        <control shapeId="1858" r:id="rId154" name="Check Box 834">
          <controlPr defaultSize="0" autoFill="0" autoLine="0" autoPict="0" macro="[0]!ProcessChkBoxes">
            <anchor moveWithCells="1">
              <from>
                <xdr:col>4</xdr:col>
                <xdr:colOff>238125</xdr:colOff>
                <xdr:row>143</xdr:row>
                <xdr:rowOff>0</xdr:rowOff>
              </from>
              <to>
                <xdr:col>5</xdr:col>
                <xdr:colOff>133350</xdr:colOff>
                <xdr:row>143</xdr:row>
                <xdr:rowOff>104775</xdr:rowOff>
              </to>
            </anchor>
          </controlPr>
        </control>
      </mc:Choice>
    </mc:AlternateContent>
    <mc:AlternateContent xmlns:mc="http://schemas.openxmlformats.org/markup-compatibility/2006">
      <mc:Choice Requires="x14">
        <control shapeId="1859" r:id="rId155" name="Check Box 835">
          <controlPr defaultSize="0" autoFill="0" autoLine="0" autoPict="0" macro="[0]!ProcessChkBoxes">
            <anchor moveWithCells="1">
              <from>
                <xdr:col>3</xdr:col>
                <xdr:colOff>0</xdr:colOff>
                <xdr:row>144</xdr:row>
                <xdr:rowOff>19050</xdr:rowOff>
              </from>
              <to>
                <xdr:col>3</xdr:col>
                <xdr:colOff>152400</xdr:colOff>
                <xdr:row>144</xdr:row>
                <xdr:rowOff>123825</xdr:rowOff>
              </to>
            </anchor>
          </controlPr>
        </control>
      </mc:Choice>
    </mc:AlternateContent>
    <mc:AlternateContent xmlns:mc="http://schemas.openxmlformats.org/markup-compatibility/2006">
      <mc:Choice Requires="x14">
        <control shapeId="1860" r:id="rId156" name="Check Box 836">
          <controlPr defaultSize="0" autoFill="0" autoLine="0" autoPict="0" macro="[0]!ProcessChkBoxes">
            <anchor moveWithCells="1">
              <from>
                <xdr:col>3</xdr:col>
                <xdr:colOff>228600</xdr:colOff>
                <xdr:row>144</xdr:row>
                <xdr:rowOff>9525</xdr:rowOff>
              </from>
              <to>
                <xdr:col>4</xdr:col>
                <xdr:colOff>123825</xdr:colOff>
                <xdr:row>144</xdr:row>
                <xdr:rowOff>114300</xdr:rowOff>
              </to>
            </anchor>
          </controlPr>
        </control>
      </mc:Choice>
    </mc:AlternateContent>
    <mc:AlternateContent xmlns:mc="http://schemas.openxmlformats.org/markup-compatibility/2006">
      <mc:Choice Requires="x14">
        <control shapeId="1861" r:id="rId157" name="Check Box 837">
          <controlPr defaultSize="0" autoFill="0" autoLine="0" autoPict="0" macro="[0]!ProcessChkBoxes">
            <anchor moveWithCells="1">
              <from>
                <xdr:col>4</xdr:col>
                <xdr:colOff>238125</xdr:colOff>
                <xdr:row>144</xdr:row>
                <xdr:rowOff>0</xdr:rowOff>
              </from>
              <to>
                <xdr:col>5</xdr:col>
                <xdr:colOff>133350</xdr:colOff>
                <xdr:row>144</xdr:row>
                <xdr:rowOff>104775</xdr:rowOff>
              </to>
            </anchor>
          </controlPr>
        </control>
      </mc:Choice>
    </mc:AlternateContent>
    <mc:AlternateContent xmlns:mc="http://schemas.openxmlformats.org/markup-compatibility/2006">
      <mc:Choice Requires="x14">
        <control shapeId="1862" r:id="rId158" name="Check Box 838">
          <controlPr defaultSize="0" autoFill="0" autoLine="0" autoPict="0" macro="[0]!ProcessChkBoxes">
            <anchor moveWithCells="1">
              <from>
                <xdr:col>3</xdr:col>
                <xdr:colOff>0</xdr:colOff>
                <xdr:row>145</xdr:row>
                <xdr:rowOff>19050</xdr:rowOff>
              </from>
              <to>
                <xdr:col>3</xdr:col>
                <xdr:colOff>152400</xdr:colOff>
                <xdr:row>145</xdr:row>
                <xdr:rowOff>123825</xdr:rowOff>
              </to>
            </anchor>
          </controlPr>
        </control>
      </mc:Choice>
    </mc:AlternateContent>
    <mc:AlternateContent xmlns:mc="http://schemas.openxmlformats.org/markup-compatibility/2006">
      <mc:Choice Requires="x14">
        <control shapeId="1863" r:id="rId159" name="Check Box 839">
          <controlPr defaultSize="0" autoFill="0" autoLine="0" autoPict="0" macro="[0]!ProcessChkBoxes">
            <anchor moveWithCells="1">
              <from>
                <xdr:col>3</xdr:col>
                <xdr:colOff>228600</xdr:colOff>
                <xdr:row>145</xdr:row>
                <xdr:rowOff>9525</xdr:rowOff>
              </from>
              <to>
                <xdr:col>4</xdr:col>
                <xdr:colOff>123825</xdr:colOff>
                <xdr:row>145</xdr:row>
                <xdr:rowOff>114300</xdr:rowOff>
              </to>
            </anchor>
          </controlPr>
        </control>
      </mc:Choice>
    </mc:AlternateContent>
    <mc:AlternateContent xmlns:mc="http://schemas.openxmlformats.org/markup-compatibility/2006">
      <mc:Choice Requires="x14">
        <control shapeId="1864" r:id="rId160" name="Check Box 840">
          <controlPr defaultSize="0" autoFill="0" autoLine="0" autoPict="0" macro="[0]!ProcessChkBoxes">
            <anchor moveWithCells="1">
              <from>
                <xdr:col>4</xdr:col>
                <xdr:colOff>238125</xdr:colOff>
                <xdr:row>145</xdr:row>
                <xdr:rowOff>0</xdr:rowOff>
              </from>
              <to>
                <xdr:col>5</xdr:col>
                <xdr:colOff>133350</xdr:colOff>
                <xdr:row>145</xdr:row>
                <xdr:rowOff>104775</xdr:rowOff>
              </to>
            </anchor>
          </controlPr>
        </control>
      </mc:Choice>
    </mc:AlternateContent>
    <mc:AlternateContent xmlns:mc="http://schemas.openxmlformats.org/markup-compatibility/2006">
      <mc:Choice Requires="x14">
        <control shapeId="57" r:id="rId161" name="Check Box 841">
          <controlPr defaultSize="0" autoFill="0" autoLine="0" autoPict="0" macro="[0]!ProcessChkBoxes">
            <anchor moveWithCells="1">
              <from>
                <xdr:col>3</xdr:col>
                <xdr:colOff>38100</xdr:colOff>
                <xdr:row>145</xdr:row>
                <xdr:rowOff>304800</xdr:rowOff>
              </from>
              <to>
                <xdr:col>3</xdr:col>
                <xdr:colOff>190500</xdr:colOff>
                <xdr:row>146</xdr:row>
                <xdr:rowOff>95250</xdr:rowOff>
              </to>
            </anchor>
          </controlPr>
        </control>
      </mc:Choice>
    </mc:AlternateContent>
    <mc:AlternateContent xmlns:mc="http://schemas.openxmlformats.org/markup-compatibility/2006">
      <mc:Choice Requires="x14">
        <control shapeId="236" r:id="rId162" name="Check Box 842">
          <controlPr defaultSize="0" autoFill="0" autoLine="0" autoPict="0" macro="[0]!ProcessChkBoxes">
            <anchor moveWithCells="1">
              <from>
                <xdr:col>4</xdr:col>
                <xdr:colOff>9525</xdr:colOff>
                <xdr:row>145</xdr:row>
                <xdr:rowOff>295275</xdr:rowOff>
              </from>
              <to>
                <xdr:col>4</xdr:col>
                <xdr:colOff>161925</xdr:colOff>
                <xdr:row>146</xdr:row>
                <xdr:rowOff>85725</xdr:rowOff>
              </to>
            </anchor>
          </controlPr>
        </control>
      </mc:Choice>
    </mc:AlternateContent>
    <mc:AlternateContent xmlns:mc="http://schemas.openxmlformats.org/markup-compatibility/2006">
      <mc:Choice Requires="x14">
        <control shapeId="237" r:id="rId163" name="Check Box 843">
          <controlPr defaultSize="0" autoFill="0" autoLine="0" autoPict="0" macro="[0]!ProcessChkBoxes">
            <anchor moveWithCells="1">
              <from>
                <xdr:col>5</xdr:col>
                <xdr:colOff>19050</xdr:colOff>
                <xdr:row>145</xdr:row>
                <xdr:rowOff>285750</xdr:rowOff>
              </from>
              <to>
                <xdr:col>5</xdr:col>
                <xdr:colOff>171450</xdr:colOff>
                <xdr:row>146</xdr:row>
                <xdr:rowOff>76200</xdr:rowOff>
              </to>
            </anchor>
          </controlPr>
        </control>
      </mc:Choice>
    </mc:AlternateContent>
    <mc:AlternateContent xmlns:mc="http://schemas.openxmlformats.org/markup-compatibility/2006">
      <mc:Choice Requires="x14">
        <control shapeId="238" r:id="rId164" name="Check Box 844">
          <controlPr defaultSize="0" autoFill="0" autoLine="0" autoPict="0" macro="[0]!ProcessChkBoxes">
            <anchor moveWithCells="1">
              <from>
                <xdr:col>3</xdr:col>
                <xdr:colOff>38100</xdr:colOff>
                <xdr:row>146</xdr:row>
                <xdr:rowOff>152400</xdr:rowOff>
              </from>
              <to>
                <xdr:col>3</xdr:col>
                <xdr:colOff>190500</xdr:colOff>
                <xdr:row>147</xdr:row>
                <xdr:rowOff>95250</xdr:rowOff>
              </to>
            </anchor>
          </controlPr>
        </control>
      </mc:Choice>
    </mc:AlternateContent>
    <mc:AlternateContent xmlns:mc="http://schemas.openxmlformats.org/markup-compatibility/2006">
      <mc:Choice Requires="x14">
        <control shapeId="239" r:id="rId165" name="Check Box 845">
          <controlPr defaultSize="0" autoFill="0" autoLine="0" autoPict="0" macro="[0]!ProcessChkBoxes">
            <anchor moveWithCells="1">
              <from>
                <xdr:col>4</xdr:col>
                <xdr:colOff>9525</xdr:colOff>
                <xdr:row>146</xdr:row>
                <xdr:rowOff>142875</xdr:rowOff>
              </from>
              <to>
                <xdr:col>4</xdr:col>
                <xdr:colOff>161925</xdr:colOff>
                <xdr:row>147</xdr:row>
                <xdr:rowOff>85725</xdr:rowOff>
              </to>
            </anchor>
          </controlPr>
        </control>
      </mc:Choice>
    </mc:AlternateContent>
    <mc:AlternateContent xmlns:mc="http://schemas.openxmlformats.org/markup-compatibility/2006">
      <mc:Choice Requires="x14">
        <control shapeId="1870" r:id="rId166" name="Check Box 846">
          <controlPr defaultSize="0" autoFill="0" autoLine="0" autoPict="0" macro="[0]!ProcessChkBoxes">
            <anchor moveWithCells="1">
              <from>
                <xdr:col>5</xdr:col>
                <xdr:colOff>19050</xdr:colOff>
                <xdr:row>146</xdr:row>
                <xdr:rowOff>133350</xdr:rowOff>
              </from>
              <to>
                <xdr:col>5</xdr:col>
                <xdr:colOff>171450</xdr:colOff>
                <xdr:row>147</xdr:row>
                <xdr:rowOff>76200</xdr:rowOff>
              </to>
            </anchor>
          </controlPr>
        </control>
      </mc:Choice>
    </mc:AlternateContent>
    <mc:AlternateContent xmlns:mc="http://schemas.openxmlformats.org/markup-compatibility/2006">
      <mc:Choice Requires="x14">
        <control shapeId="1871" r:id="rId167" name="Check Box 847">
          <controlPr defaultSize="0" autoFill="0" autoLine="0" autoPict="0" macro="[0]!ProcessChkBoxes">
            <anchor moveWithCells="1">
              <from>
                <xdr:col>3</xdr:col>
                <xdr:colOff>38100</xdr:colOff>
                <xdr:row>147</xdr:row>
                <xdr:rowOff>142875</xdr:rowOff>
              </from>
              <to>
                <xdr:col>3</xdr:col>
                <xdr:colOff>190500</xdr:colOff>
                <xdr:row>148</xdr:row>
                <xdr:rowOff>85725</xdr:rowOff>
              </to>
            </anchor>
          </controlPr>
        </control>
      </mc:Choice>
    </mc:AlternateContent>
    <mc:AlternateContent xmlns:mc="http://schemas.openxmlformats.org/markup-compatibility/2006">
      <mc:Choice Requires="x14">
        <control shapeId="1872" r:id="rId168" name="Check Box 848">
          <controlPr defaultSize="0" autoFill="0" autoLine="0" autoPict="0" macro="[0]!ProcessChkBoxes">
            <anchor moveWithCells="1">
              <from>
                <xdr:col>4</xdr:col>
                <xdr:colOff>9525</xdr:colOff>
                <xdr:row>147</xdr:row>
                <xdr:rowOff>133350</xdr:rowOff>
              </from>
              <to>
                <xdr:col>4</xdr:col>
                <xdr:colOff>161925</xdr:colOff>
                <xdr:row>148</xdr:row>
                <xdr:rowOff>76200</xdr:rowOff>
              </to>
            </anchor>
          </controlPr>
        </control>
      </mc:Choice>
    </mc:AlternateContent>
    <mc:AlternateContent xmlns:mc="http://schemas.openxmlformats.org/markup-compatibility/2006">
      <mc:Choice Requires="x14">
        <control shapeId="1873" r:id="rId169" name="Check Box 849">
          <controlPr defaultSize="0" autoFill="0" autoLine="0" autoPict="0" macro="[0]!ProcessChkBoxes">
            <anchor moveWithCells="1">
              <from>
                <xdr:col>5</xdr:col>
                <xdr:colOff>19050</xdr:colOff>
                <xdr:row>147</xdr:row>
                <xdr:rowOff>123825</xdr:rowOff>
              </from>
              <to>
                <xdr:col>5</xdr:col>
                <xdr:colOff>171450</xdr:colOff>
                <xdr:row>148</xdr:row>
                <xdr:rowOff>66675</xdr:rowOff>
              </to>
            </anchor>
          </controlPr>
        </control>
      </mc:Choice>
    </mc:AlternateContent>
    <mc:AlternateContent xmlns:mc="http://schemas.openxmlformats.org/markup-compatibility/2006">
      <mc:Choice Requires="x14">
        <control shapeId="1874" r:id="rId170" name="Check Box 850">
          <controlPr defaultSize="0" autoFill="0" autoLine="0" autoPict="0" macro="[0]!ProcessChkBoxes">
            <anchor moveWithCells="1">
              <from>
                <xdr:col>3</xdr:col>
                <xdr:colOff>57150</xdr:colOff>
                <xdr:row>149</xdr:row>
                <xdr:rowOff>28575</xdr:rowOff>
              </from>
              <to>
                <xdr:col>3</xdr:col>
                <xdr:colOff>209550</xdr:colOff>
                <xdr:row>149</xdr:row>
                <xdr:rowOff>133350</xdr:rowOff>
              </to>
            </anchor>
          </controlPr>
        </control>
      </mc:Choice>
    </mc:AlternateContent>
    <mc:AlternateContent xmlns:mc="http://schemas.openxmlformats.org/markup-compatibility/2006">
      <mc:Choice Requires="x14">
        <control shapeId="1875" r:id="rId171" name="Check Box 851">
          <controlPr defaultSize="0" autoFill="0" autoLine="0" autoPict="0" macro="[0]!ProcessChkBoxes">
            <anchor moveWithCells="1">
              <from>
                <xdr:col>4</xdr:col>
                <xdr:colOff>28575</xdr:colOff>
                <xdr:row>149</xdr:row>
                <xdr:rowOff>19050</xdr:rowOff>
              </from>
              <to>
                <xdr:col>4</xdr:col>
                <xdr:colOff>180975</xdr:colOff>
                <xdr:row>149</xdr:row>
                <xdr:rowOff>123825</xdr:rowOff>
              </to>
            </anchor>
          </controlPr>
        </control>
      </mc:Choice>
    </mc:AlternateContent>
    <mc:AlternateContent xmlns:mc="http://schemas.openxmlformats.org/markup-compatibility/2006">
      <mc:Choice Requires="x14">
        <control shapeId="1876" r:id="rId172" name="Check Box 852">
          <controlPr defaultSize="0" autoFill="0" autoLine="0" autoPict="0" macro="[0]!ProcessChkBoxes">
            <anchor moveWithCells="1">
              <from>
                <xdr:col>5</xdr:col>
                <xdr:colOff>38100</xdr:colOff>
                <xdr:row>149</xdr:row>
                <xdr:rowOff>9525</xdr:rowOff>
              </from>
              <to>
                <xdr:col>5</xdr:col>
                <xdr:colOff>190500</xdr:colOff>
                <xdr:row>149</xdr:row>
                <xdr:rowOff>114300</xdr:rowOff>
              </to>
            </anchor>
          </controlPr>
        </control>
      </mc:Choice>
    </mc:AlternateContent>
    <mc:AlternateContent xmlns:mc="http://schemas.openxmlformats.org/markup-compatibility/2006">
      <mc:Choice Requires="x14">
        <control shapeId="1880" r:id="rId173" name="Check Box 856">
          <controlPr defaultSize="0" autoFill="0" autoLine="0" autoPict="0" macro="[0]!ProcessChkBoxes">
            <anchor moveWithCells="1">
              <from>
                <xdr:col>3</xdr:col>
                <xdr:colOff>0</xdr:colOff>
                <xdr:row>160</xdr:row>
                <xdr:rowOff>19050</xdr:rowOff>
              </from>
              <to>
                <xdr:col>3</xdr:col>
                <xdr:colOff>152400</xdr:colOff>
                <xdr:row>160</xdr:row>
                <xdr:rowOff>123825</xdr:rowOff>
              </to>
            </anchor>
          </controlPr>
        </control>
      </mc:Choice>
    </mc:AlternateContent>
    <mc:AlternateContent xmlns:mc="http://schemas.openxmlformats.org/markup-compatibility/2006">
      <mc:Choice Requires="x14">
        <control shapeId="1881" r:id="rId174" name="Check Box 857">
          <controlPr defaultSize="0" autoFill="0" autoLine="0" autoPict="0" macro="[0]!ProcessChkBoxes">
            <anchor moveWithCells="1">
              <from>
                <xdr:col>3</xdr:col>
                <xdr:colOff>228600</xdr:colOff>
                <xdr:row>160</xdr:row>
                <xdr:rowOff>9525</xdr:rowOff>
              </from>
              <to>
                <xdr:col>4</xdr:col>
                <xdr:colOff>123825</xdr:colOff>
                <xdr:row>160</xdr:row>
                <xdr:rowOff>114300</xdr:rowOff>
              </to>
            </anchor>
          </controlPr>
        </control>
      </mc:Choice>
    </mc:AlternateContent>
    <mc:AlternateContent xmlns:mc="http://schemas.openxmlformats.org/markup-compatibility/2006">
      <mc:Choice Requires="x14">
        <control shapeId="1882" r:id="rId175" name="Check Box 858">
          <controlPr defaultSize="0" autoFill="0" autoLine="0" autoPict="0" macro="[0]!ProcessChkBoxes">
            <anchor moveWithCells="1">
              <from>
                <xdr:col>4</xdr:col>
                <xdr:colOff>238125</xdr:colOff>
                <xdr:row>160</xdr:row>
                <xdr:rowOff>0</xdr:rowOff>
              </from>
              <to>
                <xdr:col>5</xdr:col>
                <xdr:colOff>133350</xdr:colOff>
                <xdr:row>160</xdr:row>
                <xdr:rowOff>104775</xdr:rowOff>
              </to>
            </anchor>
          </controlPr>
        </control>
      </mc:Choice>
    </mc:AlternateContent>
    <mc:AlternateContent xmlns:mc="http://schemas.openxmlformats.org/markup-compatibility/2006">
      <mc:Choice Requires="x14">
        <control shapeId="1883" r:id="rId176" name="Check Box 859">
          <controlPr defaultSize="0" autoFill="0" autoLine="0" autoPict="0" macro="[0]!ProcessChkBoxes">
            <anchor moveWithCells="1">
              <from>
                <xdr:col>3</xdr:col>
                <xdr:colOff>0</xdr:colOff>
                <xdr:row>161</xdr:row>
                <xdr:rowOff>19050</xdr:rowOff>
              </from>
              <to>
                <xdr:col>3</xdr:col>
                <xdr:colOff>152400</xdr:colOff>
                <xdr:row>161</xdr:row>
                <xdr:rowOff>123825</xdr:rowOff>
              </to>
            </anchor>
          </controlPr>
        </control>
      </mc:Choice>
    </mc:AlternateContent>
    <mc:AlternateContent xmlns:mc="http://schemas.openxmlformats.org/markup-compatibility/2006">
      <mc:Choice Requires="x14">
        <control shapeId="1884" r:id="rId177" name="Check Box 860">
          <controlPr defaultSize="0" autoFill="0" autoLine="0" autoPict="0" macro="[0]!ProcessChkBoxes">
            <anchor moveWithCells="1">
              <from>
                <xdr:col>3</xdr:col>
                <xdr:colOff>228600</xdr:colOff>
                <xdr:row>161</xdr:row>
                <xdr:rowOff>9525</xdr:rowOff>
              </from>
              <to>
                <xdr:col>4</xdr:col>
                <xdr:colOff>123825</xdr:colOff>
                <xdr:row>161</xdr:row>
                <xdr:rowOff>114300</xdr:rowOff>
              </to>
            </anchor>
          </controlPr>
        </control>
      </mc:Choice>
    </mc:AlternateContent>
    <mc:AlternateContent xmlns:mc="http://schemas.openxmlformats.org/markup-compatibility/2006">
      <mc:Choice Requires="x14">
        <control shapeId="1885" r:id="rId178" name="Check Box 861">
          <controlPr defaultSize="0" autoFill="0" autoLine="0" autoPict="0" macro="[0]!ProcessChkBoxes">
            <anchor moveWithCells="1">
              <from>
                <xdr:col>4</xdr:col>
                <xdr:colOff>238125</xdr:colOff>
                <xdr:row>161</xdr:row>
                <xdr:rowOff>0</xdr:rowOff>
              </from>
              <to>
                <xdr:col>5</xdr:col>
                <xdr:colOff>133350</xdr:colOff>
                <xdr:row>161</xdr:row>
                <xdr:rowOff>104775</xdr:rowOff>
              </to>
            </anchor>
          </controlPr>
        </control>
      </mc:Choice>
    </mc:AlternateContent>
    <mc:AlternateContent xmlns:mc="http://schemas.openxmlformats.org/markup-compatibility/2006">
      <mc:Choice Requires="x14">
        <control shapeId="240" r:id="rId179" name="Check Box 862">
          <controlPr defaultSize="0" autoFill="0" autoLine="0" autoPict="0" macro="[0]!ProcessChkBoxes">
            <anchor moveWithCells="1">
              <from>
                <xdr:col>3</xdr:col>
                <xdr:colOff>0</xdr:colOff>
                <xdr:row>162</xdr:row>
                <xdr:rowOff>19050</xdr:rowOff>
              </from>
              <to>
                <xdr:col>3</xdr:col>
                <xdr:colOff>152400</xdr:colOff>
                <xdr:row>162</xdr:row>
                <xdr:rowOff>123825</xdr:rowOff>
              </to>
            </anchor>
          </controlPr>
        </control>
      </mc:Choice>
    </mc:AlternateContent>
    <mc:AlternateContent xmlns:mc="http://schemas.openxmlformats.org/markup-compatibility/2006">
      <mc:Choice Requires="x14">
        <control shapeId="241" r:id="rId180" name="Check Box 863">
          <controlPr defaultSize="0" autoFill="0" autoLine="0" autoPict="0" macro="[0]!ProcessChkBoxes">
            <anchor moveWithCells="1">
              <from>
                <xdr:col>3</xdr:col>
                <xdr:colOff>228600</xdr:colOff>
                <xdr:row>162</xdr:row>
                <xdr:rowOff>9525</xdr:rowOff>
              </from>
              <to>
                <xdr:col>4</xdr:col>
                <xdr:colOff>123825</xdr:colOff>
                <xdr:row>162</xdr:row>
                <xdr:rowOff>114300</xdr:rowOff>
              </to>
            </anchor>
          </controlPr>
        </control>
      </mc:Choice>
    </mc:AlternateContent>
    <mc:AlternateContent xmlns:mc="http://schemas.openxmlformats.org/markup-compatibility/2006">
      <mc:Choice Requires="x14">
        <control shapeId="247" r:id="rId181" name="Check Box 864">
          <controlPr defaultSize="0" autoFill="0" autoLine="0" autoPict="0" macro="[0]!ProcessChkBoxes">
            <anchor moveWithCells="1">
              <from>
                <xdr:col>4</xdr:col>
                <xdr:colOff>238125</xdr:colOff>
                <xdr:row>162</xdr:row>
                <xdr:rowOff>0</xdr:rowOff>
              </from>
              <to>
                <xdr:col>5</xdr:col>
                <xdr:colOff>133350</xdr:colOff>
                <xdr:row>162</xdr:row>
                <xdr:rowOff>104775</xdr:rowOff>
              </to>
            </anchor>
          </controlPr>
        </control>
      </mc:Choice>
    </mc:AlternateContent>
    <mc:AlternateContent xmlns:mc="http://schemas.openxmlformats.org/markup-compatibility/2006">
      <mc:Choice Requires="x14">
        <control shapeId="248" r:id="rId182" name="Check Box 865">
          <controlPr defaultSize="0" autoFill="0" autoLine="0" autoPict="0" macro="[0]!ProcessChkBoxes">
            <anchor moveWithCells="1">
              <from>
                <xdr:col>3</xdr:col>
                <xdr:colOff>0</xdr:colOff>
                <xdr:row>165</xdr:row>
                <xdr:rowOff>19050</xdr:rowOff>
              </from>
              <to>
                <xdr:col>3</xdr:col>
                <xdr:colOff>152400</xdr:colOff>
                <xdr:row>165</xdr:row>
                <xdr:rowOff>123825</xdr:rowOff>
              </to>
            </anchor>
          </controlPr>
        </control>
      </mc:Choice>
    </mc:AlternateContent>
    <mc:AlternateContent xmlns:mc="http://schemas.openxmlformats.org/markup-compatibility/2006">
      <mc:Choice Requires="x14">
        <control shapeId="1890" r:id="rId183" name="Check Box 866">
          <controlPr defaultSize="0" autoFill="0" autoLine="0" autoPict="0" macro="[0]!ProcessChkBoxes">
            <anchor moveWithCells="1">
              <from>
                <xdr:col>3</xdr:col>
                <xdr:colOff>228600</xdr:colOff>
                <xdr:row>165</xdr:row>
                <xdr:rowOff>9525</xdr:rowOff>
              </from>
              <to>
                <xdr:col>4</xdr:col>
                <xdr:colOff>123825</xdr:colOff>
                <xdr:row>165</xdr:row>
                <xdr:rowOff>114300</xdr:rowOff>
              </to>
            </anchor>
          </controlPr>
        </control>
      </mc:Choice>
    </mc:AlternateContent>
    <mc:AlternateContent xmlns:mc="http://schemas.openxmlformats.org/markup-compatibility/2006">
      <mc:Choice Requires="x14">
        <control shapeId="1891" r:id="rId184" name="Check Box 867">
          <controlPr defaultSize="0" autoFill="0" autoLine="0" autoPict="0" macro="[0]!ProcessChkBoxes">
            <anchor moveWithCells="1">
              <from>
                <xdr:col>4</xdr:col>
                <xdr:colOff>238125</xdr:colOff>
                <xdr:row>165</xdr:row>
                <xdr:rowOff>0</xdr:rowOff>
              </from>
              <to>
                <xdr:col>5</xdr:col>
                <xdr:colOff>133350</xdr:colOff>
                <xdr:row>165</xdr:row>
                <xdr:rowOff>104775</xdr:rowOff>
              </to>
            </anchor>
          </controlPr>
        </control>
      </mc:Choice>
    </mc:AlternateContent>
    <mc:AlternateContent xmlns:mc="http://schemas.openxmlformats.org/markup-compatibility/2006">
      <mc:Choice Requires="x14">
        <control shapeId="1892" r:id="rId185" name="Check Box 868">
          <controlPr defaultSize="0" autoFill="0" autoLine="0" autoPict="0" macro="[0]!ProcessChkBoxes">
            <anchor moveWithCells="1">
              <from>
                <xdr:col>3</xdr:col>
                <xdr:colOff>0</xdr:colOff>
                <xdr:row>166</xdr:row>
                <xdr:rowOff>19050</xdr:rowOff>
              </from>
              <to>
                <xdr:col>3</xdr:col>
                <xdr:colOff>152400</xdr:colOff>
                <xdr:row>166</xdr:row>
                <xdr:rowOff>123825</xdr:rowOff>
              </to>
            </anchor>
          </controlPr>
        </control>
      </mc:Choice>
    </mc:AlternateContent>
    <mc:AlternateContent xmlns:mc="http://schemas.openxmlformats.org/markup-compatibility/2006">
      <mc:Choice Requires="x14">
        <control shapeId="1893" r:id="rId186" name="Check Box 869">
          <controlPr defaultSize="0" autoFill="0" autoLine="0" autoPict="0" macro="[0]!ProcessChkBoxes">
            <anchor moveWithCells="1">
              <from>
                <xdr:col>3</xdr:col>
                <xdr:colOff>228600</xdr:colOff>
                <xdr:row>166</xdr:row>
                <xdr:rowOff>9525</xdr:rowOff>
              </from>
              <to>
                <xdr:col>4</xdr:col>
                <xdr:colOff>123825</xdr:colOff>
                <xdr:row>166</xdr:row>
                <xdr:rowOff>114300</xdr:rowOff>
              </to>
            </anchor>
          </controlPr>
        </control>
      </mc:Choice>
    </mc:AlternateContent>
    <mc:AlternateContent xmlns:mc="http://schemas.openxmlformats.org/markup-compatibility/2006">
      <mc:Choice Requires="x14">
        <control shapeId="1894" r:id="rId187" name="Check Box 870">
          <controlPr defaultSize="0" autoFill="0" autoLine="0" autoPict="0" macro="[0]!ProcessChkBoxes">
            <anchor moveWithCells="1">
              <from>
                <xdr:col>4</xdr:col>
                <xdr:colOff>238125</xdr:colOff>
                <xdr:row>166</xdr:row>
                <xdr:rowOff>0</xdr:rowOff>
              </from>
              <to>
                <xdr:col>5</xdr:col>
                <xdr:colOff>133350</xdr:colOff>
                <xdr:row>166</xdr:row>
                <xdr:rowOff>104775</xdr:rowOff>
              </to>
            </anchor>
          </controlPr>
        </control>
      </mc:Choice>
    </mc:AlternateContent>
    <mc:AlternateContent xmlns:mc="http://schemas.openxmlformats.org/markup-compatibility/2006">
      <mc:Choice Requires="x14">
        <control shapeId="1895" r:id="rId188" name="Check Box 871">
          <controlPr defaultSize="0" autoFill="0" autoLine="0" autoPict="0" macro="[0]!ProcessChkBoxes">
            <anchor moveWithCells="1">
              <from>
                <xdr:col>3</xdr:col>
                <xdr:colOff>0</xdr:colOff>
                <xdr:row>170</xdr:row>
                <xdr:rowOff>19050</xdr:rowOff>
              </from>
              <to>
                <xdr:col>3</xdr:col>
                <xdr:colOff>152400</xdr:colOff>
                <xdr:row>170</xdr:row>
                <xdr:rowOff>123825</xdr:rowOff>
              </to>
            </anchor>
          </controlPr>
        </control>
      </mc:Choice>
    </mc:AlternateContent>
    <mc:AlternateContent xmlns:mc="http://schemas.openxmlformats.org/markup-compatibility/2006">
      <mc:Choice Requires="x14">
        <control shapeId="1896" r:id="rId189" name="Check Box 872">
          <controlPr defaultSize="0" autoFill="0" autoLine="0" autoPict="0" macro="[0]!ProcessChkBoxes">
            <anchor moveWithCells="1">
              <from>
                <xdr:col>3</xdr:col>
                <xdr:colOff>228600</xdr:colOff>
                <xdr:row>170</xdr:row>
                <xdr:rowOff>9525</xdr:rowOff>
              </from>
              <to>
                <xdr:col>4</xdr:col>
                <xdr:colOff>123825</xdr:colOff>
                <xdr:row>170</xdr:row>
                <xdr:rowOff>114300</xdr:rowOff>
              </to>
            </anchor>
          </controlPr>
        </control>
      </mc:Choice>
    </mc:AlternateContent>
    <mc:AlternateContent xmlns:mc="http://schemas.openxmlformats.org/markup-compatibility/2006">
      <mc:Choice Requires="x14">
        <control shapeId="1897" r:id="rId190" name="Check Box 873">
          <controlPr defaultSize="0" autoFill="0" autoLine="0" autoPict="0" macro="[0]!ProcessChkBoxes">
            <anchor moveWithCells="1">
              <from>
                <xdr:col>4</xdr:col>
                <xdr:colOff>238125</xdr:colOff>
                <xdr:row>170</xdr:row>
                <xdr:rowOff>0</xdr:rowOff>
              </from>
              <to>
                <xdr:col>5</xdr:col>
                <xdr:colOff>133350</xdr:colOff>
                <xdr:row>170</xdr:row>
                <xdr:rowOff>104775</xdr:rowOff>
              </to>
            </anchor>
          </controlPr>
        </control>
      </mc:Choice>
    </mc:AlternateContent>
    <mc:AlternateContent xmlns:mc="http://schemas.openxmlformats.org/markup-compatibility/2006">
      <mc:Choice Requires="x14">
        <control shapeId="1898" r:id="rId191" name="Check Box 874">
          <controlPr defaultSize="0" autoFill="0" autoLine="0" autoPict="0" macro="[0]!ProcessChkBoxes">
            <anchor moveWithCells="1">
              <from>
                <xdr:col>3</xdr:col>
                <xdr:colOff>0</xdr:colOff>
                <xdr:row>174</xdr:row>
                <xdr:rowOff>19050</xdr:rowOff>
              </from>
              <to>
                <xdr:col>3</xdr:col>
                <xdr:colOff>152400</xdr:colOff>
                <xdr:row>174</xdr:row>
                <xdr:rowOff>123825</xdr:rowOff>
              </to>
            </anchor>
          </controlPr>
        </control>
      </mc:Choice>
    </mc:AlternateContent>
    <mc:AlternateContent xmlns:mc="http://schemas.openxmlformats.org/markup-compatibility/2006">
      <mc:Choice Requires="x14">
        <control shapeId="1899" r:id="rId192" name="Check Box 875">
          <controlPr defaultSize="0" autoFill="0" autoLine="0" autoPict="0" macro="[0]!ProcessChkBoxes">
            <anchor moveWithCells="1">
              <from>
                <xdr:col>3</xdr:col>
                <xdr:colOff>228600</xdr:colOff>
                <xdr:row>174</xdr:row>
                <xdr:rowOff>9525</xdr:rowOff>
              </from>
              <to>
                <xdr:col>4</xdr:col>
                <xdr:colOff>123825</xdr:colOff>
                <xdr:row>174</xdr:row>
                <xdr:rowOff>114300</xdr:rowOff>
              </to>
            </anchor>
          </controlPr>
        </control>
      </mc:Choice>
    </mc:AlternateContent>
    <mc:AlternateContent xmlns:mc="http://schemas.openxmlformats.org/markup-compatibility/2006">
      <mc:Choice Requires="x14">
        <control shapeId="1900" r:id="rId193" name="Check Box 876">
          <controlPr defaultSize="0" autoFill="0" autoLine="0" autoPict="0" macro="[0]!ProcessChkBoxes">
            <anchor moveWithCells="1">
              <from>
                <xdr:col>4</xdr:col>
                <xdr:colOff>238125</xdr:colOff>
                <xdr:row>174</xdr:row>
                <xdr:rowOff>0</xdr:rowOff>
              </from>
              <to>
                <xdr:col>5</xdr:col>
                <xdr:colOff>133350</xdr:colOff>
                <xdr:row>174</xdr:row>
                <xdr:rowOff>104775</xdr:rowOff>
              </to>
            </anchor>
          </controlPr>
        </control>
      </mc:Choice>
    </mc:AlternateContent>
    <mc:AlternateContent xmlns:mc="http://schemas.openxmlformats.org/markup-compatibility/2006">
      <mc:Choice Requires="x14">
        <control shapeId="1901" r:id="rId194" name="Check Box 877">
          <controlPr defaultSize="0" autoFill="0" autoLine="0" autoPict="0" macro="[0]!ProcessChkBoxes">
            <anchor moveWithCells="1">
              <from>
                <xdr:col>3</xdr:col>
                <xdr:colOff>0</xdr:colOff>
                <xdr:row>178</xdr:row>
                <xdr:rowOff>19050</xdr:rowOff>
              </from>
              <to>
                <xdr:col>3</xdr:col>
                <xdr:colOff>152400</xdr:colOff>
                <xdr:row>178</xdr:row>
                <xdr:rowOff>123825</xdr:rowOff>
              </to>
            </anchor>
          </controlPr>
        </control>
      </mc:Choice>
    </mc:AlternateContent>
    <mc:AlternateContent xmlns:mc="http://schemas.openxmlformats.org/markup-compatibility/2006">
      <mc:Choice Requires="x14">
        <control shapeId="1902" r:id="rId195" name="Check Box 878">
          <controlPr defaultSize="0" autoFill="0" autoLine="0" autoPict="0" macro="[0]!ProcessChkBoxes">
            <anchor moveWithCells="1">
              <from>
                <xdr:col>3</xdr:col>
                <xdr:colOff>228600</xdr:colOff>
                <xdr:row>178</xdr:row>
                <xdr:rowOff>9525</xdr:rowOff>
              </from>
              <to>
                <xdr:col>4</xdr:col>
                <xdr:colOff>123825</xdr:colOff>
                <xdr:row>178</xdr:row>
                <xdr:rowOff>114300</xdr:rowOff>
              </to>
            </anchor>
          </controlPr>
        </control>
      </mc:Choice>
    </mc:AlternateContent>
    <mc:AlternateContent xmlns:mc="http://schemas.openxmlformats.org/markup-compatibility/2006">
      <mc:Choice Requires="x14">
        <control shapeId="1903" r:id="rId196" name="Check Box 879">
          <controlPr defaultSize="0" autoFill="0" autoLine="0" autoPict="0" macro="[0]!ProcessChkBoxes">
            <anchor moveWithCells="1">
              <from>
                <xdr:col>4</xdr:col>
                <xdr:colOff>238125</xdr:colOff>
                <xdr:row>178</xdr:row>
                <xdr:rowOff>0</xdr:rowOff>
              </from>
              <to>
                <xdr:col>5</xdr:col>
                <xdr:colOff>133350</xdr:colOff>
                <xdr:row>178</xdr:row>
                <xdr:rowOff>104775</xdr:rowOff>
              </to>
            </anchor>
          </controlPr>
        </control>
      </mc:Choice>
    </mc:AlternateContent>
    <mc:AlternateContent xmlns:mc="http://schemas.openxmlformats.org/markup-compatibility/2006">
      <mc:Choice Requires="x14">
        <control shapeId="1904" r:id="rId197" name="Check Box 880">
          <controlPr defaultSize="0" autoFill="0" autoLine="0" autoPict="0" macro="[0]!ProcessChkBoxes">
            <anchor moveWithCells="1">
              <from>
                <xdr:col>3</xdr:col>
                <xdr:colOff>0</xdr:colOff>
                <xdr:row>182</xdr:row>
                <xdr:rowOff>19050</xdr:rowOff>
              </from>
              <to>
                <xdr:col>3</xdr:col>
                <xdr:colOff>152400</xdr:colOff>
                <xdr:row>182</xdr:row>
                <xdr:rowOff>123825</xdr:rowOff>
              </to>
            </anchor>
          </controlPr>
        </control>
      </mc:Choice>
    </mc:AlternateContent>
    <mc:AlternateContent xmlns:mc="http://schemas.openxmlformats.org/markup-compatibility/2006">
      <mc:Choice Requires="x14">
        <control shapeId="1905" r:id="rId198" name="Check Box 881">
          <controlPr defaultSize="0" autoFill="0" autoLine="0" autoPict="0" macro="[0]!ProcessChkBoxes">
            <anchor moveWithCells="1">
              <from>
                <xdr:col>3</xdr:col>
                <xdr:colOff>228600</xdr:colOff>
                <xdr:row>182</xdr:row>
                <xdr:rowOff>9525</xdr:rowOff>
              </from>
              <to>
                <xdr:col>4</xdr:col>
                <xdr:colOff>123825</xdr:colOff>
                <xdr:row>182</xdr:row>
                <xdr:rowOff>114300</xdr:rowOff>
              </to>
            </anchor>
          </controlPr>
        </control>
      </mc:Choice>
    </mc:AlternateContent>
    <mc:AlternateContent xmlns:mc="http://schemas.openxmlformats.org/markup-compatibility/2006">
      <mc:Choice Requires="x14">
        <control shapeId="249" r:id="rId199" name="Check Box 882">
          <controlPr defaultSize="0" autoFill="0" autoLine="0" autoPict="0" macro="[0]!ProcessChkBoxes">
            <anchor moveWithCells="1">
              <from>
                <xdr:col>4</xdr:col>
                <xdr:colOff>238125</xdr:colOff>
                <xdr:row>182</xdr:row>
                <xdr:rowOff>0</xdr:rowOff>
              </from>
              <to>
                <xdr:col>5</xdr:col>
                <xdr:colOff>133350</xdr:colOff>
                <xdr:row>182</xdr:row>
                <xdr:rowOff>104775</xdr:rowOff>
              </to>
            </anchor>
          </controlPr>
        </control>
      </mc:Choice>
    </mc:AlternateContent>
    <mc:AlternateContent xmlns:mc="http://schemas.openxmlformats.org/markup-compatibility/2006">
      <mc:Choice Requires="x14">
        <control shapeId="250" r:id="rId200" name="Check Box 883">
          <controlPr defaultSize="0" autoFill="0" autoLine="0" autoPict="0" macro="[0]!ProcessChkBoxes">
            <anchor moveWithCells="1">
              <from>
                <xdr:col>3</xdr:col>
                <xdr:colOff>0</xdr:colOff>
                <xdr:row>183</xdr:row>
                <xdr:rowOff>19050</xdr:rowOff>
              </from>
              <to>
                <xdr:col>3</xdr:col>
                <xdr:colOff>152400</xdr:colOff>
                <xdr:row>183</xdr:row>
                <xdr:rowOff>123825</xdr:rowOff>
              </to>
            </anchor>
          </controlPr>
        </control>
      </mc:Choice>
    </mc:AlternateContent>
    <mc:AlternateContent xmlns:mc="http://schemas.openxmlformats.org/markup-compatibility/2006">
      <mc:Choice Requires="x14">
        <control shapeId="251" r:id="rId201" name="Check Box 884">
          <controlPr defaultSize="0" autoFill="0" autoLine="0" autoPict="0" macro="[0]!ProcessChkBoxes">
            <anchor moveWithCells="1">
              <from>
                <xdr:col>3</xdr:col>
                <xdr:colOff>228600</xdr:colOff>
                <xdr:row>183</xdr:row>
                <xdr:rowOff>9525</xdr:rowOff>
              </from>
              <to>
                <xdr:col>4</xdr:col>
                <xdr:colOff>123825</xdr:colOff>
                <xdr:row>183</xdr:row>
                <xdr:rowOff>114300</xdr:rowOff>
              </to>
            </anchor>
          </controlPr>
        </control>
      </mc:Choice>
    </mc:AlternateContent>
    <mc:AlternateContent xmlns:mc="http://schemas.openxmlformats.org/markup-compatibility/2006">
      <mc:Choice Requires="x14">
        <control shapeId="1909" r:id="rId202" name="Check Box 885">
          <controlPr defaultSize="0" autoFill="0" autoLine="0" autoPict="0" macro="[0]!ProcessChkBoxes">
            <anchor moveWithCells="1">
              <from>
                <xdr:col>4</xdr:col>
                <xdr:colOff>238125</xdr:colOff>
                <xdr:row>183</xdr:row>
                <xdr:rowOff>0</xdr:rowOff>
              </from>
              <to>
                <xdr:col>5</xdr:col>
                <xdr:colOff>133350</xdr:colOff>
                <xdr:row>183</xdr:row>
                <xdr:rowOff>104775</xdr:rowOff>
              </to>
            </anchor>
          </controlPr>
        </control>
      </mc:Choice>
    </mc:AlternateContent>
    <mc:AlternateContent xmlns:mc="http://schemas.openxmlformats.org/markup-compatibility/2006">
      <mc:Choice Requires="x14">
        <control shapeId="1910" r:id="rId203" name="Check Box 886">
          <controlPr defaultSize="0" autoFill="0" autoLine="0" autoPict="0" macro="[0]!ProcessChkBoxes">
            <anchor moveWithCells="1">
              <from>
                <xdr:col>3</xdr:col>
                <xdr:colOff>0</xdr:colOff>
                <xdr:row>187</xdr:row>
                <xdr:rowOff>19050</xdr:rowOff>
              </from>
              <to>
                <xdr:col>3</xdr:col>
                <xdr:colOff>152400</xdr:colOff>
                <xdr:row>187</xdr:row>
                <xdr:rowOff>123825</xdr:rowOff>
              </to>
            </anchor>
          </controlPr>
        </control>
      </mc:Choice>
    </mc:AlternateContent>
    <mc:AlternateContent xmlns:mc="http://schemas.openxmlformats.org/markup-compatibility/2006">
      <mc:Choice Requires="x14">
        <control shapeId="1911" r:id="rId204" name="Check Box 887">
          <controlPr defaultSize="0" autoFill="0" autoLine="0" autoPict="0" macro="[0]!ProcessChkBoxes">
            <anchor moveWithCells="1">
              <from>
                <xdr:col>3</xdr:col>
                <xdr:colOff>228600</xdr:colOff>
                <xdr:row>187</xdr:row>
                <xdr:rowOff>9525</xdr:rowOff>
              </from>
              <to>
                <xdr:col>4</xdr:col>
                <xdr:colOff>123825</xdr:colOff>
                <xdr:row>187</xdr:row>
                <xdr:rowOff>114300</xdr:rowOff>
              </to>
            </anchor>
          </controlPr>
        </control>
      </mc:Choice>
    </mc:AlternateContent>
    <mc:AlternateContent xmlns:mc="http://schemas.openxmlformats.org/markup-compatibility/2006">
      <mc:Choice Requires="x14">
        <control shapeId="1912" r:id="rId205" name="Check Box 888">
          <controlPr defaultSize="0" autoFill="0" autoLine="0" autoPict="0" macro="[0]!ProcessChkBoxes">
            <anchor moveWithCells="1">
              <from>
                <xdr:col>4</xdr:col>
                <xdr:colOff>238125</xdr:colOff>
                <xdr:row>187</xdr:row>
                <xdr:rowOff>0</xdr:rowOff>
              </from>
              <to>
                <xdr:col>5</xdr:col>
                <xdr:colOff>133350</xdr:colOff>
                <xdr:row>187</xdr:row>
                <xdr:rowOff>104775</xdr:rowOff>
              </to>
            </anchor>
          </controlPr>
        </control>
      </mc:Choice>
    </mc:AlternateContent>
    <mc:AlternateContent xmlns:mc="http://schemas.openxmlformats.org/markup-compatibility/2006">
      <mc:Choice Requires="x14">
        <control shapeId="1913" r:id="rId206" name="Check Box 889">
          <controlPr defaultSize="0" autoFill="0" autoLine="0" autoPict="0" macro="[0]!ProcessChkBoxes">
            <anchor moveWithCells="1">
              <from>
                <xdr:col>3</xdr:col>
                <xdr:colOff>0</xdr:colOff>
                <xdr:row>188</xdr:row>
                <xdr:rowOff>19050</xdr:rowOff>
              </from>
              <to>
                <xdr:col>3</xdr:col>
                <xdr:colOff>152400</xdr:colOff>
                <xdr:row>188</xdr:row>
                <xdr:rowOff>123825</xdr:rowOff>
              </to>
            </anchor>
          </controlPr>
        </control>
      </mc:Choice>
    </mc:AlternateContent>
    <mc:AlternateContent xmlns:mc="http://schemas.openxmlformats.org/markup-compatibility/2006">
      <mc:Choice Requires="x14">
        <control shapeId="1914" r:id="rId207" name="Check Box 890">
          <controlPr defaultSize="0" autoFill="0" autoLine="0" autoPict="0" macro="[0]!ProcessChkBoxes">
            <anchor moveWithCells="1">
              <from>
                <xdr:col>3</xdr:col>
                <xdr:colOff>228600</xdr:colOff>
                <xdr:row>188</xdr:row>
                <xdr:rowOff>9525</xdr:rowOff>
              </from>
              <to>
                <xdr:col>4</xdr:col>
                <xdr:colOff>123825</xdr:colOff>
                <xdr:row>188</xdr:row>
                <xdr:rowOff>114300</xdr:rowOff>
              </to>
            </anchor>
          </controlPr>
        </control>
      </mc:Choice>
    </mc:AlternateContent>
    <mc:AlternateContent xmlns:mc="http://schemas.openxmlformats.org/markup-compatibility/2006">
      <mc:Choice Requires="x14">
        <control shapeId="1915" r:id="rId208" name="Check Box 891">
          <controlPr defaultSize="0" autoFill="0" autoLine="0" autoPict="0" macro="[0]!ProcessChkBoxes">
            <anchor moveWithCells="1">
              <from>
                <xdr:col>4</xdr:col>
                <xdr:colOff>238125</xdr:colOff>
                <xdr:row>188</xdr:row>
                <xdr:rowOff>0</xdr:rowOff>
              </from>
              <to>
                <xdr:col>5</xdr:col>
                <xdr:colOff>133350</xdr:colOff>
                <xdr:row>188</xdr:row>
                <xdr:rowOff>104775</xdr:rowOff>
              </to>
            </anchor>
          </controlPr>
        </control>
      </mc:Choice>
    </mc:AlternateContent>
    <mc:AlternateContent xmlns:mc="http://schemas.openxmlformats.org/markup-compatibility/2006">
      <mc:Choice Requires="x14">
        <control shapeId="1916" r:id="rId209" name="Check Box 892">
          <controlPr defaultSize="0" autoFill="0" autoLine="0" autoPict="0" macro="[0]!ProcessChkBoxes">
            <anchor moveWithCells="1">
              <from>
                <xdr:col>3</xdr:col>
                <xdr:colOff>0</xdr:colOff>
                <xdr:row>189</xdr:row>
                <xdr:rowOff>19050</xdr:rowOff>
              </from>
              <to>
                <xdr:col>3</xdr:col>
                <xdr:colOff>152400</xdr:colOff>
                <xdr:row>189</xdr:row>
                <xdr:rowOff>123825</xdr:rowOff>
              </to>
            </anchor>
          </controlPr>
        </control>
      </mc:Choice>
    </mc:AlternateContent>
    <mc:AlternateContent xmlns:mc="http://schemas.openxmlformats.org/markup-compatibility/2006">
      <mc:Choice Requires="x14">
        <control shapeId="1917" r:id="rId210" name="Check Box 893">
          <controlPr defaultSize="0" autoFill="0" autoLine="0" autoPict="0" macro="[0]!ProcessChkBoxes">
            <anchor moveWithCells="1">
              <from>
                <xdr:col>3</xdr:col>
                <xdr:colOff>228600</xdr:colOff>
                <xdr:row>189</xdr:row>
                <xdr:rowOff>9525</xdr:rowOff>
              </from>
              <to>
                <xdr:col>4</xdr:col>
                <xdr:colOff>123825</xdr:colOff>
                <xdr:row>189</xdr:row>
                <xdr:rowOff>114300</xdr:rowOff>
              </to>
            </anchor>
          </controlPr>
        </control>
      </mc:Choice>
    </mc:AlternateContent>
    <mc:AlternateContent xmlns:mc="http://schemas.openxmlformats.org/markup-compatibility/2006">
      <mc:Choice Requires="x14">
        <control shapeId="1918" r:id="rId211" name="Check Box 894">
          <controlPr defaultSize="0" autoFill="0" autoLine="0" autoPict="0" macro="[0]!ProcessChkBoxes">
            <anchor moveWithCells="1">
              <from>
                <xdr:col>4</xdr:col>
                <xdr:colOff>238125</xdr:colOff>
                <xdr:row>189</xdr:row>
                <xdr:rowOff>0</xdr:rowOff>
              </from>
              <to>
                <xdr:col>5</xdr:col>
                <xdr:colOff>133350</xdr:colOff>
                <xdr:row>189</xdr:row>
                <xdr:rowOff>104775</xdr:rowOff>
              </to>
            </anchor>
          </controlPr>
        </control>
      </mc:Choice>
    </mc:AlternateContent>
    <mc:AlternateContent xmlns:mc="http://schemas.openxmlformats.org/markup-compatibility/2006">
      <mc:Choice Requires="x14">
        <control shapeId="1919" r:id="rId212" name="Check Box 895">
          <controlPr defaultSize="0" autoFill="0" autoLine="0" autoPict="0" macro="[0]!ProcessChkBoxes">
            <anchor moveWithCells="1">
              <from>
                <xdr:col>3</xdr:col>
                <xdr:colOff>0</xdr:colOff>
                <xdr:row>193</xdr:row>
                <xdr:rowOff>19050</xdr:rowOff>
              </from>
              <to>
                <xdr:col>3</xdr:col>
                <xdr:colOff>152400</xdr:colOff>
                <xdr:row>193</xdr:row>
                <xdr:rowOff>123825</xdr:rowOff>
              </to>
            </anchor>
          </controlPr>
        </control>
      </mc:Choice>
    </mc:AlternateContent>
    <mc:AlternateContent xmlns:mc="http://schemas.openxmlformats.org/markup-compatibility/2006">
      <mc:Choice Requires="x14">
        <control shapeId="1920" r:id="rId213" name="Check Box 896">
          <controlPr defaultSize="0" autoFill="0" autoLine="0" autoPict="0" macro="[0]!ProcessChkBoxes">
            <anchor moveWithCells="1">
              <from>
                <xdr:col>3</xdr:col>
                <xdr:colOff>228600</xdr:colOff>
                <xdr:row>193</xdr:row>
                <xdr:rowOff>9525</xdr:rowOff>
              </from>
              <to>
                <xdr:col>4</xdr:col>
                <xdr:colOff>123825</xdr:colOff>
                <xdr:row>193</xdr:row>
                <xdr:rowOff>114300</xdr:rowOff>
              </to>
            </anchor>
          </controlPr>
        </control>
      </mc:Choice>
    </mc:AlternateContent>
    <mc:AlternateContent xmlns:mc="http://schemas.openxmlformats.org/markup-compatibility/2006">
      <mc:Choice Requires="x14">
        <control shapeId="1921" r:id="rId214" name="Check Box 897">
          <controlPr defaultSize="0" autoFill="0" autoLine="0" autoPict="0" macro="[0]!ProcessChkBoxes">
            <anchor moveWithCells="1">
              <from>
                <xdr:col>4</xdr:col>
                <xdr:colOff>238125</xdr:colOff>
                <xdr:row>193</xdr:row>
                <xdr:rowOff>0</xdr:rowOff>
              </from>
              <to>
                <xdr:col>5</xdr:col>
                <xdr:colOff>133350</xdr:colOff>
                <xdr:row>193</xdr:row>
                <xdr:rowOff>104775</xdr:rowOff>
              </to>
            </anchor>
          </controlPr>
        </control>
      </mc:Choice>
    </mc:AlternateContent>
    <mc:AlternateContent xmlns:mc="http://schemas.openxmlformats.org/markup-compatibility/2006">
      <mc:Choice Requires="x14">
        <control shapeId="1922" r:id="rId215" name="Check Box 898">
          <controlPr defaultSize="0" autoFill="0" autoLine="0" autoPict="0" macro="[0]!ProcessChkBoxes">
            <anchor moveWithCells="1">
              <from>
                <xdr:col>3</xdr:col>
                <xdr:colOff>47625</xdr:colOff>
                <xdr:row>205</xdr:row>
                <xdr:rowOff>95250</xdr:rowOff>
              </from>
              <to>
                <xdr:col>3</xdr:col>
                <xdr:colOff>200025</xdr:colOff>
                <xdr:row>205</xdr:row>
                <xdr:rowOff>200025</xdr:rowOff>
              </to>
            </anchor>
          </controlPr>
        </control>
      </mc:Choice>
    </mc:AlternateContent>
    <mc:AlternateContent xmlns:mc="http://schemas.openxmlformats.org/markup-compatibility/2006">
      <mc:Choice Requires="x14">
        <control shapeId="1923" r:id="rId216" name="Check Box 899">
          <controlPr defaultSize="0" autoFill="0" autoLine="0" autoPict="0" macro="[0]!ProcessChkBoxes">
            <anchor moveWithCells="1">
              <from>
                <xdr:col>4</xdr:col>
                <xdr:colOff>19050</xdr:colOff>
                <xdr:row>205</xdr:row>
                <xdr:rowOff>85725</xdr:rowOff>
              </from>
              <to>
                <xdr:col>4</xdr:col>
                <xdr:colOff>171450</xdr:colOff>
                <xdr:row>205</xdr:row>
                <xdr:rowOff>190500</xdr:rowOff>
              </to>
            </anchor>
          </controlPr>
        </control>
      </mc:Choice>
    </mc:AlternateContent>
    <mc:AlternateContent xmlns:mc="http://schemas.openxmlformats.org/markup-compatibility/2006">
      <mc:Choice Requires="x14">
        <control shapeId="1924" r:id="rId217" name="Check Box 900">
          <controlPr defaultSize="0" autoFill="0" autoLine="0" autoPict="0" macro="[0]!ProcessChkBoxes">
            <anchor moveWithCells="1">
              <from>
                <xdr:col>5</xdr:col>
                <xdr:colOff>28575</xdr:colOff>
                <xdr:row>205</xdr:row>
                <xdr:rowOff>76200</xdr:rowOff>
              </from>
              <to>
                <xdr:col>5</xdr:col>
                <xdr:colOff>180975</xdr:colOff>
                <xdr:row>205</xdr:row>
                <xdr:rowOff>180975</xdr:rowOff>
              </to>
            </anchor>
          </controlPr>
        </control>
      </mc:Choice>
    </mc:AlternateContent>
    <mc:AlternateContent xmlns:mc="http://schemas.openxmlformats.org/markup-compatibility/2006">
      <mc:Choice Requires="x14">
        <control shapeId="1925" r:id="rId218" name="Check Box 901">
          <controlPr defaultSize="0" autoFill="0" autoLine="0" autoPict="0" macro="[0]!ProcessChkBoxes">
            <anchor moveWithCells="1">
              <from>
                <xdr:col>3</xdr:col>
                <xdr:colOff>28575</xdr:colOff>
                <xdr:row>208</xdr:row>
                <xdr:rowOff>28575</xdr:rowOff>
              </from>
              <to>
                <xdr:col>3</xdr:col>
                <xdr:colOff>180975</xdr:colOff>
                <xdr:row>208</xdr:row>
                <xdr:rowOff>133350</xdr:rowOff>
              </to>
            </anchor>
          </controlPr>
        </control>
      </mc:Choice>
    </mc:AlternateContent>
    <mc:AlternateContent xmlns:mc="http://schemas.openxmlformats.org/markup-compatibility/2006">
      <mc:Choice Requires="x14">
        <control shapeId="1926" r:id="rId219" name="Check Box 902">
          <controlPr defaultSize="0" autoFill="0" autoLine="0" autoPict="0" macro="[0]!ProcessChkBoxes">
            <anchor moveWithCells="1">
              <from>
                <xdr:col>4</xdr:col>
                <xdr:colOff>0</xdr:colOff>
                <xdr:row>208</xdr:row>
                <xdr:rowOff>19050</xdr:rowOff>
              </from>
              <to>
                <xdr:col>4</xdr:col>
                <xdr:colOff>152400</xdr:colOff>
                <xdr:row>208</xdr:row>
                <xdr:rowOff>123825</xdr:rowOff>
              </to>
            </anchor>
          </controlPr>
        </control>
      </mc:Choice>
    </mc:AlternateContent>
    <mc:AlternateContent xmlns:mc="http://schemas.openxmlformats.org/markup-compatibility/2006">
      <mc:Choice Requires="x14">
        <control shapeId="1927" r:id="rId220" name="Check Box 903">
          <controlPr defaultSize="0" autoFill="0" autoLine="0" autoPict="0" macro="[0]!ProcessChkBoxes">
            <anchor moveWithCells="1">
              <from>
                <xdr:col>5</xdr:col>
                <xdr:colOff>9525</xdr:colOff>
                <xdr:row>208</xdr:row>
                <xdr:rowOff>9525</xdr:rowOff>
              </from>
              <to>
                <xdr:col>5</xdr:col>
                <xdr:colOff>161925</xdr:colOff>
                <xdr:row>208</xdr:row>
                <xdr:rowOff>114300</xdr:rowOff>
              </to>
            </anchor>
          </controlPr>
        </control>
      </mc:Choice>
    </mc:AlternateContent>
    <mc:AlternateContent xmlns:mc="http://schemas.openxmlformats.org/markup-compatibility/2006">
      <mc:Choice Requires="x14">
        <control shapeId="1928" r:id="rId221" name="Check Box 904">
          <controlPr defaultSize="0" autoFill="0" autoLine="0" autoPict="0" macro="[0]!ProcessChkBoxes">
            <anchor moveWithCells="1">
              <from>
                <xdr:col>3</xdr:col>
                <xdr:colOff>38100</xdr:colOff>
                <xdr:row>209</xdr:row>
                <xdr:rowOff>66675</xdr:rowOff>
              </from>
              <to>
                <xdr:col>3</xdr:col>
                <xdr:colOff>190500</xdr:colOff>
                <xdr:row>209</xdr:row>
                <xdr:rowOff>171450</xdr:rowOff>
              </to>
            </anchor>
          </controlPr>
        </control>
      </mc:Choice>
    </mc:AlternateContent>
    <mc:AlternateContent xmlns:mc="http://schemas.openxmlformats.org/markup-compatibility/2006">
      <mc:Choice Requires="x14">
        <control shapeId="1929" r:id="rId222" name="Check Box 905">
          <controlPr defaultSize="0" autoFill="0" autoLine="0" autoPict="0" macro="[0]!ProcessChkBoxes">
            <anchor moveWithCells="1">
              <from>
                <xdr:col>4</xdr:col>
                <xdr:colOff>9525</xdr:colOff>
                <xdr:row>209</xdr:row>
                <xdr:rowOff>57150</xdr:rowOff>
              </from>
              <to>
                <xdr:col>4</xdr:col>
                <xdr:colOff>161925</xdr:colOff>
                <xdr:row>209</xdr:row>
                <xdr:rowOff>161925</xdr:rowOff>
              </to>
            </anchor>
          </controlPr>
        </control>
      </mc:Choice>
    </mc:AlternateContent>
    <mc:AlternateContent xmlns:mc="http://schemas.openxmlformats.org/markup-compatibility/2006">
      <mc:Choice Requires="x14">
        <control shapeId="1930" r:id="rId223" name="Check Box 906">
          <controlPr defaultSize="0" autoFill="0" autoLine="0" autoPict="0" macro="[0]!ProcessChkBoxes">
            <anchor moveWithCells="1">
              <from>
                <xdr:col>5</xdr:col>
                <xdr:colOff>19050</xdr:colOff>
                <xdr:row>209</xdr:row>
                <xdr:rowOff>47625</xdr:rowOff>
              </from>
              <to>
                <xdr:col>5</xdr:col>
                <xdr:colOff>171450</xdr:colOff>
                <xdr:row>209</xdr:row>
                <xdr:rowOff>152400</xdr:rowOff>
              </to>
            </anchor>
          </controlPr>
        </control>
      </mc:Choice>
    </mc:AlternateContent>
    <mc:AlternateContent xmlns:mc="http://schemas.openxmlformats.org/markup-compatibility/2006">
      <mc:Choice Requires="x14">
        <control shapeId="1931" r:id="rId224" name="Check Box 907">
          <controlPr defaultSize="0" autoFill="0" autoLine="0" autoPict="0" macro="[0]!ProcessChkBoxes">
            <anchor moveWithCells="1">
              <from>
                <xdr:col>3</xdr:col>
                <xdr:colOff>38100</xdr:colOff>
                <xdr:row>212</xdr:row>
                <xdr:rowOff>19050</xdr:rowOff>
              </from>
              <to>
                <xdr:col>3</xdr:col>
                <xdr:colOff>190500</xdr:colOff>
                <xdr:row>212</xdr:row>
                <xdr:rowOff>123825</xdr:rowOff>
              </to>
            </anchor>
          </controlPr>
        </control>
      </mc:Choice>
    </mc:AlternateContent>
    <mc:AlternateContent xmlns:mc="http://schemas.openxmlformats.org/markup-compatibility/2006">
      <mc:Choice Requires="x14">
        <control shapeId="1932" r:id="rId225" name="Check Box 908">
          <controlPr defaultSize="0" autoFill="0" autoLine="0" autoPict="0" macro="[0]!ProcessChkBoxes">
            <anchor moveWithCells="1">
              <from>
                <xdr:col>4</xdr:col>
                <xdr:colOff>9525</xdr:colOff>
                <xdr:row>212</xdr:row>
                <xdr:rowOff>9525</xdr:rowOff>
              </from>
              <to>
                <xdr:col>4</xdr:col>
                <xdr:colOff>161925</xdr:colOff>
                <xdr:row>212</xdr:row>
                <xdr:rowOff>114300</xdr:rowOff>
              </to>
            </anchor>
          </controlPr>
        </control>
      </mc:Choice>
    </mc:AlternateContent>
    <mc:AlternateContent xmlns:mc="http://schemas.openxmlformats.org/markup-compatibility/2006">
      <mc:Choice Requires="x14">
        <control shapeId="1933" r:id="rId226" name="Check Box 909">
          <controlPr defaultSize="0" autoFill="0" autoLine="0" autoPict="0" macro="[0]!ProcessChkBoxes">
            <anchor moveWithCells="1">
              <from>
                <xdr:col>5</xdr:col>
                <xdr:colOff>19050</xdr:colOff>
                <xdr:row>212</xdr:row>
                <xdr:rowOff>0</xdr:rowOff>
              </from>
              <to>
                <xdr:col>5</xdr:col>
                <xdr:colOff>171450</xdr:colOff>
                <xdr:row>212</xdr:row>
                <xdr:rowOff>104775</xdr:rowOff>
              </to>
            </anchor>
          </controlPr>
        </control>
      </mc:Choice>
    </mc:AlternateContent>
    <mc:AlternateContent xmlns:mc="http://schemas.openxmlformats.org/markup-compatibility/2006">
      <mc:Choice Requires="x14">
        <control shapeId="1934" r:id="rId227" name="Check Box 910">
          <controlPr defaultSize="0" autoFill="0" autoLine="0" autoPict="0" macro="[0]!ProcessChkBoxes">
            <anchor moveWithCells="1">
              <from>
                <xdr:col>3</xdr:col>
                <xdr:colOff>28575</xdr:colOff>
                <xdr:row>220</xdr:row>
                <xdr:rowOff>47625</xdr:rowOff>
              </from>
              <to>
                <xdr:col>3</xdr:col>
                <xdr:colOff>180975</xdr:colOff>
                <xdr:row>220</xdr:row>
                <xdr:rowOff>152400</xdr:rowOff>
              </to>
            </anchor>
          </controlPr>
        </control>
      </mc:Choice>
    </mc:AlternateContent>
    <mc:AlternateContent xmlns:mc="http://schemas.openxmlformats.org/markup-compatibility/2006">
      <mc:Choice Requires="x14">
        <control shapeId="1935" r:id="rId228" name="Check Box 911">
          <controlPr defaultSize="0" autoFill="0" autoLine="0" autoPict="0" macro="[0]!ProcessChkBoxes">
            <anchor moveWithCells="1">
              <from>
                <xdr:col>4</xdr:col>
                <xdr:colOff>0</xdr:colOff>
                <xdr:row>220</xdr:row>
                <xdr:rowOff>38100</xdr:rowOff>
              </from>
              <to>
                <xdr:col>4</xdr:col>
                <xdr:colOff>152400</xdr:colOff>
                <xdr:row>220</xdr:row>
                <xdr:rowOff>142875</xdr:rowOff>
              </to>
            </anchor>
          </controlPr>
        </control>
      </mc:Choice>
    </mc:AlternateContent>
    <mc:AlternateContent xmlns:mc="http://schemas.openxmlformats.org/markup-compatibility/2006">
      <mc:Choice Requires="x14">
        <control shapeId="1936" r:id="rId229" name="Check Box 912">
          <controlPr defaultSize="0" autoFill="0" autoLine="0" autoPict="0" macro="[0]!ProcessChkBoxes">
            <anchor moveWithCells="1">
              <from>
                <xdr:col>5</xdr:col>
                <xdr:colOff>9525</xdr:colOff>
                <xdr:row>220</xdr:row>
                <xdr:rowOff>28575</xdr:rowOff>
              </from>
              <to>
                <xdr:col>5</xdr:col>
                <xdr:colOff>161925</xdr:colOff>
                <xdr:row>220</xdr:row>
                <xdr:rowOff>133350</xdr:rowOff>
              </to>
            </anchor>
          </controlPr>
        </control>
      </mc:Choice>
    </mc:AlternateContent>
    <mc:AlternateContent xmlns:mc="http://schemas.openxmlformats.org/markup-compatibility/2006">
      <mc:Choice Requires="x14">
        <control shapeId="992" r:id="rId230" name="Check Box 913">
          <controlPr defaultSize="0" autoFill="0" autoLine="0" autoPict="0" macro="[0]!ProcessChkBoxes">
            <anchor moveWithCells="1">
              <from>
                <xdr:col>3</xdr:col>
                <xdr:colOff>0</xdr:colOff>
                <xdr:row>222</xdr:row>
                <xdr:rowOff>19050</xdr:rowOff>
              </from>
              <to>
                <xdr:col>3</xdr:col>
                <xdr:colOff>152400</xdr:colOff>
                <xdr:row>222</xdr:row>
                <xdr:rowOff>123825</xdr:rowOff>
              </to>
            </anchor>
          </controlPr>
        </control>
      </mc:Choice>
    </mc:AlternateContent>
    <mc:AlternateContent xmlns:mc="http://schemas.openxmlformats.org/markup-compatibility/2006">
      <mc:Choice Requires="x14">
        <control shapeId="993" r:id="rId231" name="Check Box 914">
          <controlPr defaultSize="0" autoFill="0" autoLine="0" autoPict="0" macro="[0]!ProcessChkBoxes">
            <anchor moveWithCells="1">
              <from>
                <xdr:col>3</xdr:col>
                <xdr:colOff>228600</xdr:colOff>
                <xdr:row>222</xdr:row>
                <xdr:rowOff>9525</xdr:rowOff>
              </from>
              <to>
                <xdr:col>4</xdr:col>
                <xdr:colOff>123825</xdr:colOff>
                <xdr:row>222</xdr:row>
                <xdr:rowOff>114300</xdr:rowOff>
              </to>
            </anchor>
          </controlPr>
        </control>
      </mc:Choice>
    </mc:AlternateContent>
    <mc:AlternateContent xmlns:mc="http://schemas.openxmlformats.org/markup-compatibility/2006">
      <mc:Choice Requires="x14">
        <control shapeId="1001" r:id="rId232" name="Check Box 915">
          <controlPr defaultSize="0" autoFill="0" autoLine="0" autoPict="0" macro="[0]!ProcessChkBoxes">
            <anchor moveWithCells="1">
              <from>
                <xdr:col>4</xdr:col>
                <xdr:colOff>238125</xdr:colOff>
                <xdr:row>222</xdr:row>
                <xdr:rowOff>0</xdr:rowOff>
              </from>
              <to>
                <xdr:col>5</xdr:col>
                <xdr:colOff>133350</xdr:colOff>
                <xdr:row>222</xdr:row>
                <xdr:rowOff>104775</xdr:rowOff>
              </to>
            </anchor>
          </controlPr>
        </control>
      </mc:Choice>
    </mc:AlternateContent>
    <mc:AlternateContent xmlns:mc="http://schemas.openxmlformats.org/markup-compatibility/2006">
      <mc:Choice Requires="x14">
        <control shapeId="1002" r:id="rId233" name="Check Box 919">
          <controlPr defaultSize="0" autoFill="0" autoLine="0" autoPict="0" macro="[0]!ProcessChkBoxes">
            <anchor moveWithCells="1">
              <from>
                <xdr:col>3</xdr:col>
                <xdr:colOff>0</xdr:colOff>
                <xdr:row>224</xdr:row>
                <xdr:rowOff>19050</xdr:rowOff>
              </from>
              <to>
                <xdr:col>3</xdr:col>
                <xdr:colOff>152400</xdr:colOff>
                <xdr:row>224</xdr:row>
                <xdr:rowOff>123825</xdr:rowOff>
              </to>
            </anchor>
          </controlPr>
        </control>
      </mc:Choice>
    </mc:AlternateContent>
    <mc:AlternateContent xmlns:mc="http://schemas.openxmlformats.org/markup-compatibility/2006">
      <mc:Choice Requires="x14">
        <control shapeId="1944" r:id="rId234" name="Check Box 920">
          <controlPr defaultSize="0" autoFill="0" autoLine="0" autoPict="0" macro="[0]!ProcessChkBoxes">
            <anchor moveWithCells="1">
              <from>
                <xdr:col>3</xdr:col>
                <xdr:colOff>228600</xdr:colOff>
                <xdr:row>224</xdr:row>
                <xdr:rowOff>9525</xdr:rowOff>
              </from>
              <to>
                <xdr:col>4</xdr:col>
                <xdr:colOff>123825</xdr:colOff>
                <xdr:row>224</xdr:row>
                <xdr:rowOff>114300</xdr:rowOff>
              </to>
            </anchor>
          </controlPr>
        </control>
      </mc:Choice>
    </mc:AlternateContent>
    <mc:AlternateContent xmlns:mc="http://schemas.openxmlformats.org/markup-compatibility/2006">
      <mc:Choice Requires="x14">
        <control shapeId="1945" r:id="rId235" name="Check Box 921">
          <controlPr defaultSize="0" autoFill="0" autoLine="0" autoPict="0" macro="[0]!ProcessChkBoxes">
            <anchor moveWithCells="1">
              <from>
                <xdr:col>4</xdr:col>
                <xdr:colOff>238125</xdr:colOff>
                <xdr:row>224</xdr:row>
                <xdr:rowOff>0</xdr:rowOff>
              </from>
              <to>
                <xdr:col>5</xdr:col>
                <xdr:colOff>133350</xdr:colOff>
                <xdr:row>224</xdr:row>
                <xdr:rowOff>104775</xdr:rowOff>
              </to>
            </anchor>
          </controlPr>
        </control>
      </mc:Choice>
    </mc:AlternateContent>
    <mc:AlternateContent xmlns:mc="http://schemas.openxmlformats.org/markup-compatibility/2006">
      <mc:Choice Requires="x14">
        <control shapeId="1946" r:id="rId236" name="Check Box 922">
          <controlPr defaultSize="0" autoFill="0" autoLine="0" autoPict="0" macro="[0]!ProcessChkBoxes">
            <anchor moveWithCells="1">
              <from>
                <xdr:col>3</xdr:col>
                <xdr:colOff>0</xdr:colOff>
                <xdr:row>226</xdr:row>
                <xdr:rowOff>19050</xdr:rowOff>
              </from>
              <to>
                <xdr:col>3</xdr:col>
                <xdr:colOff>152400</xdr:colOff>
                <xdr:row>226</xdr:row>
                <xdr:rowOff>123825</xdr:rowOff>
              </to>
            </anchor>
          </controlPr>
        </control>
      </mc:Choice>
    </mc:AlternateContent>
    <mc:AlternateContent xmlns:mc="http://schemas.openxmlformats.org/markup-compatibility/2006">
      <mc:Choice Requires="x14">
        <control shapeId="1947" r:id="rId237" name="Check Box 923">
          <controlPr defaultSize="0" autoFill="0" autoLine="0" autoPict="0" macro="[0]!ProcessChkBoxes">
            <anchor moveWithCells="1">
              <from>
                <xdr:col>3</xdr:col>
                <xdr:colOff>228600</xdr:colOff>
                <xdr:row>226</xdr:row>
                <xdr:rowOff>9525</xdr:rowOff>
              </from>
              <to>
                <xdr:col>4</xdr:col>
                <xdr:colOff>123825</xdr:colOff>
                <xdr:row>226</xdr:row>
                <xdr:rowOff>114300</xdr:rowOff>
              </to>
            </anchor>
          </controlPr>
        </control>
      </mc:Choice>
    </mc:AlternateContent>
    <mc:AlternateContent xmlns:mc="http://schemas.openxmlformats.org/markup-compatibility/2006">
      <mc:Choice Requires="x14">
        <control shapeId="1948" r:id="rId238" name="Check Box 924">
          <controlPr defaultSize="0" autoFill="0" autoLine="0" autoPict="0" macro="[0]!ProcessChkBoxes">
            <anchor moveWithCells="1">
              <from>
                <xdr:col>4</xdr:col>
                <xdr:colOff>238125</xdr:colOff>
                <xdr:row>226</xdr:row>
                <xdr:rowOff>0</xdr:rowOff>
              </from>
              <to>
                <xdr:col>5</xdr:col>
                <xdr:colOff>133350</xdr:colOff>
                <xdr:row>226</xdr:row>
                <xdr:rowOff>104775</xdr:rowOff>
              </to>
            </anchor>
          </controlPr>
        </control>
      </mc:Choice>
    </mc:AlternateContent>
    <mc:AlternateContent xmlns:mc="http://schemas.openxmlformats.org/markup-compatibility/2006">
      <mc:Choice Requires="x14">
        <control shapeId="1952" r:id="rId239" name="Check Box 928">
          <controlPr defaultSize="0" autoFill="0" autoLine="0" autoPict="0" macro="[0]!ProcessChkBoxes">
            <anchor moveWithCells="1">
              <from>
                <xdr:col>3</xdr:col>
                <xdr:colOff>0</xdr:colOff>
                <xdr:row>228</xdr:row>
                <xdr:rowOff>19050</xdr:rowOff>
              </from>
              <to>
                <xdr:col>3</xdr:col>
                <xdr:colOff>152400</xdr:colOff>
                <xdr:row>228</xdr:row>
                <xdr:rowOff>123825</xdr:rowOff>
              </to>
            </anchor>
          </controlPr>
        </control>
      </mc:Choice>
    </mc:AlternateContent>
    <mc:AlternateContent xmlns:mc="http://schemas.openxmlformats.org/markup-compatibility/2006">
      <mc:Choice Requires="x14">
        <control shapeId="1953" r:id="rId240" name="Check Box 929">
          <controlPr defaultSize="0" autoFill="0" autoLine="0" autoPict="0" macro="[0]!ProcessChkBoxes">
            <anchor moveWithCells="1">
              <from>
                <xdr:col>3</xdr:col>
                <xdr:colOff>228600</xdr:colOff>
                <xdr:row>228</xdr:row>
                <xdr:rowOff>9525</xdr:rowOff>
              </from>
              <to>
                <xdr:col>4</xdr:col>
                <xdr:colOff>123825</xdr:colOff>
                <xdr:row>228</xdr:row>
                <xdr:rowOff>114300</xdr:rowOff>
              </to>
            </anchor>
          </controlPr>
        </control>
      </mc:Choice>
    </mc:AlternateContent>
    <mc:AlternateContent xmlns:mc="http://schemas.openxmlformats.org/markup-compatibility/2006">
      <mc:Choice Requires="x14">
        <control shapeId="1954" r:id="rId241" name="Check Box 930">
          <controlPr defaultSize="0" autoFill="0" autoLine="0" autoPict="0" macro="[0]!ProcessChkBoxes">
            <anchor moveWithCells="1">
              <from>
                <xdr:col>4</xdr:col>
                <xdr:colOff>238125</xdr:colOff>
                <xdr:row>228</xdr:row>
                <xdr:rowOff>0</xdr:rowOff>
              </from>
              <to>
                <xdr:col>5</xdr:col>
                <xdr:colOff>133350</xdr:colOff>
                <xdr:row>228</xdr:row>
                <xdr:rowOff>104775</xdr:rowOff>
              </to>
            </anchor>
          </controlPr>
        </control>
      </mc:Choice>
    </mc:AlternateContent>
    <mc:AlternateContent xmlns:mc="http://schemas.openxmlformats.org/markup-compatibility/2006">
      <mc:Choice Requires="x14">
        <control shapeId="1958" r:id="rId242" name="Check Box 934">
          <controlPr defaultSize="0" autoFill="0" autoLine="0" autoPict="0" macro="[0]!ProcessChkBoxes">
            <anchor moveWithCells="1">
              <from>
                <xdr:col>3</xdr:col>
                <xdr:colOff>0</xdr:colOff>
                <xdr:row>231</xdr:row>
                <xdr:rowOff>19050</xdr:rowOff>
              </from>
              <to>
                <xdr:col>3</xdr:col>
                <xdr:colOff>152400</xdr:colOff>
                <xdr:row>231</xdr:row>
                <xdr:rowOff>123825</xdr:rowOff>
              </to>
            </anchor>
          </controlPr>
        </control>
      </mc:Choice>
    </mc:AlternateContent>
    <mc:AlternateContent xmlns:mc="http://schemas.openxmlformats.org/markup-compatibility/2006">
      <mc:Choice Requires="x14">
        <control shapeId="1959" r:id="rId243" name="Check Box 935">
          <controlPr defaultSize="0" autoFill="0" autoLine="0" autoPict="0" macro="[0]!ProcessChkBoxes">
            <anchor moveWithCells="1">
              <from>
                <xdr:col>3</xdr:col>
                <xdr:colOff>228600</xdr:colOff>
                <xdr:row>231</xdr:row>
                <xdr:rowOff>9525</xdr:rowOff>
              </from>
              <to>
                <xdr:col>4</xdr:col>
                <xdr:colOff>123825</xdr:colOff>
                <xdr:row>231</xdr:row>
                <xdr:rowOff>114300</xdr:rowOff>
              </to>
            </anchor>
          </controlPr>
        </control>
      </mc:Choice>
    </mc:AlternateContent>
    <mc:AlternateContent xmlns:mc="http://schemas.openxmlformats.org/markup-compatibility/2006">
      <mc:Choice Requires="x14">
        <control shapeId="1960" r:id="rId244" name="Check Box 936">
          <controlPr defaultSize="0" autoFill="0" autoLine="0" autoPict="0" macro="[0]!ProcessChkBoxes">
            <anchor moveWithCells="1">
              <from>
                <xdr:col>4</xdr:col>
                <xdr:colOff>238125</xdr:colOff>
                <xdr:row>231</xdr:row>
                <xdr:rowOff>0</xdr:rowOff>
              </from>
              <to>
                <xdr:col>5</xdr:col>
                <xdr:colOff>133350</xdr:colOff>
                <xdr:row>231</xdr:row>
                <xdr:rowOff>104775</xdr:rowOff>
              </to>
            </anchor>
          </controlPr>
        </control>
      </mc:Choice>
    </mc:AlternateContent>
    <mc:AlternateContent xmlns:mc="http://schemas.openxmlformats.org/markup-compatibility/2006">
      <mc:Choice Requires="x14">
        <control shapeId="1964" r:id="rId245" name="Check Box 940">
          <controlPr defaultSize="0" autoFill="0" autoLine="0" autoPict="0" macro="[0]!ProcessChkBoxes">
            <anchor moveWithCells="1">
              <from>
                <xdr:col>3</xdr:col>
                <xdr:colOff>0</xdr:colOff>
                <xdr:row>239</xdr:row>
                <xdr:rowOff>19050</xdr:rowOff>
              </from>
              <to>
                <xdr:col>3</xdr:col>
                <xdr:colOff>152400</xdr:colOff>
                <xdr:row>239</xdr:row>
                <xdr:rowOff>123825</xdr:rowOff>
              </to>
            </anchor>
          </controlPr>
        </control>
      </mc:Choice>
    </mc:AlternateContent>
    <mc:AlternateContent xmlns:mc="http://schemas.openxmlformats.org/markup-compatibility/2006">
      <mc:Choice Requires="x14">
        <control shapeId="1965" r:id="rId246" name="Check Box 941">
          <controlPr defaultSize="0" autoFill="0" autoLine="0" autoPict="0" macro="[0]!ProcessChkBoxes">
            <anchor moveWithCells="1">
              <from>
                <xdr:col>3</xdr:col>
                <xdr:colOff>228600</xdr:colOff>
                <xdr:row>239</xdr:row>
                <xdr:rowOff>9525</xdr:rowOff>
              </from>
              <to>
                <xdr:col>4</xdr:col>
                <xdr:colOff>123825</xdr:colOff>
                <xdr:row>239</xdr:row>
                <xdr:rowOff>114300</xdr:rowOff>
              </to>
            </anchor>
          </controlPr>
        </control>
      </mc:Choice>
    </mc:AlternateContent>
    <mc:AlternateContent xmlns:mc="http://schemas.openxmlformats.org/markup-compatibility/2006">
      <mc:Choice Requires="x14">
        <control shapeId="1966" r:id="rId247" name="Check Box 942">
          <controlPr defaultSize="0" autoFill="0" autoLine="0" autoPict="0" macro="[0]!ProcessChkBoxes">
            <anchor moveWithCells="1">
              <from>
                <xdr:col>4</xdr:col>
                <xdr:colOff>238125</xdr:colOff>
                <xdr:row>239</xdr:row>
                <xdr:rowOff>0</xdr:rowOff>
              </from>
              <to>
                <xdr:col>5</xdr:col>
                <xdr:colOff>133350</xdr:colOff>
                <xdr:row>239</xdr:row>
                <xdr:rowOff>104775</xdr:rowOff>
              </to>
            </anchor>
          </controlPr>
        </control>
      </mc:Choice>
    </mc:AlternateContent>
    <mc:AlternateContent xmlns:mc="http://schemas.openxmlformats.org/markup-compatibility/2006">
      <mc:Choice Requires="x14">
        <control shapeId="1967" r:id="rId248" name="Check Box 943">
          <controlPr defaultSize="0" autoFill="0" autoLine="0" autoPict="0" macro="[0]!ProcessChkBoxes">
            <anchor moveWithCells="1">
              <from>
                <xdr:col>3</xdr:col>
                <xdr:colOff>0</xdr:colOff>
                <xdr:row>241</xdr:row>
                <xdr:rowOff>19050</xdr:rowOff>
              </from>
              <to>
                <xdr:col>3</xdr:col>
                <xdr:colOff>152400</xdr:colOff>
                <xdr:row>241</xdr:row>
                <xdr:rowOff>123825</xdr:rowOff>
              </to>
            </anchor>
          </controlPr>
        </control>
      </mc:Choice>
    </mc:AlternateContent>
    <mc:AlternateContent xmlns:mc="http://schemas.openxmlformats.org/markup-compatibility/2006">
      <mc:Choice Requires="x14">
        <control shapeId="1968" r:id="rId249" name="Check Box 944">
          <controlPr defaultSize="0" autoFill="0" autoLine="0" autoPict="0" macro="[0]!ProcessChkBoxes">
            <anchor moveWithCells="1">
              <from>
                <xdr:col>3</xdr:col>
                <xdr:colOff>228600</xdr:colOff>
                <xdr:row>241</xdr:row>
                <xdr:rowOff>9525</xdr:rowOff>
              </from>
              <to>
                <xdr:col>4</xdr:col>
                <xdr:colOff>123825</xdr:colOff>
                <xdr:row>241</xdr:row>
                <xdr:rowOff>114300</xdr:rowOff>
              </to>
            </anchor>
          </controlPr>
        </control>
      </mc:Choice>
    </mc:AlternateContent>
    <mc:AlternateContent xmlns:mc="http://schemas.openxmlformats.org/markup-compatibility/2006">
      <mc:Choice Requires="x14">
        <control shapeId="1969" r:id="rId250" name="Check Box 945">
          <controlPr defaultSize="0" autoFill="0" autoLine="0" autoPict="0" macro="[0]!ProcessChkBoxes">
            <anchor moveWithCells="1">
              <from>
                <xdr:col>4</xdr:col>
                <xdr:colOff>238125</xdr:colOff>
                <xdr:row>241</xdr:row>
                <xdr:rowOff>0</xdr:rowOff>
              </from>
              <to>
                <xdr:col>5</xdr:col>
                <xdr:colOff>133350</xdr:colOff>
                <xdr:row>241</xdr:row>
                <xdr:rowOff>104775</xdr:rowOff>
              </to>
            </anchor>
          </controlPr>
        </control>
      </mc:Choice>
    </mc:AlternateContent>
    <mc:AlternateContent xmlns:mc="http://schemas.openxmlformats.org/markup-compatibility/2006">
      <mc:Choice Requires="x14">
        <control shapeId="1970" r:id="rId251" name="Check Box 946">
          <controlPr defaultSize="0" autoFill="0" autoLine="0" autoPict="0" macro="[0]!ProcessChkBoxes">
            <anchor moveWithCells="1">
              <from>
                <xdr:col>3</xdr:col>
                <xdr:colOff>0</xdr:colOff>
                <xdr:row>247</xdr:row>
                <xdr:rowOff>19050</xdr:rowOff>
              </from>
              <to>
                <xdr:col>3</xdr:col>
                <xdr:colOff>152400</xdr:colOff>
                <xdr:row>247</xdr:row>
                <xdr:rowOff>123825</xdr:rowOff>
              </to>
            </anchor>
          </controlPr>
        </control>
      </mc:Choice>
    </mc:AlternateContent>
    <mc:AlternateContent xmlns:mc="http://schemas.openxmlformats.org/markup-compatibility/2006">
      <mc:Choice Requires="x14">
        <control shapeId="1971" r:id="rId252" name="Check Box 947">
          <controlPr defaultSize="0" autoFill="0" autoLine="0" autoPict="0" macro="[0]!ProcessChkBoxes">
            <anchor moveWithCells="1">
              <from>
                <xdr:col>3</xdr:col>
                <xdr:colOff>228600</xdr:colOff>
                <xdr:row>247</xdr:row>
                <xdr:rowOff>9525</xdr:rowOff>
              </from>
              <to>
                <xdr:col>4</xdr:col>
                <xdr:colOff>123825</xdr:colOff>
                <xdr:row>247</xdr:row>
                <xdr:rowOff>114300</xdr:rowOff>
              </to>
            </anchor>
          </controlPr>
        </control>
      </mc:Choice>
    </mc:AlternateContent>
    <mc:AlternateContent xmlns:mc="http://schemas.openxmlformats.org/markup-compatibility/2006">
      <mc:Choice Requires="x14">
        <control shapeId="1972" r:id="rId253" name="Check Box 948">
          <controlPr defaultSize="0" autoFill="0" autoLine="0" autoPict="0" macro="[0]!ProcessChkBoxes">
            <anchor moveWithCells="1">
              <from>
                <xdr:col>4</xdr:col>
                <xdr:colOff>238125</xdr:colOff>
                <xdr:row>247</xdr:row>
                <xdr:rowOff>0</xdr:rowOff>
              </from>
              <to>
                <xdr:col>5</xdr:col>
                <xdr:colOff>133350</xdr:colOff>
                <xdr:row>247</xdr:row>
                <xdr:rowOff>104775</xdr:rowOff>
              </to>
            </anchor>
          </controlPr>
        </control>
      </mc:Choice>
    </mc:AlternateContent>
    <mc:AlternateContent xmlns:mc="http://schemas.openxmlformats.org/markup-compatibility/2006">
      <mc:Choice Requires="x14">
        <control shapeId="1973" r:id="rId254" name="Check Box 949">
          <controlPr defaultSize="0" autoFill="0" autoLine="0" autoPict="0" macro="[0]!ProcessChkBoxes">
            <anchor moveWithCells="1">
              <from>
                <xdr:col>3</xdr:col>
                <xdr:colOff>0</xdr:colOff>
                <xdr:row>251</xdr:row>
                <xdr:rowOff>19050</xdr:rowOff>
              </from>
              <to>
                <xdr:col>3</xdr:col>
                <xdr:colOff>152400</xdr:colOff>
                <xdr:row>251</xdr:row>
                <xdr:rowOff>123825</xdr:rowOff>
              </to>
            </anchor>
          </controlPr>
        </control>
      </mc:Choice>
    </mc:AlternateContent>
    <mc:AlternateContent xmlns:mc="http://schemas.openxmlformats.org/markup-compatibility/2006">
      <mc:Choice Requires="x14">
        <control shapeId="1974" r:id="rId255" name="Check Box 950">
          <controlPr defaultSize="0" autoFill="0" autoLine="0" autoPict="0" macro="[0]!ProcessChkBoxes">
            <anchor moveWithCells="1">
              <from>
                <xdr:col>3</xdr:col>
                <xdr:colOff>228600</xdr:colOff>
                <xdr:row>251</xdr:row>
                <xdr:rowOff>9525</xdr:rowOff>
              </from>
              <to>
                <xdr:col>4</xdr:col>
                <xdr:colOff>123825</xdr:colOff>
                <xdr:row>251</xdr:row>
                <xdr:rowOff>114300</xdr:rowOff>
              </to>
            </anchor>
          </controlPr>
        </control>
      </mc:Choice>
    </mc:AlternateContent>
    <mc:AlternateContent xmlns:mc="http://schemas.openxmlformats.org/markup-compatibility/2006">
      <mc:Choice Requires="x14">
        <control shapeId="1975" r:id="rId256" name="Check Box 951">
          <controlPr defaultSize="0" autoFill="0" autoLine="0" autoPict="0" macro="[0]!ProcessChkBoxes">
            <anchor moveWithCells="1">
              <from>
                <xdr:col>4</xdr:col>
                <xdr:colOff>238125</xdr:colOff>
                <xdr:row>251</xdr:row>
                <xdr:rowOff>0</xdr:rowOff>
              </from>
              <to>
                <xdr:col>5</xdr:col>
                <xdr:colOff>133350</xdr:colOff>
                <xdr:row>251</xdr:row>
                <xdr:rowOff>104775</xdr:rowOff>
              </to>
            </anchor>
          </controlPr>
        </control>
      </mc:Choice>
    </mc:AlternateContent>
    <mc:AlternateContent xmlns:mc="http://schemas.openxmlformats.org/markup-compatibility/2006">
      <mc:Choice Requires="x14">
        <control shapeId="1976" r:id="rId257" name="Check Box 952">
          <controlPr defaultSize="0" autoFill="0" autoLine="0" autoPict="0" macro="[0]!ProcessChkBoxes">
            <anchor moveWithCells="1">
              <from>
                <xdr:col>3</xdr:col>
                <xdr:colOff>0</xdr:colOff>
                <xdr:row>255</xdr:row>
                <xdr:rowOff>19050</xdr:rowOff>
              </from>
              <to>
                <xdr:col>3</xdr:col>
                <xdr:colOff>152400</xdr:colOff>
                <xdr:row>255</xdr:row>
                <xdr:rowOff>123825</xdr:rowOff>
              </to>
            </anchor>
          </controlPr>
        </control>
      </mc:Choice>
    </mc:AlternateContent>
    <mc:AlternateContent xmlns:mc="http://schemas.openxmlformats.org/markup-compatibility/2006">
      <mc:Choice Requires="x14">
        <control shapeId="1977" r:id="rId258" name="Check Box 953">
          <controlPr defaultSize="0" autoFill="0" autoLine="0" autoPict="0" macro="[0]!ProcessChkBoxes">
            <anchor moveWithCells="1">
              <from>
                <xdr:col>3</xdr:col>
                <xdr:colOff>228600</xdr:colOff>
                <xdr:row>255</xdr:row>
                <xdr:rowOff>9525</xdr:rowOff>
              </from>
              <to>
                <xdr:col>4</xdr:col>
                <xdr:colOff>123825</xdr:colOff>
                <xdr:row>255</xdr:row>
                <xdr:rowOff>114300</xdr:rowOff>
              </to>
            </anchor>
          </controlPr>
        </control>
      </mc:Choice>
    </mc:AlternateContent>
    <mc:AlternateContent xmlns:mc="http://schemas.openxmlformats.org/markup-compatibility/2006">
      <mc:Choice Requires="x14">
        <control shapeId="1978" r:id="rId259" name="Check Box 954">
          <controlPr defaultSize="0" autoFill="0" autoLine="0" autoPict="0" macro="[0]!ProcessChkBoxes">
            <anchor moveWithCells="1">
              <from>
                <xdr:col>4</xdr:col>
                <xdr:colOff>238125</xdr:colOff>
                <xdr:row>255</xdr:row>
                <xdr:rowOff>0</xdr:rowOff>
              </from>
              <to>
                <xdr:col>5</xdr:col>
                <xdr:colOff>133350</xdr:colOff>
                <xdr:row>255</xdr:row>
                <xdr:rowOff>104775</xdr:rowOff>
              </to>
            </anchor>
          </controlPr>
        </control>
      </mc:Choice>
    </mc:AlternateContent>
    <mc:AlternateContent xmlns:mc="http://schemas.openxmlformats.org/markup-compatibility/2006">
      <mc:Choice Requires="x14">
        <control shapeId="1979" r:id="rId260" name="Check Box 955">
          <controlPr defaultSize="0" autoFill="0" autoLine="0" autoPict="0" macro="[0]!ProcessChkBoxes">
            <anchor moveWithCells="1">
              <from>
                <xdr:col>3</xdr:col>
                <xdr:colOff>0</xdr:colOff>
                <xdr:row>260</xdr:row>
                <xdr:rowOff>19050</xdr:rowOff>
              </from>
              <to>
                <xdr:col>3</xdr:col>
                <xdr:colOff>152400</xdr:colOff>
                <xdr:row>260</xdr:row>
                <xdr:rowOff>123825</xdr:rowOff>
              </to>
            </anchor>
          </controlPr>
        </control>
      </mc:Choice>
    </mc:AlternateContent>
    <mc:AlternateContent xmlns:mc="http://schemas.openxmlformats.org/markup-compatibility/2006">
      <mc:Choice Requires="x14">
        <control shapeId="1980" r:id="rId261" name="Check Box 956">
          <controlPr defaultSize="0" autoFill="0" autoLine="0" autoPict="0" macro="[0]!ProcessChkBoxes">
            <anchor moveWithCells="1">
              <from>
                <xdr:col>3</xdr:col>
                <xdr:colOff>228600</xdr:colOff>
                <xdr:row>260</xdr:row>
                <xdr:rowOff>9525</xdr:rowOff>
              </from>
              <to>
                <xdr:col>4</xdr:col>
                <xdr:colOff>123825</xdr:colOff>
                <xdr:row>260</xdr:row>
                <xdr:rowOff>114300</xdr:rowOff>
              </to>
            </anchor>
          </controlPr>
        </control>
      </mc:Choice>
    </mc:AlternateContent>
    <mc:AlternateContent xmlns:mc="http://schemas.openxmlformats.org/markup-compatibility/2006">
      <mc:Choice Requires="x14">
        <control shapeId="1981" r:id="rId262" name="Check Box 957">
          <controlPr defaultSize="0" autoFill="0" autoLine="0" autoPict="0" macro="[0]!ProcessChkBoxes">
            <anchor moveWithCells="1">
              <from>
                <xdr:col>4</xdr:col>
                <xdr:colOff>238125</xdr:colOff>
                <xdr:row>260</xdr:row>
                <xdr:rowOff>0</xdr:rowOff>
              </from>
              <to>
                <xdr:col>5</xdr:col>
                <xdr:colOff>133350</xdr:colOff>
                <xdr:row>260</xdr:row>
                <xdr:rowOff>104775</xdr:rowOff>
              </to>
            </anchor>
          </controlPr>
        </control>
      </mc:Choice>
    </mc:AlternateContent>
    <mc:AlternateContent xmlns:mc="http://schemas.openxmlformats.org/markup-compatibility/2006">
      <mc:Choice Requires="x14">
        <control shapeId="1982" r:id="rId263" name="Check Box 958">
          <controlPr defaultSize="0" autoFill="0" autoLine="0" autoPict="0" macro="[0]!ProcessChkBoxes">
            <anchor moveWithCells="1">
              <from>
                <xdr:col>3</xdr:col>
                <xdr:colOff>0</xdr:colOff>
                <xdr:row>264</xdr:row>
                <xdr:rowOff>19050</xdr:rowOff>
              </from>
              <to>
                <xdr:col>3</xdr:col>
                <xdr:colOff>152400</xdr:colOff>
                <xdr:row>264</xdr:row>
                <xdr:rowOff>123825</xdr:rowOff>
              </to>
            </anchor>
          </controlPr>
        </control>
      </mc:Choice>
    </mc:AlternateContent>
    <mc:AlternateContent xmlns:mc="http://schemas.openxmlformats.org/markup-compatibility/2006">
      <mc:Choice Requires="x14">
        <control shapeId="1983" r:id="rId264" name="Check Box 959">
          <controlPr defaultSize="0" autoFill="0" autoLine="0" autoPict="0" macro="[0]!ProcessChkBoxes">
            <anchor moveWithCells="1">
              <from>
                <xdr:col>3</xdr:col>
                <xdr:colOff>228600</xdr:colOff>
                <xdr:row>264</xdr:row>
                <xdr:rowOff>9525</xdr:rowOff>
              </from>
              <to>
                <xdr:col>4</xdr:col>
                <xdr:colOff>123825</xdr:colOff>
                <xdr:row>264</xdr:row>
                <xdr:rowOff>114300</xdr:rowOff>
              </to>
            </anchor>
          </controlPr>
        </control>
      </mc:Choice>
    </mc:AlternateContent>
    <mc:AlternateContent xmlns:mc="http://schemas.openxmlformats.org/markup-compatibility/2006">
      <mc:Choice Requires="x14">
        <control shapeId="1984" r:id="rId265" name="Check Box 960">
          <controlPr defaultSize="0" autoFill="0" autoLine="0" autoPict="0" macro="[0]!ProcessChkBoxes">
            <anchor moveWithCells="1">
              <from>
                <xdr:col>4</xdr:col>
                <xdr:colOff>238125</xdr:colOff>
                <xdr:row>264</xdr:row>
                <xdr:rowOff>0</xdr:rowOff>
              </from>
              <to>
                <xdr:col>5</xdr:col>
                <xdr:colOff>133350</xdr:colOff>
                <xdr:row>264</xdr:row>
                <xdr:rowOff>104775</xdr:rowOff>
              </to>
            </anchor>
          </controlPr>
        </control>
      </mc:Choice>
    </mc:AlternateContent>
    <mc:AlternateContent xmlns:mc="http://schemas.openxmlformats.org/markup-compatibility/2006">
      <mc:Choice Requires="x14">
        <control shapeId="1988" r:id="rId266" name="Check Box 964">
          <controlPr defaultSize="0" autoFill="0" autoLine="0" autoPict="0" macro="[0]!ProcessChkBoxes">
            <anchor moveWithCells="1">
              <from>
                <xdr:col>3</xdr:col>
                <xdr:colOff>28575</xdr:colOff>
                <xdr:row>274</xdr:row>
                <xdr:rowOff>19050</xdr:rowOff>
              </from>
              <to>
                <xdr:col>3</xdr:col>
                <xdr:colOff>180975</xdr:colOff>
                <xdr:row>274</xdr:row>
                <xdr:rowOff>123825</xdr:rowOff>
              </to>
            </anchor>
          </controlPr>
        </control>
      </mc:Choice>
    </mc:AlternateContent>
    <mc:AlternateContent xmlns:mc="http://schemas.openxmlformats.org/markup-compatibility/2006">
      <mc:Choice Requires="x14">
        <control shapeId="1989" r:id="rId267" name="Check Box 965">
          <controlPr defaultSize="0" autoFill="0" autoLine="0" autoPict="0" macro="[0]!ProcessChkBoxes">
            <anchor moveWithCells="1">
              <from>
                <xdr:col>4</xdr:col>
                <xdr:colOff>0</xdr:colOff>
                <xdr:row>274</xdr:row>
                <xdr:rowOff>9525</xdr:rowOff>
              </from>
              <to>
                <xdr:col>4</xdr:col>
                <xdr:colOff>152400</xdr:colOff>
                <xdr:row>274</xdr:row>
                <xdr:rowOff>114300</xdr:rowOff>
              </to>
            </anchor>
          </controlPr>
        </control>
      </mc:Choice>
    </mc:AlternateContent>
    <mc:AlternateContent xmlns:mc="http://schemas.openxmlformats.org/markup-compatibility/2006">
      <mc:Choice Requires="x14">
        <control shapeId="1990" r:id="rId268" name="Check Box 966">
          <controlPr defaultSize="0" autoFill="0" autoLine="0" autoPict="0" macro="[0]!ProcessChkBoxes">
            <anchor moveWithCells="1">
              <from>
                <xdr:col>5</xdr:col>
                <xdr:colOff>9525</xdr:colOff>
                <xdr:row>274</xdr:row>
                <xdr:rowOff>0</xdr:rowOff>
              </from>
              <to>
                <xdr:col>5</xdr:col>
                <xdr:colOff>161925</xdr:colOff>
                <xdr:row>274</xdr:row>
                <xdr:rowOff>104775</xdr:rowOff>
              </to>
            </anchor>
          </controlPr>
        </control>
      </mc:Choice>
    </mc:AlternateContent>
    <mc:AlternateContent xmlns:mc="http://schemas.openxmlformats.org/markup-compatibility/2006">
      <mc:Choice Requires="x14">
        <control shapeId="1991" r:id="rId269" name="Check Box 967">
          <controlPr defaultSize="0" autoFill="0" autoLine="0" autoPict="0" macro="[0]!ProcessChkBoxes">
            <anchor moveWithCells="1">
              <from>
                <xdr:col>3</xdr:col>
                <xdr:colOff>0</xdr:colOff>
                <xdr:row>277</xdr:row>
                <xdr:rowOff>19050</xdr:rowOff>
              </from>
              <to>
                <xdr:col>3</xdr:col>
                <xdr:colOff>152400</xdr:colOff>
                <xdr:row>277</xdr:row>
                <xdr:rowOff>123825</xdr:rowOff>
              </to>
            </anchor>
          </controlPr>
        </control>
      </mc:Choice>
    </mc:AlternateContent>
    <mc:AlternateContent xmlns:mc="http://schemas.openxmlformats.org/markup-compatibility/2006">
      <mc:Choice Requires="x14">
        <control shapeId="1992" r:id="rId270" name="Check Box 968">
          <controlPr defaultSize="0" autoFill="0" autoLine="0" autoPict="0" macro="[0]!ProcessChkBoxes">
            <anchor moveWithCells="1">
              <from>
                <xdr:col>3</xdr:col>
                <xdr:colOff>228600</xdr:colOff>
                <xdr:row>277</xdr:row>
                <xdr:rowOff>9525</xdr:rowOff>
              </from>
              <to>
                <xdr:col>4</xdr:col>
                <xdr:colOff>123825</xdr:colOff>
                <xdr:row>277</xdr:row>
                <xdr:rowOff>114300</xdr:rowOff>
              </to>
            </anchor>
          </controlPr>
        </control>
      </mc:Choice>
    </mc:AlternateContent>
    <mc:AlternateContent xmlns:mc="http://schemas.openxmlformats.org/markup-compatibility/2006">
      <mc:Choice Requires="x14">
        <control shapeId="1993" r:id="rId271" name="Check Box 969">
          <controlPr defaultSize="0" autoFill="0" autoLine="0" autoPict="0" macro="[0]!ProcessChkBoxes">
            <anchor moveWithCells="1">
              <from>
                <xdr:col>4</xdr:col>
                <xdr:colOff>238125</xdr:colOff>
                <xdr:row>277</xdr:row>
                <xdr:rowOff>0</xdr:rowOff>
              </from>
              <to>
                <xdr:col>5</xdr:col>
                <xdr:colOff>133350</xdr:colOff>
                <xdr:row>277</xdr:row>
                <xdr:rowOff>104775</xdr:rowOff>
              </to>
            </anchor>
          </controlPr>
        </control>
      </mc:Choice>
    </mc:AlternateContent>
    <mc:AlternateContent xmlns:mc="http://schemas.openxmlformats.org/markup-compatibility/2006">
      <mc:Choice Requires="x14">
        <control shapeId="1994" r:id="rId272" name="Check Box 970">
          <controlPr defaultSize="0" autoFill="0" autoLine="0" autoPict="0" macro="[0]!ProcessChkBoxes">
            <anchor moveWithCells="1">
              <from>
                <xdr:col>3</xdr:col>
                <xdr:colOff>0</xdr:colOff>
                <xdr:row>279</xdr:row>
                <xdr:rowOff>19050</xdr:rowOff>
              </from>
              <to>
                <xdr:col>3</xdr:col>
                <xdr:colOff>152400</xdr:colOff>
                <xdr:row>279</xdr:row>
                <xdr:rowOff>123825</xdr:rowOff>
              </to>
            </anchor>
          </controlPr>
        </control>
      </mc:Choice>
    </mc:AlternateContent>
    <mc:AlternateContent xmlns:mc="http://schemas.openxmlformats.org/markup-compatibility/2006">
      <mc:Choice Requires="x14">
        <control shapeId="1995" r:id="rId273" name="Check Box 971">
          <controlPr defaultSize="0" autoFill="0" autoLine="0" autoPict="0" macro="[0]!ProcessChkBoxes">
            <anchor moveWithCells="1">
              <from>
                <xdr:col>3</xdr:col>
                <xdr:colOff>228600</xdr:colOff>
                <xdr:row>279</xdr:row>
                <xdr:rowOff>9525</xdr:rowOff>
              </from>
              <to>
                <xdr:col>4</xdr:col>
                <xdr:colOff>123825</xdr:colOff>
                <xdr:row>279</xdr:row>
                <xdr:rowOff>114300</xdr:rowOff>
              </to>
            </anchor>
          </controlPr>
        </control>
      </mc:Choice>
    </mc:AlternateContent>
    <mc:AlternateContent xmlns:mc="http://schemas.openxmlformats.org/markup-compatibility/2006">
      <mc:Choice Requires="x14">
        <control shapeId="1996" r:id="rId274" name="Check Box 972">
          <controlPr defaultSize="0" autoFill="0" autoLine="0" autoPict="0" macro="[0]!ProcessChkBoxes">
            <anchor moveWithCells="1">
              <from>
                <xdr:col>4</xdr:col>
                <xdr:colOff>238125</xdr:colOff>
                <xdr:row>279</xdr:row>
                <xdr:rowOff>0</xdr:rowOff>
              </from>
              <to>
                <xdr:col>5</xdr:col>
                <xdr:colOff>133350</xdr:colOff>
                <xdr:row>279</xdr:row>
                <xdr:rowOff>104775</xdr:rowOff>
              </to>
            </anchor>
          </controlPr>
        </control>
      </mc:Choice>
    </mc:AlternateContent>
    <mc:AlternateContent xmlns:mc="http://schemas.openxmlformats.org/markup-compatibility/2006">
      <mc:Choice Requires="x14">
        <control shapeId="1997" r:id="rId275" name="Check Box 973">
          <controlPr defaultSize="0" autoFill="0" autoLine="0" autoPict="0" macro="[0]!ProcessChkBoxes">
            <anchor moveWithCells="1">
              <from>
                <xdr:col>3</xdr:col>
                <xdr:colOff>0</xdr:colOff>
                <xdr:row>296</xdr:row>
                <xdr:rowOff>19050</xdr:rowOff>
              </from>
              <to>
                <xdr:col>3</xdr:col>
                <xdr:colOff>152400</xdr:colOff>
                <xdr:row>296</xdr:row>
                <xdr:rowOff>123825</xdr:rowOff>
              </to>
            </anchor>
          </controlPr>
        </control>
      </mc:Choice>
    </mc:AlternateContent>
    <mc:AlternateContent xmlns:mc="http://schemas.openxmlformats.org/markup-compatibility/2006">
      <mc:Choice Requires="x14">
        <control shapeId="1998" r:id="rId276" name="Check Box 974">
          <controlPr defaultSize="0" autoFill="0" autoLine="0" autoPict="0" macro="[0]!ProcessChkBoxes">
            <anchor moveWithCells="1">
              <from>
                <xdr:col>3</xdr:col>
                <xdr:colOff>228600</xdr:colOff>
                <xdr:row>296</xdr:row>
                <xdr:rowOff>9525</xdr:rowOff>
              </from>
              <to>
                <xdr:col>4</xdr:col>
                <xdr:colOff>123825</xdr:colOff>
                <xdr:row>296</xdr:row>
                <xdr:rowOff>114300</xdr:rowOff>
              </to>
            </anchor>
          </controlPr>
        </control>
      </mc:Choice>
    </mc:AlternateContent>
    <mc:AlternateContent xmlns:mc="http://schemas.openxmlformats.org/markup-compatibility/2006">
      <mc:Choice Requires="x14">
        <control shapeId="1999" r:id="rId277" name="Check Box 975">
          <controlPr defaultSize="0" autoFill="0" autoLine="0" autoPict="0" macro="[0]!ProcessChkBoxes">
            <anchor moveWithCells="1">
              <from>
                <xdr:col>4</xdr:col>
                <xdr:colOff>238125</xdr:colOff>
                <xdr:row>296</xdr:row>
                <xdr:rowOff>0</xdr:rowOff>
              </from>
              <to>
                <xdr:col>5</xdr:col>
                <xdr:colOff>133350</xdr:colOff>
                <xdr:row>296</xdr:row>
                <xdr:rowOff>104775</xdr:rowOff>
              </to>
            </anchor>
          </controlPr>
        </control>
      </mc:Choice>
    </mc:AlternateContent>
    <mc:AlternateContent xmlns:mc="http://schemas.openxmlformats.org/markup-compatibility/2006">
      <mc:Choice Requires="x14">
        <control shapeId="2000" r:id="rId278" name="Check Box 976">
          <controlPr defaultSize="0" autoFill="0" autoLine="0" autoPict="0" macro="[0]!ProcessChkBoxes">
            <anchor moveWithCells="1">
              <from>
                <xdr:col>3</xdr:col>
                <xdr:colOff>9525</xdr:colOff>
                <xdr:row>297</xdr:row>
                <xdr:rowOff>9525</xdr:rowOff>
              </from>
              <to>
                <xdr:col>3</xdr:col>
                <xdr:colOff>161925</xdr:colOff>
                <xdr:row>297</xdr:row>
                <xdr:rowOff>114300</xdr:rowOff>
              </to>
            </anchor>
          </controlPr>
        </control>
      </mc:Choice>
    </mc:AlternateContent>
    <mc:AlternateContent xmlns:mc="http://schemas.openxmlformats.org/markup-compatibility/2006">
      <mc:Choice Requires="x14">
        <control shapeId="2001" r:id="rId279" name="Check Box 977">
          <controlPr defaultSize="0" autoFill="0" autoLine="0" autoPict="0" macro="[0]!ProcessChkBoxes">
            <anchor moveWithCells="1">
              <from>
                <xdr:col>3</xdr:col>
                <xdr:colOff>238125</xdr:colOff>
                <xdr:row>297</xdr:row>
                <xdr:rowOff>0</xdr:rowOff>
              </from>
              <to>
                <xdr:col>4</xdr:col>
                <xdr:colOff>133350</xdr:colOff>
                <xdr:row>297</xdr:row>
                <xdr:rowOff>104775</xdr:rowOff>
              </to>
            </anchor>
          </controlPr>
        </control>
      </mc:Choice>
    </mc:AlternateContent>
    <mc:AlternateContent xmlns:mc="http://schemas.openxmlformats.org/markup-compatibility/2006">
      <mc:Choice Requires="x14">
        <control shapeId="2002" r:id="rId280" name="Check Box 978">
          <controlPr defaultSize="0" autoFill="0" autoLine="0" autoPict="0" macro="[0]!ProcessChkBoxes">
            <anchor moveWithCells="1">
              <from>
                <xdr:col>4</xdr:col>
                <xdr:colOff>247650</xdr:colOff>
                <xdr:row>296</xdr:row>
                <xdr:rowOff>476250</xdr:rowOff>
              </from>
              <to>
                <xdr:col>5</xdr:col>
                <xdr:colOff>142875</xdr:colOff>
                <xdr:row>297</xdr:row>
                <xdr:rowOff>95250</xdr:rowOff>
              </to>
            </anchor>
          </controlPr>
        </control>
      </mc:Choice>
    </mc:AlternateContent>
    <mc:AlternateContent xmlns:mc="http://schemas.openxmlformats.org/markup-compatibility/2006">
      <mc:Choice Requires="x14">
        <control shapeId="2003" r:id="rId281" name="Check Box 979">
          <controlPr defaultSize="0" autoFill="0" autoLine="0" autoPict="0" macro="[0]!ProcessChkBoxes">
            <anchor moveWithCells="1">
              <from>
                <xdr:col>3</xdr:col>
                <xdr:colOff>0</xdr:colOff>
                <xdr:row>298</xdr:row>
                <xdr:rowOff>19050</xdr:rowOff>
              </from>
              <to>
                <xdr:col>3</xdr:col>
                <xdr:colOff>152400</xdr:colOff>
                <xdr:row>298</xdr:row>
                <xdr:rowOff>123825</xdr:rowOff>
              </to>
            </anchor>
          </controlPr>
        </control>
      </mc:Choice>
    </mc:AlternateContent>
    <mc:AlternateContent xmlns:mc="http://schemas.openxmlformats.org/markup-compatibility/2006">
      <mc:Choice Requires="x14">
        <control shapeId="2004" r:id="rId282" name="Check Box 980">
          <controlPr defaultSize="0" autoFill="0" autoLine="0" autoPict="0" macro="[0]!ProcessChkBoxes">
            <anchor moveWithCells="1">
              <from>
                <xdr:col>3</xdr:col>
                <xdr:colOff>228600</xdr:colOff>
                <xdr:row>298</xdr:row>
                <xdr:rowOff>9525</xdr:rowOff>
              </from>
              <to>
                <xdr:col>4</xdr:col>
                <xdr:colOff>123825</xdr:colOff>
                <xdr:row>298</xdr:row>
                <xdr:rowOff>114300</xdr:rowOff>
              </to>
            </anchor>
          </controlPr>
        </control>
      </mc:Choice>
    </mc:AlternateContent>
    <mc:AlternateContent xmlns:mc="http://schemas.openxmlformats.org/markup-compatibility/2006">
      <mc:Choice Requires="x14">
        <control shapeId="2005" r:id="rId283" name="Check Box 981">
          <controlPr defaultSize="0" autoFill="0" autoLine="0" autoPict="0" macro="[0]!ProcessChkBoxes">
            <anchor moveWithCells="1">
              <from>
                <xdr:col>4</xdr:col>
                <xdr:colOff>238125</xdr:colOff>
                <xdr:row>298</xdr:row>
                <xdr:rowOff>0</xdr:rowOff>
              </from>
              <to>
                <xdr:col>5</xdr:col>
                <xdr:colOff>133350</xdr:colOff>
                <xdr:row>298</xdr:row>
                <xdr:rowOff>104775</xdr:rowOff>
              </to>
            </anchor>
          </controlPr>
        </control>
      </mc:Choice>
    </mc:AlternateContent>
    <mc:AlternateContent xmlns:mc="http://schemas.openxmlformats.org/markup-compatibility/2006">
      <mc:Choice Requires="x14">
        <control shapeId="2006" r:id="rId284" name="Check Box 982">
          <controlPr defaultSize="0" autoFill="0" autoLine="0" autoPict="0" macro="[0]!ProcessChkBoxes">
            <anchor moveWithCells="1">
              <from>
                <xdr:col>3</xdr:col>
                <xdr:colOff>0</xdr:colOff>
                <xdr:row>299</xdr:row>
                <xdr:rowOff>19050</xdr:rowOff>
              </from>
              <to>
                <xdr:col>3</xdr:col>
                <xdr:colOff>152400</xdr:colOff>
                <xdr:row>299</xdr:row>
                <xdr:rowOff>123825</xdr:rowOff>
              </to>
            </anchor>
          </controlPr>
        </control>
      </mc:Choice>
    </mc:AlternateContent>
    <mc:AlternateContent xmlns:mc="http://schemas.openxmlformats.org/markup-compatibility/2006">
      <mc:Choice Requires="x14">
        <control shapeId="2007" r:id="rId285" name="Check Box 983">
          <controlPr defaultSize="0" autoFill="0" autoLine="0" autoPict="0" macro="[0]!ProcessChkBoxes">
            <anchor moveWithCells="1">
              <from>
                <xdr:col>3</xdr:col>
                <xdr:colOff>228600</xdr:colOff>
                <xdr:row>299</xdr:row>
                <xdr:rowOff>9525</xdr:rowOff>
              </from>
              <to>
                <xdr:col>4</xdr:col>
                <xdr:colOff>123825</xdr:colOff>
                <xdr:row>299</xdr:row>
                <xdr:rowOff>114300</xdr:rowOff>
              </to>
            </anchor>
          </controlPr>
        </control>
      </mc:Choice>
    </mc:AlternateContent>
    <mc:AlternateContent xmlns:mc="http://schemas.openxmlformats.org/markup-compatibility/2006">
      <mc:Choice Requires="x14">
        <control shapeId="2008" r:id="rId286" name="Check Box 984">
          <controlPr defaultSize="0" autoFill="0" autoLine="0" autoPict="0" macro="[0]!ProcessChkBoxes">
            <anchor moveWithCells="1">
              <from>
                <xdr:col>4</xdr:col>
                <xdr:colOff>238125</xdr:colOff>
                <xdr:row>299</xdr:row>
                <xdr:rowOff>0</xdr:rowOff>
              </from>
              <to>
                <xdr:col>5</xdr:col>
                <xdr:colOff>133350</xdr:colOff>
                <xdr:row>299</xdr:row>
                <xdr:rowOff>104775</xdr:rowOff>
              </to>
            </anchor>
          </controlPr>
        </control>
      </mc:Choice>
    </mc:AlternateContent>
    <mc:AlternateContent xmlns:mc="http://schemas.openxmlformats.org/markup-compatibility/2006">
      <mc:Choice Requires="x14">
        <control shapeId="2009" r:id="rId287" name="Check Box 985">
          <controlPr defaultSize="0" autoFill="0" autoLine="0" autoPict="0" macro="[0]!ProcessChkBoxes">
            <anchor moveWithCells="1">
              <from>
                <xdr:col>3</xdr:col>
                <xdr:colOff>0</xdr:colOff>
                <xdr:row>300</xdr:row>
                <xdr:rowOff>19050</xdr:rowOff>
              </from>
              <to>
                <xdr:col>3</xdr:col>
                <xdr:colOff>152400</xdr:colOff>
                <xdr:row>300</xdr:row>
                <xdr:rowOff>123825</xdr:rowOff>
              </to>
            </anchor>
          </controlPr>
        </control>
      </mc:Choice>
    </mc:AlternateContent>
    <mc:AlternateContent xmlns:mc="http://schemas.openxmlformats.org/markup-compatibility/2006">
      <mc:Choice Requires="x14">
        <control shapeId="2010" r:id="rId288" name="Check Box 986">
          <controlPr defaultSize="0" autoFill="0" autoLine="0" autoPict="0" macro="[0]!ProcessChkBoxes">
            <anchor moveWithCells="1">
              <from>
                <xdr:col>3</xdr:col>
                <xdr:colOff>228600</xdr:colOff>
                <xdr:row>300</xdr:row>
                <xdr:rowOff>9525</xdr:rowOff>
              </from>
              <to>
                <xdr:col>4</xdr:col>
                <xdr:colOff>123825</xdr:colOff>
                <xdr:row>300</xdr:row>
                <xdr:rowOff>114300</xdr:rowOff>
              </to>
            </anchor>
          </controlPr>
        </control>
      </mc:Choice>
    </mc:AlternateContent>
    <mc:AlternateContent xmlns:mc="http://schemas.openxmlformats.org/markup-compatibility/2006">
      <mc:Choice Requires="x14">
        <control shapeId="2011" r:id="rId289" name="Check Box 987">
          <controlPr defaultSize="0" autoFill="0" autoLine="0" autoPict="0" macro="[0]!ProcessChkBoxes">
            <anchor moveWithCells="1">
              <from>
                <xdr:col>4</xdr:col>
                <xdr:colOff>238125</xdr:colOff>
                <xdr:row>300</xdr:row>
                <xdr:rowOff>0</xdr:rowOff>
              </from>
              <to>
                <xdr:col>5</xdr:col>
                <xdr:colOff>133350</xdr:colOff>
                <xdr:row>300</xdr:row>
                <xdr:rowOff>104775</xdr:rowOff>
              </to>
            </anchor>
          </controlPr>
        </control>
      </mc:Choice>
    </mc:AlternateContent>
    <mc:AlternateContent xmlns:mc="http://schemas.openxmlformats.org/markup-compatibility/2006">
      <mc:Choice Requires="x14">
        <control shapeId="2015" r:id="rId290" name="Check Box 991">
          <controlPr defaultSize="0" autoFill="0" autoLine="0" autoPict="0" macro="[0]!ProcessChkBoxes">
            <anchor moveWithCells="1">
              <from>
                <xdr:col>3</xdr:col>
                <xdr:colOff>0</xdr:colOff>
                <xdr:row>301</xdr:row>
                <xdr:rowOff>19050</xdr:rowOff>
              </from>
              <to>
                <xdr:col>3</xdr:col>
                <xdr:colOff>152400</xdr:colOff>
                <xdr:row>301</xdr:row>
                <xdr:rowOff>123825</xdr:rowOff>
              </to>
            </anchor>
          </controlPr>
        </control>
      </mc:Choice>
    </mc:AlternateContent>
    <mc:AlternateContent xmlns:mc="http://schemas.openxmlformats.org/markup-compatibility/2006">
      <mc:Choice Requires="x14">
        <control shapeId="2016" r:id="rId291" name="Check Box 992">
          <controlPr defaultSize="0" autoFill="0" autoLine="0" autoPict="0" macro="[0]!ProcessChkBoxes">
            <anchor moveWithCells="1">
              <from>
                <xdr:col>3</xdr:col>
                <xdr:colOff>228600</xdr:colOff>
                <xdr:row>301</xdr:row>
                <xdr:rowOff>9525</xdr:rowOff>
              </from>
              <to>
                <xdr:col>4</xdr:col>
                <xdr:colOff>123825</xdr:colOff>
                <xdr:row>301</xdr:row>
                <xdr:rowOff>114300</xdr:rowOff>
              </to>
            </anchor>
          </controlPr>
        </control>
      </mc:Choice>
    </mc:AlternateContent>
    <mc:AlternateContent xmlns:mc="http://schemas.openxmlformats.org/markup-compatibility/2006">
      <mc:Choice Requires="x14">
        <control shapeId="2017" r:id="rId292" name="Check Box 993">
          <controlPr defaultSize="0" autoFill="0" autoLine="0" autoPict="0" macro="[0]!ProcessChkBoxes">
            <anchor moveWithCells="1">
              <from>
                <xdr:col>4</xdr:col>
                <xdr:colOff>238125</xdr:colOff>
                <xdr:row>301</xdr:row>
                <xdr:rowOff>0</xdr:rowOff>
              </from>
              <to>
                <xdr:col>5</xdr:col>
                <xdr:colOff>133350</xdr:colOff>
                <xdr:row>301</xdr:row>
                <xdr:rowOff>104775</xdr:rowOff>
              </to>
            </anchor>
          </controlPr>
        </control>
      </mc:Choice>
    </mc:AlternateContent>
    <mc:AlternateContent xmlns:mc="http://schemas.openxmlformats.org/markup-compatibility/2006">
      <mc:Choice Requires="x14">
        <control shapeId="2018" r:id="rId293" name="Check Box 994">
          <controlPr defaultSize="0" autoFill="0" autoLine="0" autoPict="0" macro="[0]!ProcessChkBoxes">
            <anchor moveWithCells="1">
              <from>
                <xdr:col>3</xdr:col>
                <xdr:colOff>0</xdr:colOff>
                <xdr:row>304</xdr:row>
                <xdr:rowOff>19050</xdr:rowOff>
              </from>
              <to>
                <xdr:col>3</xdr:col>
                <xdr:colOff>152400</xdr:colOff>
                <xdr:row>304</xdr:row>
                <xdr:rowOff>123825</xdr:rowOff>
              </to>
            </anchor>
          </controlPr>
        </control>
      </mc:Choice>
    </mc:AlternateContent>
    <mc:AlternateContent xmlns:mc="http://schemas.openxmlformats.org/markup-compatibility/2006">
      <mc:Choice Requires="x14">
        <control shapeId="2019" r:id="rId294" name="Check Box 995">
          <controlPr defaultSize="0" autoFill="0" autoLine="0" autoPict="0" macro="[0]!ProcessChkBoxes">
            <anchor moveWithCells="1">
              <from>
                <xdr:col>3</xdr:col>
                <xdr:colOff>228600</xdr:colOff>
                <xdr:row>304</xdr:row>
                <xdr:rowOff>9525</xdr:rowOff>
              </from>
              <to>
                <xdr:col>4</xdr:col>
                <xdr:colOff>123825</xdr:colOff>
                <xdr:row>304</xdr:row>
                <xdr:rowOff>114300</xdr:rowOff>
              </to>
            </anchor>
          </controlPr>
        </control>
      </mc:Choice>
    </mc:AlternateContent>
    <mc:AlternateContent xmlns:mc="http://schemas.openxmlformats.org/markup-compatibility/2006">
      <mc:Choice Requires="x14">
        <control shapeId="2020" r:id="rId295" name="Check Box 996">
          <controlPr defaultSize="0" autoFill="0" autoLine="0" autoPict="0" macro="[0]!ProcessChkBoxes">
            <anchor moveWithCells="1">
              <from>
                <xdr:col>4</xdr:col>
                <xdr:colOff>238125</xdr:colOff>
                <xdr:row>304</xdr:row>
                <xdr:rowOff>0</xdr:rowOff>
              </from>
              <to>
                <xdr:col>5</xdr:col>
                <xdr:colOff>133350</xdr:colOff>
                <xdr:row>304</xdr:row>
                <xdr:rowOff>104775</xdr:rowOff>
              </to>
            </anchor>
          </controlPr>
        </control>
      </mc:Choice>
    </mc:AlternateContent>
    <mc:AlternateContent xmlns:mc="http://schemas.openxmlformats.org/markup-compatibility/2006">
      <mc:Choice Requires="x14">
        <control shapeId="2021" r:id="rId296" name="Check Box 997">
          <controlPr defaultSize="0" autoFill="0" autoLine="0" autoPict="0" macro="[0]!ProcessChkBoxes">
            <anchor moveWithCells="1">
              <from>
                <xdr:col>3</xdr:col>
                <xdr:colOff>0</xdr:colOff>
                <xdr:row>305</xdr:row>
                <xdr:rowOff>19050</xdr:rowOff>
              </from>
              <to>
                <xdr:col>3</xdr:col>
                <xdr:colOff>152400</xdr:colOff>
                <xdr:row>305</xdr:row>
                <xdr:rowOff>123825</xdr:rowOff>
              </to>
            </anchor>
          </controlPr>
        </control>
      </mc:Choice>
    </mc:AlternateContent>
    <mc:AlternateContent xmlns:mc="http://schemas.openxmlformats.org/markup-compatibility/2006">
      <mc:Choice Requires="x14">
        <control shapeId="2022" r:id="rId297" name="Check Box 998">
          <controlPr defaultSize="0" autoFill="0" autoLine="0" autoPict="0" macro="[0]!ProcessChkBoxes">
            <anchor moveWithCells="1">
              <from>
                <xdr:col>3</xdr:col>
                <xdr:colOff>228600</xdr:colOff>
                <xdr:row>305</xdr:row>
                <xdr:rowOff>9525</xdr:rowOff>
              </from>
              <to>
                <xdr:col>4</xdr:col>
                <xdr:colOff>123825</xdr:colOff>
                <xdr:row>305</xdr:row>
                <xdr:rowOff>114300</xdr:rowOff>
              </to>
            </anchor>
          </controlPr>
        </control>
      </mc:Choice>
    </mc:AlternateContent>
    <mc:AlternateContent xmlns:mc="http://schemas.openxmlformats.org/markup-compatibility/2006">
      <mc:Choice Requires="x14">
        <control shapeId="2023" r:id="rId298" name="Check Box 999">
          <controlPr defaultSize="0" autoFill="0" autoLine="0" autoPict="0" macro="[0]!ProcessChkBoxes">
            <anchor moveWithCells="1">
              <from>
                <xdr:col>4</xdr:col>
                <xdr:colOff>238125</xdr:colOff>
                <xdr:row>305</xdr:row>
                <xdr:rowOff>0</xdr:rowOff>
              </from>
              <to>
                <xdr:col>5</xdr:col>
                <xdr:colOff>133350</xdr:colOff>
                <xdr:row>305</xdr:row>
                <xdr:rowOff>104775</xdr:rowOff>
              </to>
            </anchor>
          </controlPr>
        </control>
      </mc:Choice>
    </mc:AlternateContent>
    <mc:AlternateContent xmlns:mc="http://schemas.openxmlformats.org/markup-compatibility/2006">
      <mc:Choice Requires="x14">
        <control shapeId="2024" r:id="rId299" name="Check Box 1000">
          <controlPr defaultSize="0" autoFill="0" autoLine="0" autoPict="0" macro="[0]!ProcessChkBoxes">
            <anchor moveWithCells="1">
              <from>
                <xdr:col>3</xdr:col>
                <xdr:colOff>0</xdr:colOff>
                <xdr:row>313</xdr:row>
                <xdr:rowOff>19050</xdr:rowOff>
              </from>
              <to>
                <xdr:col>3</xdr:col>
                <xdr:colOff>152400</xdr:colOff>
                <xdr:row>313</xdr:row>
                <xdr:rowOff>123825</xdr:rowOff>
              </to>
            </anchor>
          </controlPr>
        </control>
      </mc:Choice>
    </mc:AlternateContent>
    <mc:AlternateContent xmlns:mc="http://schemas.openxmlformats.org/markup-compatibility/2006">
      <mc:Choice Requires="x14">
        <control shapeId="2025" r:id="rId300" name="Check Box 1001">
          <controlPr defaultSize="0" autoFill="0" autoLine="0" autoPict="0" macro="[0]!ProcessChkBoxes">
            <anchor moveWithCells="1">
              <from>
                <xdr:col>3</xdr:col>
                <xdr:colOff>228600</xdr:colOff>
                <xdr:row>313</xdr:row>
                <xdr:rowOff>9525</xdr:rowOff>
              </from>
              <to>
                <xdr:col>4</xdr:col>
                <xdr:colOff>123825</xdr:colOff>
                <xdr:row>313</xdr:row>
                <xdr:rowOff>114300</xdr:rowOff>
              </to>
            </anchor>
          </controlPr>
        </control>
      </mc:Choice>
    </mc:AlternateContent>
    <mc:AlternateContent xmlns:mc="http://schemas.openxmlformats.org/markup-compatibility/2006">
      <mc:Choice Requires="x14">
        <control shapeId="2026" r:id="rId301" name="Check Box 1002">
          <controlPr defaultSize="0" autoFill="0" autoLine="0" autoPict="0" macro="[0]!ProcessChkBoxes">
            <anchor moveWithCells="1">
              <from>
                <xdr:col>4</xdr:col>
                <xdr:colOff>238125</xdr:colOff>
                <xdr:row>313</xdr:row>
                <xdr:rowOff>0</xdr:rowOff>
              </from>
              <to>
                <xdr:col>5</xdr:col>
                <xdr:colOff>133350</xdr:colOff>
                <xdr:row>313</xdr:row>
                <xdr:rowOff>104775</xdr:rowOff>
              </to>
            </anchor>
          </controlPr>
        </control>
      </mc:Choice>
    </mc:AlternateContent>
    <mc:AlternateContent xmlns:mc="http://schemas.openxmlformats.org/markup-compatibility/2006">
      <mc:Choice Requires="x14">
        <control shapeId="2030" r:id="rId302" name="Check Box 1006">
          <controlPr defaultSize="0" autoFill="0" autoLine="0" autoPict="0" macro="[0]!ProcessChkBoxes">
            <anchor moveWithCells="1">
              <from>
                <xdr:col>3</xdr:col>
                <xdr:colOff>19050</xdr:colOff>
                <xdr:row>316</xdr:row>
                <xdr:rowOff>38100</xdr:rowOff>
              </from>
              <to>
                <xdr:col>3</xdr:col>
                <xdr:colOff>171450</xdr:colOff>
                <xdr:row>316</xdr:row>
                <xdr:rowOff>142875</xdr:rowOff>
              </to>
            </anchor>
          </controlPr>
        </control>
      </mc:Choice>
    </mc:AlternateContent>
    <mc:AlternateContent xmlns:mc="http://schemas.openxmlformats.org/markup-compatibility/2006">
      <mc:Choice Requires="x14">
        <control shapeId="2031" r:id="rId303" name="Check Box 1007">
          <controlPr defaultSize="0" autoFill="0" autoLine="0" autoPict="0" macro="[0]!ProcessChkBoxes">
            <anchor moveWithCells="1">
              <from>
                <xdr:col>3</xdr:col>
                <xdr:colOff>247650</xdr:colOff>
                <xdr:row>316</xdr:row>
                <xdr:rowOff>28575</xdr:rowOff>
              </from>
              <to>
                <xdr:col>4</xdr:col>
                <xdr:colOff>142875</xdr:colOff>
                <xdr:row>316</xdr:row>
                <xdr:rowOff>133350</xdr:rowOff>
              </to>
            </anchor>
          </controlPr>
        </control>
      </mc:Choice>
    </mc:AlternateContent>
    <mc:AlternateContent xmlns:mc="http://schemas.openxmlformats.org/markup-compatibility/2006">
      <mc:Choice Requires="x14">
        <control shapeId="2032" r:id="rId304" name="Check Box 1008">
          <controlPr defaultSize="0" autoFill="0" autoLine="0" autoPict="0" macro="[0]!ProcessChkBoxes">
            <anchor moveWithCells="1">
              <from>
                <xdr:col>5</xdr:col>
                <xdr:colOff>0</xdr:colOff>
                <xdr:row>316</xdr:row>
                <xdr:rowOff>19050</xdr:rowOff>
              </from>
              <to>
                <xdr:col>5</xdr:col>
                <xdr:colOff>152400</xdr:colOff>
                <xdr:row>316</xdr:row>
                <xdr:rowOff>123825</xdr:rowOff>
              </to>
            </anchor>
          </controlPr>
        </control>
      </mc:Choice>
    </mc:AlternateContent>
    <mc:AlternateContent xmlns:mc="http://schemas.openxmlformats.org/markup-compatibility/2006">
      <mc:Choice Requires="x14">
        <control shapeId="2033" r:id="rId305" name="Check Box 1009">
          <controlPr defaultSize="0" autoFill="0" autoLine="0" autoPict="0" macro="[0]!ProcessChkBoxes">
            <anchor moveWithCells="1">
              <from>
                <xdr:col>3</xdr:col>
                <xdr:colOff>0</xdr:colOff>
                <xdr:row>320</xdr:row>
                <xdr:rowOff>19050</xdr:rowOff>
              </from>
              <to>
                <xdr:col>3</xdr:col>
                <xdr:colOff>152400</xdr:colOff>
                <xdr:row>320</xdr:row>
                <xdr:rowOff>123825</xdr:rowOff>
              </to>
            </anchor>
          </controlPr>
        </control>
      </mc:Choice>
    </mc:AlternateContent>
    <mc:AlternateContent xmlns:mc="http://schemas.openxmlformats.org/markup-compatibility/2006">
      <mc:Choice Requires="x14">
        <control shapeId="2034" r:id="rId306" name="Check Box 1010">
          <controlPr defaultSize="0" autoFill="0" autoLine="0" autoPict="0" macro="[0]!ProcessChkBoxes">
            <anchor moveWithCells="1">
              <from>
                <xdr:col>3</xdr:col>
                <xdr:colOff>228600</xdr:colOff>
                <xdr:row>320</xdr:row>
                <xdr:rowOff>9525</xdr:rowOff>
              </from>
              <to>
                <xdr:col>4</xdr:col>
                <xdr:colOff>123825</xdr:colOff>
                <xdr:row>320</xdr:row>
                <xdr:rowOff>114300</xdr:rowOff>
              </to>
            </anchor>
          </controlPr>
        </control>
      </mc:Choice>
    </mc:AlternateContent>
    <mc:AlternateContent xmlns:mc="http://schemas.openxmlformats.org/markup-compatibility/2006">
      <mc:Choice Requires="x14">
        <control shapeId="2035" r:id="rId307" name="Check Box 1011">
          <controlPr defaultSize="0" autoFill="0" autoLine="0" autoPict="0" macro="[0]!ProcessChkBoxes">
            <anchor moveWithCells="1">
              <from>
                <xdr:col>4</xdr:col>
                <xdr:colOff>238125</xdr:colOff>
                <xdr:row>320</xdr:row>
                <xdr:rowOff>0</xdr:rowOff>
              </from>
              <to>
                <xdr:col>5</xdr:col>
                <xdr:colOff>133350</xdr:colOff>
                <xdr:row>320</xdr:row>
                <xdr:rowOff>104775</xdr:rowOff>
              </to>
            </anchor>
          </controlPr>
        </control>
      </mc:Choice>
    </mc:AlternateContent>
    <mc:AlternateContent xmlns:mc="http://schemas.openxmlformats.org/markup-compatibility/2006">
      <mc:Choice Requires="x14">
        <control shapeId="2036" r:id="rId308" name="Check Box 1012">
          <controlPr defaultSize="0" autoFill="0" autoLine="0" autoPict="0" macro="[0]!ProcessChkBoxes">
            <anchor moveWithCells="1">
              <from>
                <xdr:col>3</xdr:col>
                <xdr:colOff>0</xdr:colOff>
                <xdr:row>321</xdr:row>
                <xdr:rowOff>19050</xdr:rowOff>
              </from>
              <to>
                <xdr:col>3</xdr:col>
                <xdr:colOff>152400</xdr:colOff>
                <xdr:row>321</xdr:row>
                <xdr:rowOff>123825</xdr:rowOff>
              </to>
            </anchor>
          </controlPr>
        </control>
      </mc:Choice>
    </mc:AlternateContent>
    <mc:AlternateContent xmlns:mc="http://schemas.openxmlformats.org/markup-compatibility/2006">
      <mc:Choice Requires="x14">
        <control shapeId="2037" r:id="rId309" name="Check Box 1013">
          <controlPr defaultSize="0" autoFill="0" autoLine="0" autoPict="0" macro="[0]!ProcessChkBoxes">
            <anchor moveWithCells="1">
              <from>
                <xdr:col>3</xdr:col>
                <xdr:colOff>228600</xdr:colOff>
                <xdr:row>321</xdr:row>
                <xdr:rowOff>9525</xdr:rowOff>
              </from>
              <to>
                <xdr:col>4</xdr:col>
                <xdr:colOff>123825</xdr:colOff>
                <xdr:row>321</xdr:row>
                <xdr:rowOff>114300</xdr:rowOff>
              </to>
            </anchor>
          </controlPr>
        </control>
      </mc:Choice>
    </mc:AlternateContent>
    <mc:AlternateContent xmlns:mc="http://schemas.openxmlformats.org/markup-compatibility/2006">
      <mc:Choice Requires="x14">
        <control shapeId="2038" r:id="rId310" name="Check Box 1014">
          <controlPr defaultSize="0" autoFill="0" autoLine="0" autoPict="0" macro="[0]!ProcessChkBoxes">
            <anchor moveWithCells="1">
              <from>
                <xdr:col>4</xdr:col>
                <xdr:colOff>238125</xdr:colOff>
                <xdr:row>321</xdr:row>
                <xdr:rowOff>0</xdr:rowOff>
              </from>
              <to>
                <xdr:col>5</xdr:col>
                <xdr:colOff>133350</xdr:colOff>
                <xdr:row>321</xdr:row>
                <xdr:rowOff>104775</xdr:rowOff>
              </to>
            </anchor>
          </controlPr>
        </control>
      </mc:Choice>
    </mc:AlternateContent>
    <mc:AlternateContent xmlns:mc="http://schemas.openxmlformats.org/markup-compatibility/2006">
      <mc:Choice Requires="x14">
        <control shapeId="2039" r:id="rId311" name="Check Box 1015">
          <controlPr defaultSize="0" autoFill="0" autoLine="0" autoPict="0" macro="[0]!ProcessChkBoxes">
            <anchor moveWithCells="1">
              <from>
                <xdr:col>3</xdr:col>
                <xdr:colOff>0</xdr:colOff>
                <xdr:row>322</xdr:row>
                <xdr:rowOff>19050</xdr:rowOff>
              </from>
              <to>
                <xdr:col>3</xdr:col>
                <xdr:colOff>152400</xdr:colOff>
                <xdr:row>322</xdr:row>
                <xdr:rowOff>123825</xdr:rowOff>
              </to>
            </anchor>
          </controlPr>
        </control>
      </mc:Choice>
    </mc:AlternateContent>
    <mc:AlternateContent xmlns:mc="http://schemas.openxmlformats.org/markup-compatibility/2006">
      <mc:Choice Requires="x14">
        <control shapeId="2040" r:id="rId312" name="Check Box 1016">
          <controlPr defaultSize="0" autoFill="0" autoLine="0" autoPict="0" macro="[0]!ProcessChkBoxes">
            <anchor moveWithCells="1">
              <from>
                <xdr:col>3</xdr:col>
                <xdr:colOff>228600</xdr:colOff>
                <xdr:row>322</xdr:row>
                <xdr:rowOff>9525</xdr:rowOff>
              </from>
              <to>
                <xdr:col>4</xdr:col>
                <xdr:colOff>123825</xdr:colOff>
                <xdr:row>322</xdr:row>
                <xdr:rowOff>114300</xdr:rowOff>
              </to>
            </anchor>
          </controlPr>
        </control>
      </mc:Choice>
    </mc:AlternateContent>
    <mc:AlternateContent xmlns:mc="http://schemas.openxmlformats.org/markup-compatibility/2006">
      <mc:Choice Requires="x14">
        <control shapeId="2041" r:id="rId313" name="Check Box 1017">
          <controlPr defaultSize="0" autoFill="0" autoLine="0" autoPict="0" macro="[0]!ProcessChkBoxes">
            <anchor moveWithCells="1">
              <from>
                <xdr:col>4</xdr:col>
                <xdr:colOff>238125</xdr:colOff>
                <xdr:row>322</xdr:row>
                <xdr:rowOff>0</xdr:rowOff>
              </from>
              <to>
                <xdr:col>5</xdr:col>
                <xdr:colOff>133350</xdr:colOff>
                <xdr:row>322</xdr:row>
                <xdr:rowOff>104775</xdr:rowOff>
              </to>
            </anchor>
          </controlPr>
        </control>
      </mc:Choice>
    </mc:AlternateContent>
    <mc:AlternateContent xmlns:mc="http://schemas.openxmlformats.org/markup-compatibility/2006">
      <mc:Choice Requires="x14">
        <control shapeId="2042" r:id="rId314" name="Check Box 1018">
          <controlPr defaultSize="0" autoFill="0" autoLine="0" autoPict="0" macro="[0]!ProcessChkBoxes">
            <anchor moveWithCells="1">
              <from>
                <xdr:col>3</xdr:col>
                <xdr:colOff>0</xdr:colOff>
                <xdr:row>338</xdr:row>
                <xdr:rowOff>19050</xdr:rowOff>
              </from>
              <to>
                <xdr:col>3</xdr:col>
                <xdr:colOff>152400</xdr:colOff>
                <xdr:row>338</xdr:row>
                <xdr:rowOff>123825</xdr:rowOff>
              </to>
            </anchor>
          </controlPr>
        </control>
      </mc:Choice>
    </mc:AlternateContent>
    <mc:AlternateContent xmlns:mc="http://schemas.openxmlformats.org/markup-compatibility/2006">
      <mc:Choice Requires="x14">
        <control shapeId="2043" r:id="rId315" name="Check Box 1019">
          <controlPr defaultSize="0" autoFill="0" autoLine="0" autoPict="0" macro="[0]!ProcessChkBoxes">
            <anchor moveWithCells="1">
              <from>
                <xdr:col>3</xdr:col>
                <xdr:colOff>228600</xdr:colOff>
                <xdr:row>338</xdr:row>
                <xdr:rowOff>9525</xdr:rowOff>
              </from>
              <to>
                <xdr:col>4</xdr:col>
                <xdr:colOff>123825</xdr:colOff>
                <xdr:row>338</xdr:row>
                <xdr:rowOff>114300</xdr:rowOff>
              </to>
            </anchor>
          </controlPr>
        </control>
      </mc:Choice>
    </mc:AlternateContent>
    <mc:AlternateContent xmlns:mc="http://schemas.openxmlformats.org/markup-compatibility/2006">
      <mc:Choice Requires="x14">
        <control shapeId="2044" r:id="rId316" name="Check Box 1020">
          <controlPr defaultSize="0" autoFill="0" autoLine="0" autoPict="0" macro="[0]!ProcessChkBoxes">
            <anchor moveWithCells="1">
              <from>
                <xdr:col>4</xdr:col>
                <xdr:colOff>238125</xdr:colOff>
                <xdr:row>338</xdr:row>
                <xdr:rowOff>0</xdr:rowOff>
              </from>
              <to>
                <xdr:col>5</xdr:col>
                <xdr:colOff>133350</xdr:colOff>
                <xdr:row>338</xdr:row>
                <xdr:rowOff>104775</xdr:rowOff>
              </to>
            </anchor>
          </controlPr>
        </control>
      </mc:Choice>
    </mc:AlternateContent>
    <mc:AlternateContent xmlns:mc="http://schemas.openxmlformats.org/markup-compatibility/2006">
      <mc:Choice Requires="x14">
        <control shapeId="2045" r:id="rId317" name="Check Box 1021">
          <controlPr defaultSize="0" autoFill="0" autoLine="0" autoPict="0" macro="[0]!ProcessChkBoxes">
            <anchor moveWithCells="1">
              <from>
                <xdr:col>3</xdr:col>
                <xdr:colOff>0</xdr:colOff>
                <xdr:row>339</xdr:row>
                <xdr:rowOff>19050</xdr:rowOff>
              </from>
              <to>
                <xdr:col>3</xdr:col>
                <xdr:colOff>152400</xdr:colOff>
                <xdr:row>339</xdr:row>
                <xdr:rowOff>123825</xdr:rowOff>
              </to>
            </anchor>
          </controlPr>
        </control>
      </mc:Choice>
    </mc:AlternateContent>
    <mc:AlternateContent xmlns:mc="http://schemas.openxmlformats.org/markup-compatibility/2006">
      <mc:Choice Requires="x14">
        <control shapeId="2046" r:id="rId318" name="Check Box 1022">
          <controlPr defaultSize="0" autoFill="0" autoLine="0" autoPict="0" macro="[0]!ProcessChkBoxes">
            <anchor moveWithCells="1">
              <from>
                <xdr:col>3</xdr:col>
                <xdr:colOff>228600</xdr:colOff>
                <xdr:row>339</xdr:row>
                <xdr:rowOff>9525</xdr:rowOff>
              </from>
              <to>
                <xdr:col>4</xdr:col>
                <xdr:colOff>123825</xdr:colOff>
                <xdr:row>339</xdr:row>
                <xdr:rowOff>114300</xdr:rowOff>
              </to>
            </anchor>
          </controlPr>
        </control>
      </mc:Choice>
    </mc:AlternateContent>
    <mc:AlternateContent xmlns:mc="http://schemas.openxmlformats.org/markup-compatibility/2006">
      <mc:Choice Requires="x14">
        <control shapeId="2047" r:id="rId319" name="Check Box 1023">
          <controlPr defaultSize="0" autoFill="0" autoLine="0" autoPict="0" macro="[0]!ProcessChkBoxes">
            <anchor moveWithCells="1">
              <from>
                <xdr:col>4</xdr:col>
                <xdr:colOff>238125</xdr:colOff>
                <xdr:row>339</xdr:row>
                <xdr:rowOff>0</xdr:rowOff>
              </from>
              <to>
                <xdr:col>5</xdr:col>
                <xdr:colOff>133350</xdr:colOff>
                <xdr:row>339</xdr:row>
                <xdr:rowOff>104775</xdr:rowOff>
              </to>
            </anchor>
          </controlPr>
        </control>
      </mc:Choice>
    </mc:AlternateContent>
    <mc:AlternateContent xmlns:mc="http://schemas.openxmlformats.org/markup-compatibility/2006">
      <mc:Choice Requires="x14">
        <control shapeId="8192" r:id="rId320" name="Check Box 1024">
          <controlPr defaultSize="0" autoFill="0" autoLine="0" autoPict="0" macro="[0]!ProcessChkBoxes">
            <anchor moveWithCells="1">
              <from>
                <xdr:col>3</xdr:col>
                <xdr:colOff>0</xdr:colOff>
                <xdr:row>342</xdr:row>
                <xdr:rowOff>19050</xdr:rowOff>
              </from>
              <to>
                <xdr:col>3</xdr:col>
                <xdr:colOff>152400</xdr:colOff>
                <xdr:row>342</xdr:row>
                <xdr:rowOff>123825</xdr:rowOff>
              </to>
            </anchor>
          </controlPr>
        </control>
      </mc:Choice>
    </mc:AlternateContent>
    <mc:AlternateContent xmlns:mc="http://schemas.openxmlformats.org/markup-compatibility/2006">
      <mc:Choice Requires="x14">
        <control shapeId="8193" r:id="rId321" name="Check Box 1025">
          <controlPr defaultSize="0" autoFill="0" autoLine="0" autoPict="0" macro="[0]!ProcessChkBoxes">
            <anchor moveWithCells="1">
              <from>
                <xdr:col>3</xdr:col>
                <xdr:colOff>228600</xdr:colOff>
                <xdr:row>342</xdr:row>
                <xdr:rowOff>9525</xdr:rowOff>
              </from>
              <to>
                <xdr:col>4</xdr:col>
                <xdr:colOff>123825</xdr:colOff>
                <xdr:row>342</xdr:row>
                <xdr:rowOff>114300</xdr:rowOff>
              </to>
            </anchor>
          </controlPr>
        </control>
      </mc:Choice>
    </mc:AlternateContent>
    <mc:AlternateContent xmlns:mc="http://schemas.openxmlformats.org/markup-compatibility/2006">
      <mc:Choice Requires="x14">
        <control shapeId="8194" r:id="rId322" name="Check Box 1026">
          <controlPr defaultSize="0" autoFill="0" autoLine="0" autoPict="0" macro="[0]!ProcessChkBoxes">
            <anchor moveWithCells="1">
              <from>
                <xdr:col>4</xdr:col>
                <xdr:colOff>238125</xdr:colOff>
                <xdr:row>342</xdr:row>
                <xdr:rowOff>0</xdr:rowOff>
              </from>
              <to>
                <xdr:col>5</xdr:col>
                <xdr:colOff>133350</xdr:colOff>
                <xdr:row>342</xdr:row>
                <xdr:rowOff>104775</xdr:rowOff>
              </to>
            </anchor>
          </controlPr>
        </control>
      </mc:Choice>
    </mc:AlternateContent>
    <mc:AlternateContent xmlns:mc="http://schemas.openxmlformats.org/markup-compatibility/2006">
      <mc:Choice Requires="x14">
        <control shapeId="8195" r:id="rId323" name="Check Box 1027">
          <controlPr defaultSize="0" autoFill="0" autoLine="0" autoPict="0" macro="[0]!ProcessChkBoxes">
            <anchor moveWithCells="1">
              <from>
                <xdr:col>3</xdr:col>
                <xdr:colOff>0</xdr:colOff>
                <xdr:row>343</xdr:row>
                <xdr:rowOff>19050</xdr:rowOff>
              </from>
              <to>
                <xdr:col>3</xdr:col>
                <xdr:colOff>152400</xdr:colOff>
                <xdr:row>343</xdr:row>
                <xdr:rowOff>123825</xdr:rowOff>
              </to>
            </anchor>
          </controlPr>
        </control>
      </mc:Choice>
    </mc:AlternateContent>
    <mc:AlternateContent xmlns:mc="http://schemas.openxmlformats.org/markup-compatibility/2006">
      <mc:Choice Requires="x14">
        <control shapeId="8196" r:id="rId324" name="Check Box 1028">
          <controlPr defaultSize="0" autoFill="0" autoLine="0" autoPict="0" macro="[0]!ProcessChkBoxes">
            <anchor moveWithCells="1">
              <from>
                <xdr:col>3</xdr:col>
                <xdr:colOff>228600</xdr:colOff>
                <xdr:row>343</xdr:row>
                <xdr:rowOff>9525</xdr:rowOff>
              </from>
              <to>
                <xdr:col>4</xdr:col>
                <xdr:colOff>123825</xdr:colOff>
                <xdr:row>343</xdr:row>
                <xdr:rowOff>114300</xdr:rowOff>
              </to>
            </anchor>
          </controlPr>
        </control>
      </mc:Choice>
    </mc:AlternateContent>
    <mc:AlternateContent xmlns:mc="http://schemas.openxmlformats.org/markup-compatibility/2006">
      <mc:Choice Requires="x14">
        <control shapeId="8197" r:id="rId325" name="Check Box 1029">
          <controlPr defaultSize="0" autoFill="0" autoLine="0" autoPict="0" macro="[0]!ProcessChkBoxes">
            <anchor moveWithCells="1">
              <from>
                <xdr:col>4</xdr:col>
                <xdr:colOff>238125</xdr:colOff>
                <xdr:row>343</xdr:row>
                <xdr:rowOff>0</xdr:rowOff>
              </from>
              <to>
                <xdr:col>5</xdr:col>
                <xdr:colOff>133350</xdr:colOff>
                <xdr:row>343</xdr:row>
                <xdr:rowOff>104775</xdr:rowOff>
              </to>
            </anchor>
          </controlPr>
        </control>
      </mc:Choice>
    </mc:AlternateContent>
    <mc:AlternateContent xmlns:mc="http://schemas.openxmlformats.org/markup-compatibility/2006">
      <mc:Choice Requires="x14">
        <control shapeId="8198" r:id="rId326" name="Check Box 1030">
          <controlPr defaultSize="0" autoFill="0" autoLine="0" autoPict="0" macro="[0]!ProcessChkBoxes">
            <anchor moveWithCells="1">
              <from>
                <xdr:col>3</xdr:col>
                <xdr:colOff>0</xdr:colOff>
                <xdr:row>347</xdr:row>
                <xdr:rowOff>19050</xdr:rowOff>
              </from>
              <to>
                <xdr:col>3</xdr:col>
                <xdr:colOff>152400</xdr:colOff>
                <xdr:row>347</xdr:row>
                <xdr:rowOff>123825</xdr:rowOff>
              </to>
            </anchor>
          </controlPr>
        </control>
      </mc:Choice>
    </mc:AlternateContent>
    <mc:AlternateContent xmlns:mc="http://schemas.openxmlformats.org/markup-compatibility/2006">
      <mc:Choice Requires="x14">
        <control shapeId="8199" r:id="rId327" name="Check Box 1031">
          <controlPr defaultSize="0" autoFill="0" autoLine="0" autoPict="0" macro="[0]!ProcessChkBoxes">
            <anchor moveWithCells="1">
              <from>
                <xdr:col>3</xdr:col>
                <xdr:colOff>228600</xdr:colOff>
                <xdr:row>347</xdr:row>
                <xdr:rowOff>9525</xdr:rowOff>
              </from>
              <to>
                <xdr:col>4</xdr:col>
                <xdr:colOff>123825</xdr:colOff>
                <xdr:row>347</xdr:row>
                <xdr:rowOff>114300</xdr:rowOff>
              </to>
            </anchor>
          </controlPr>
        </control>
      </mc:Choice>
    </mc:AlternateContent>
    <mc:AlternateContent xmlns:mc="http://schemas.openxmlformats.org/markup-compatibility/2006">
      <mc:Choice Requires="x14">
        <control shapeId="8200" r:id="rId328" name="Check Box 1032">
          <controlPr defaultSize="0" autoFill="0" autoLine="0" autoPict="0" macro="[0]!ProcessChkBoxes">
            <anchor moveWithCells="1">
              <from>
                <xdr:col>4</xdr:col>
                <xdr:colOff>238125</xdr:colOff>
                <xdr:row>347</xdr:row>
                <xdr:rowOff>0</xdr:rowOff>
              </from>
              <to>
                <xdr:col>5</xdr:col>
                <xdr:colOff>133350</xdr:colOff>
                <xdr:row>347</xdr:row>
                <xdr:rowOff>104775</xdr:rowOff>
              </to>
            </anchor>
          </controlPr>
        </control>
      </mc:Choice>
    </mc:AlternateContent>
    <mc:AlternateContent xmlns:mc="http://schemas.openxmlformats.org/markup-compatibility/2006">
      <mc:Choice Requires="x14">
        <control shapeId="8201" r:id="rId329" name="Check Box 1033">
          <controlPr defaultSize="0" autoFill="0" autoLine="0" autoPict="0" macro="[0]!ProcessChkBoxes">
            <anchor moveWithCells="1">
              <from>
                <xdr:col>3</xdr:col>
                <xdr:colOff>0</xdr:colOff>
                <xdr:row>350</xdr:row>
                <xdr:rowOff>19050</xdr:rowOff>
              </from>
              <to>
                <xdr:col>3</xdr:col>
                <xdr:colOff>152400</xdr:colOff>
                <xdr:row>350</xdr:row>
                <xdr:rowOff>123825</xdr:rowOff>
              </to>
            </anchor>
          </controlPr>
        </control>
      </mc:Choice>
    </mc:AlternateContent>
    <mc:AlternateContent xmlns:mc="http://schemas.openxmlformats.org/markup-compatibility/2006">
      <mc:Choice Requires="x14">
        <control shapeId="8202" r:id="rId330" name="Check Box 1034">
          <controlPr defaultSize="0" autoFill="0" autoLine="0" autoPict="0" macro="[0]!ProcessChkBoxes">
            <anchor moveWithCells="1">
              <from>
                <xdr:col>3</xdr:col>
                <xdr:colOff>228600</xdr:colOff>
                <xdr:row>350</xdr:row>
                <xdr:rowOff>9525</xdr:rowOff>
              </from>
              <to>
                <xdr:col>4</xdr:col>
                <xdr:colOff>123825</xdr:colOff>
                <xdr:row>350</xdr:row>
                <xdr:rowOff>114300</xdr:rowOff>
              </to>
            </anchor>
          </controlPr>
        </control>
      </mc:Choice>
    </mc:AlternateContent>
    <mc:AlternateContent xmlns:mc="http://schemas.openxmlformats.org/markup-compatibility/2006">
      <mc:Choice Requires="x14">
        <control shapeId="8203" r:id="rId331" name="Check Box 1035">
          <controlPr defaultSize="0" autoFill="0" autoLine="0" autoPict="0" macro="[0]!ProcessChkBoxes">
            <anchor moveWithCells="1">
              <from>
                <xdr:col>4</xdr:col>
                <xdr:colOff>238125</xdr:colOff>
                <xdr:row>350</xdr:row>
                <xdr:rowOff>0</xdr:rowOff>
              </from>
              <to>
                <xdr:col>5</xdr:col>
                <xdr:colOff>133350</xdr:colOff>
                <xdr:row>350</xdr:row>
                <xdr:rowOff>104775</xdr:rowOff>
              </to>
            </anchor>
          </controlPr>
        </control>
      </mc:Choice>
    </mc:AlternateContent>
    <mc:AlternateContent xmlns:mc="http://schemas.openxmlformats.org/markup-compatibility/2006">
      <mc:Choice Requires="x14">
        <control shapeId="8204" r:id="rId332" name="Check Box 1036">
          <controlPr defaultSize="0" autoFill="0" autoLine="0" autoPict="0" macro="[0]!ProcessChkBoxes">
            <anchor moveWithCells="1">
              <from>
                <xdr:col>3</xdr:col>
                <xdr:colOff>19050</xdr:colOff>
                <xdr:row>353</xdr:row>
                <xdr:rowOff>47625</xdr:rowOff>
              </from>
              <to>
                <xdr:col>3</xdr:col>
                <xdr:colOff>171450</xdr:colOff>
                <xdr:row>353</xdr:row>
                <xdr:rowOff>152400</xdr:rowOff>
              </to>
            </anchor>
          </controlPr>
        </control>
      </mc:Choice>
    </mc:AlternateContent>
    <mc:AlternateContent xmlns:mc="http://schemas.openxmlformats.org/markup-compatibility/2006">
      <mc:Choice Requires="x14">
        <control shapeId="8205" r:id="rId333" name="Check Box 1037">
          <controlPr defaultSize="0" autoFill="0" autoLine="0" autoPict="0" macro="[0]!ProcessChkBoxes">
            <anchor moveWithCells="1">
              <from>
                <xdr:col>3</xdr:col>
                <xdr:colOff>247650</xdr:colOff>
                <xdr:row>353</xdr:row>
                <xdr:rowOff>38100</xdr:rowOff>
              </from>
              <to>
                <xdr:col>4</xdr:col>
                <xdr:colOff>142875</xdr:colOff>
                <xdr:row>353</xdr:row>
                <xdr:rowOff>142875</xdr:rowOff>
              </to>
            </anchor>
          </controlPr>
        </control>
      </mc:Choice>
    </mc:AlternateContent>
    <mc:AlternateContent xmlns:mc="http://schemas.openxmlformats.org/markup-compatibility/2006">
      <mc:Choice Requires="x14">
        <control shapeId="8206" r:id="rId334" name="Check Box 1038">
          <controlPr defaultSize="0" autoFill="0" autoLine="0" autoPict="0" macro="[0]!ProcessChkBoxes">
            <anchor moveWithCells="1">
              <from>
                <xdr:col>5</xdr:col>
                <xdr:colOff>0</xdr:colOff>
                <xdr:row>353</xdr:row>
                <xdr:rowOff>28575</xdr:rowOff>
              </from>
              <to>
                <xdr:col>5</xdr:col>
                <xdr:colOff>152400</xdr:colOff>
                <xdr:row>353</xdr:row>
                <xdr:rowOff>133350</xdr:rowOff>
              </to>
            </anchor>
          </controlPr>
        </control>
      </mc:Choice>
    </mc:AlternateContent>
    <mc:AlternateContent xmlns:mc="http://schemas.openxmlformats.org/markup-compatibility/2006">
      <mc:Choice Requires="x14">
        <control shapeId="8210" r:id="rId335" name="Check Box 1042">
          <controlPr defaultSize="0" autoFill="0" autoLine="0" autoPict="0" macro="[0]!ProcessChkBoxes">
            <anchor moveWithCells="1">
              <from>
                <xdr:col>3</xdr:col>
                <xdr:colOff>0</xdr:colOff>
                <xdr:row>356</xdr:row>
                <xdr:rowOff>19050</xdr:rowOff>
              </from>
              <to>
                <xdr:col>3</xdr:col>
                <xdr:colOff>152400</xdr:colOff>
                <xdr:row>356</xdr:row>
                <xdr:rowOff>123825</xdr:rowOff>
              </to>
            </anchor>
          </controlPr>
        </control>
      </mc:Choice>
    </mc:AlternateContent>
    <mc:AlternateContent xmlns:mc="http://schemas.openxmlformats.org/markup-compatibility/2006">
      <mc:Choice Requires="x14">
        <control shapeId="8211" r:id="rId336" name="Check Box 1043">
          <controlPr defaultSize="0" autoFill="0" autoLine="0" autoPict="0" macro="[0]!ProcessChkBoxes">
            <anchor moveWithCells="1">
              <from>
                <xdr:col>3</xdr:col>
                <xdr:colOff>228600</xdr:colOff>
                <xdr:row>356</xdr:row>
                <xdr:rowOff>9525</xdr:rowOff>
              </from>
              <to>
                <xdr:col>4</xdr:col>
                <xdr:colOff>123825</xdr:colOff>
                <xdr:row>356</xdr:row>
                <xdr:rowOff>114300</xdr:rowOff>
              </to>
            </anchor>
          </controlPr>
        </control>
      </mc:Choice>
    </mc:AlternateContent>
    <mc:AlternateContent xmlns:mc="http://schemas.openxmlformats.org/markup-compatibility/2006">
      <mc:Choice Requires="x14">
        <control shapeId="8212" r:id="rId337" name="Check Box 1044">
          <controlPr defaultSize="0" autoFill="0" autoLine="0" autoPict="0" macro="[0]!ProcessChkBoxes">
            <anchor moveWithCells="1">
              <from>
                <xdr:col>4</xdr:col>
                <xdr:colOff>238125</xdr:colOff>
                <xdr:row>356</xdr:row>
                <xdr:rowOff>0</xdr:rowOff>
              </from>
              <to>
                <xdr:col>5</xdr:col>
                <xdr:colOff>133350</xdr:colOff>
                <xdr:row>356</xdr:row>
                <xdr:rowOff>104775</xdr:rowOff>
              </to>
            </anchor>
          </controlPr>
        </control>
      </mc:Choice>
    </mc:AlternateContent>
    <mc:AlternateContent xmlns:mc="http://schemas.openxmlformats.org/markup-compatibility/2006">
      <mc:Choice Requires="x14">
        <control shapeId="8213" r:id="rId338" name="Check Box 1045">
          <controlPr defaultSize="0" autoFill="0" autoLine="0" autoPict="0" macro="[0]!ProcessChkBoxes">
            <anchor moveWithCells="1">
              <from>
                <xdr:col>3</xdr:col>
                <xdr:colOff>0</xdr:colOff>
                <xdr:row>359</xdr:row>
                <xdr:rowOff>19050</xdr:rowOff>
              </from>
              <to>
                <xdr:col>3</xdr:col>
                <xdr:colOff>152400</xdr:colOff>
                <xdr:row>359</xdr:row>
                <xdr:rowOff>123825</xdr:rowOff>
              </to>
            </anchor>
          </controlPr>
        </control>
      </mc:Choice>
    </mc:AlternateContent>
    <mc:AlternateContent xmlns:mc="http://schemas.openxmlformats.org/markup-compatibility/2006">
      <mc:Choice Requires="x14">
        <control shapeId="8214" r:id="rId339" name="Check Box 1046">
          <controlPr defaultSize="0" autoFill="0" autoLine="0" autoPict="0" macro="[0]!ProcessChkBoxes">
            <anchor moveWithCells="1">
              <from>
                <xdr:col>3</xdr:col>
                <xdr:colOff>228600</xdr:colOff>
                <xdr:row>359</xdr:row>
                <xdr:rowOff>9525</xdr:rowOff>
              </from>
              <to>
                <xdr:col>4</xdr:col>
                <xdr:colOff>123825</xdr:colOff>
                <xdr:row>359</xdr:row>
                <xdr:rowOff>114300</xdr:rowOff>
              </to>
            </anchor>
          </controlPr>
        </control>
      </mc:Choice>
    </mc:AlternateContent>
    <mc:AlternateContent xmlns:mc="http://schemas.openxmlformats.org/markup-compatibility/2006">
      <mc:Choice Requires="x14">
        <control shapeId="8215" r:id="rId340" name="Check Box 1047">
          <controlPr defaultSize="0" autoFill="0" autoLine="0" autoPict="0" macro="[0]!ProcessChkBoxes">
            <anchor moveWithCells="1">
              <from>
                <xdr:col>4</xdr:col>
                <xdr:colOff>238125</xdr:colOff>
                <xdr:row>359</xdr:row>
                <xdr:rowOff>0</xdr:rowOff>
              </from>
              <to>
                <xdr:col>5</xdr:col>
                <xdr:colOff>133350</xdr:colOff>
                <xdr:row>359</xdr:row>
                <xdr:rowOff>104775</xdr:rowOff>
              </to>
            </anchor>
          </controlPr>
        </control>
      </mc:Choice>
    </mc:AlternateContent>
    <mc:AlternateContent xmlns:mc="http://schemas.openxmlformats.org/markup-compatibility/2006">
      <mc:Choice Requires="x14">
        <control shapeId="8216" r:id="rId341" name="Check Box 1048">
          <controlPr defaultSize="0" autoFill="0" autoLine="0" autoPict="0" macro="[0]!ProcessChkBoxes">
            <anchor moveWithCells="1">
              <from>
                <xdr:col>3</xdr:col>
                <xdr:colOff>0</xdr:colOff>
                <xdr:row>361</xdr:row>
                <xdr:rowOff>19050</xdr:rowOff>
              </from>
              <to>
                <xdr:col>3</xdr:col>
                <xdr:colOff>152400</xdr:colOff>
                <xdr:row>361</xdr:row>
                <xdr:rowOff>123825</xdr:rowOff>
              </to>
            </anchor>
          </controlPr>
        </control>
      </mc:Choice>
    </mc:AlternateContent>
    <mc:AlternateContent xmlns:mc="http://schemas.openxmlformats.org/markup-compatibility/2006">
      <mc:Choice Requires="x14">
        <control shapeId="8217" r:id="rId342" name="Check Box 1049">
          <controlPr defaultSize="0" autoFill="0" autoLine="0" autoPict="0" macro="[0]!ProcessChkBoxes">
            <anchor moveWithCells="1">
              <from>
                <xdr:col>3</xdr:col>
                <xdr:colOff>228600</xdr:colOff>
                <xdr:row>361</xdr:row>
                <xdr:rowOff>9525</xdr:rowOff>
              </from>
              <to>
                <xdr:col>4</xdr:col>
                <xdr:colOff>123825</xdr:colOff>
                <xdr:row>361</xdr:row>
                <xdr:rowOff>114300</xdr:rowOff>
              </to>
            </anchor>
          </controlPr>
        </control>
      </mc:Choice>
    </mc:AlternateContent>
    <mc:AlternateContent xmlns:mc="http://schemas.openxmlformats.org/markup-compatibility/2006">
      <mc:Choice Requires="x14">
        <control shapeId="8218" r:id="rId343" name="Check Box 1050">
          <controlPr defaultSize="0" autoFill="0" autoLine="0" autoPict="0" macro="[0]!ProcessChkBoxes">
            <anchor moveWithCells="1">
              <from>
                <xdr:col>4</xdr:col>
                <xdr:colOff>238125</xdr:colOff>
                <xdr:row>361</xdr:row>
                <xdr:rowOff>0</xdr:rowOff>
              </from>
              <to>
                <xdr:col>5</xdr:col>
                <xdr:colOff>133350</xdr:colOff>
                <xdr:row>361</xdr:row>
                <xdr:rowOff>104775</xdr:rowOff>
              </to>
            </anchor>
          </controlPr>
        </control>
      </mc:Choice>
    </mc:AlternateContent>
    <mc:AlternateContent xmlns:mc="http://schemas.openxmlformats.org/markup-compatibility/2006">
      <mc:Choice Requires="x14">
        <control shapeId="8220" r:id="rId344" name="Check Box 1052">
          <controlPr defaultSize="0" autoFill="0" autoLine="0" autoPict="0" macro="[0]!ProcessChkBoxes">
            <anchor moveWithCells="1">
              <from>
                <xdr:col>3</xdr:col>
                <xdr:colOff>0</xdr:colOff>
                <xdr:row>363</xdr:row>
                <xdr:rowOff>19050</xdr:rowOff>
              </from>
              <to>
                <xdr:col>3</xdr:col>
                <xdr:colOff>152400</xdr:colOff>
                <xdr:row>363</xdr:row>
                <xdr:rowOff>123825</xdr:rowOff>
              </to>
            </anchor>
          </controlPr>
        </control>
      </mc:Choice>
    </mc:AlternateContent>
    <mc:AlternateContent xmlns:mc="http://schemas.openxmlformats.org/markup-compatibility/2006">
      <mc:Choice Requires="x14">
        <control shapeId="8221" r:id="rId345" name="Check Box 1053">
          <controlPr defaultSize="0" autoFill="0" autoLine="0" autoPict="0" macro="[0]!ProcessChkBoxes">
            <anchor moveWithCells="1">
              <from>
                <xdr:col>3</xdr:col>
                <xdr:colOff>228600</xdr:colOff>
                <xdr:row>363</xdr:row>
                <xdr:rowOff>9525</xdr:rowOff>
              </from>
              <to>
                <xdr:col>4</xdr:col>
                <xdr:colOff>123825</xdr:colOff>
                <xdr:row>363</xdr:row>
                <xdr:rowOff>114300</xdr:rowOff>
              </to>
            </anchor>
          </controlPr>
        </control>
      </mc:Choice>
    </mc:AlternateContent>
    <mc:AlternateContent xmlns:mc="http://schemas.openxmlformats.org/markup-compatibility/2006">
      <mc:Choice Requires="x14">
        <control shapeId="8222" r:id="rId346" name="Check Box 1054">
          <controlPr defaultSize="0" autoFill="0" autoLine="0" autoPict="0" macro="[0]!ProcessChkBoxes">
            <anchor moveWithCells="1">
              <from>
                <xdr:col>4</xdr:col>
                <xdr:colOff>238125</xdr:colOff>
                <xdr:row>363</xdr:row>
                <xdr:rowOff>0</xdr:rowOff>
              </from>
              <to>
                <xdr:col>5</xdr:col>
                <xdr:colOff>133350</xdr:colOff>
                <xdr:row>363</xdr:row>
                <xdr:rowOff>104775</xdr:rowOff>
              </to>
            </anchor>
          </controlPr>
        </control>
      </mc:Choice>
    </mc:AlternateContent>
    <mc:AlternateContent xmlns:mc="http://schemas.openxmlformats.org/markup-compatibility/2006">
      <mc:Choice Requires="x14">
        <control shapeId="8226" r:id="rId347" name="Check Box 1058">
          <controlPr defaultSize="0" autoFill="0" autoLine="0" autoPict="0" macro="[0]!ProcessChkBoxes">
            <anchor moveWithCells="1">
              <from>
                <xdr:col>3</xdr:col>
                <xdr:colOff>0</xdr:colOff>
                <xdr:row>364</xdr:row>
                <xdr:rowOff>19050</xdr:rowOff>
              </from>
              <to>
                <xdr:col>3</xdr:col>
                <xdr:colOff>152400</xdr:colOff>
                <xdr:row>364</xdr:row>
                <xdr:rowOff>123825</xdr:rowOff>
              </to>
            </anchor>
          </controlPr>
        </control>
      </mc:Choice>
    </mc:AlternateContent>
    <mc:AlternateContent xmlns:mc="http://schemas.openxmlformats.org/markup-compatibility/2006">
      <mc:Choice Requires="x14">
        <control shapeId="8227" r:id="rId348" name="Check Box 1059">
          <controlPr defaultSize="0" autoFill="0" autoLine="0" autoPict="0" macro="[0]!ProcessChkBoxes">
            <anchor moveWithCells="1">
              <from>
                <xdr:col>3</xdr:col>
                <xdr:colOff>228600</xdr:colOff>
                <xdr:row>364</xdr:row>
                <xdr:rowOff>9525</xdr:rowOff>
              </from>
              <to>
                <xdr:col>4</xdr:col>
                <xdr:colOff>123825</xdr:colOff>
                <xdr:row>364</xdr:row>
                <xdr:rowOff>114300</xdr:rowOff>
              </to>
            </anchor>
          </controlPr>
        </control>
      </mc:Choice>
    </mc:AlternateContent>
    <mc:AlternateContent xmlns:mc="http://schemas.openxmlformats.org/markup-compatibility/2006">
      <mc:Choice Requires="x14">
        <control shapeId="8228" r:id="rId349" name="Check Box 1060">
          <controlPr defaultSize="0" autoFill="0" autoLine="0" autoPict="0" macro="[0]!ProcessChkBoxes">
            <anchor moveWithCells="1">
              <from>
                <xdr:col>4</xdr:col>
                <xdr:colOff>238125</xdr:colOff>
                <xdr:row>364</xdr:row>
                <xdr:rowOff>0</xdr:rowOff>
              </from>
              <to>
                <xdr:col>5</xdr:col>
                <xdr:colOff>133350</xdr:colOff>
                <xdr:row>364</xdr:row>
                <xdr:rowOff>104775</xdr:rowOff>
              </to>
            </anchor>
          </controlPr>
        </control>
      </mc:Choice>
    </mc:AlternateContent>
    <mc:AlternateContent xmlns:mc="http://schemas.openxmlformats.org/markup-compatibility/2006">
      <mc:Choice Requires="x14">
        <control shapeId="8229" r:id="rId350" name="Check Box 1061">
          <controlPr defaultSize="0" autoFill="0" autoLine="0" autoPict="0" macro="[0]!ProcessChkBoxes">
            <anchor moveWithCells="1">
              <from>
                <xdr:col>3</xdr:col>
                <xdr:colOff>0</xdr:colOff>
                <xdr:row>366</xdr:row>
                <xdr:rowOff>19050</xdr:rowOff>
              </from>
              <to>
                <xdr:col>3</xdr:col>
                <xdr:colOff>152400</xdr:colOff>
                <xdr:row>366</xdr:row>
                <xdr:rowOff>123825</xdr:rowOff>
              </to>
            </anchor>
          </controlPr>
        </control>
      </mc:Choice>
    </mc:AlternateContent>
    <mc:AlternateContent xmlns:mc="http://schemas.openxmlformats.org/markup-compatibility/2006">
      <mc:Choice Requires="x14">
        <control shapeId="8230" r:id="rId351" name="Check Box 1062">
          <controlPr defaultSize="0" autoFill="0" autoLine="0" autoPict="0" macro="[0]!ProcessChkBoxes">
            <anchor moveWithCells="1">
              <from>
                <xdr:col>3</xdr:col>
                <xdr:colOff>228600</xdr:colOff>
                <xdr:row>366</xdr:row>
                <xdr:rowOff>9525</xdr:rowOff>
              </from>
              <to>
                <xdr:col>4</xdr:col>
                <xdr:colOff>123825</xdr:colOff>
                <xdr:row>366</xdr:row>
                <xdr:rowOff>114300</xdr:rowOff>
              </to>
            </anchor>
          </controlPr>
        </control>
      </mc:Choice>
    </mc:AlternateContent>
    <mc:AlternateContent xmlns:mc="http://schemas.openxmlformats.org/markup-compatibility/2006">
      <mc:Choice Requires="x14">
        <control shapeId="8231" r:id="rId352" name="Check Box 1063">
          <controlPr defaultSize="0" autoFill="0" autoLine="0" autoPict="0" macro="[0]!ProcessChkBoxes">
            <anchor moveWithCells="1">
              <from>
                <xdr:col>4</xdr:col>
                <xdr:colOff>238125</xdr:colOff>
                <xdr:row>366</xdr:row>
                <xdr:rowOff>0</xdr:rowOff>
              </from>
              <to>
                <xdr:col>5</xdr:col>
                <xdr:colOff>133350</xdr:colOff>
                <xdr:row>366</xdr:row>
                <xdr:rowOff>104775</xdr:rowOff>
              </to>
            </anchor>
          </controlPr>
        </control>
      </mc:Choice>
    </mc:AlternateContent>
    <mc:AlternateContent xmlns:mc="http://schemas.openxmlformats.org/markup-compatibility/2006">
      <mc:Choice Requires="x14">
        <control shapeId="8232" r:id="rId353" name="Check Box 1064">
          <controlPr defaultSize="0" autoFill="0" autoLine="0" autoPict="0" macro="[0]!ProcessChkBoxes">
            <anchor moveWithCells="1">
              <from>
                <xdr:col>3</xdr:col>
                <xdr:colOff>0</xdr:colOff>
                <xdr:row>367</xdr:row>
                <xdr:rowOff>19050</xdr:rowOff>
              </from>
              <to>
                <xdr:col>3</xdr:col>
                <xdr:colOff>152400</xdr:colOff>
                <xdr:row>367</xdr:row>
                <xdr:rowOff>123825</xdr:rowOff>
              </to>
            </anchor>
          </controlPr>
        </control>
      </mc:Choice>
    </mc:AlternateContent>
    <mc:AlternateContent xmlns:mc="http://schemas.openxmlformats.org/markup-compatibility/2006">
      <mc:Choice Requires="x14">
        <control shapeId="8233" r:id="rId354" name="Check Box 1065">
          <controlPr defaultSize="0" autoFill="0" autoLine="0" autoPict="0" macro="[0]!ProcessChkBoxes">
            <anchor moveWithCells="1">
              <from>
                <xdr:col>3</xdr:col>
                <xdr:colOff>228600</xdr:colOff>
                <xdr:row>367</xdr:row>
                <xdr:rowOff>9525</xdr:rowOff>
              </from>
              <to>
                <xdr:col>4</xdr:col>
                <xdr:colOff>123825</xdr:colOff>
                <xdr:row>367</xdr:row>
                <xdr:rowOff>114300</xdr:rowOff>
              </to>
            </anchor>
          </controlPr>
        </control>
      </mc:Choice>
    </mc:AlternateContent>
    <mc:AlternateContent xmlns:mc="http://schemas.openxmlformats.org/markup-compatibility/2006">
      <mc:Choice Requires="x14">
        <control shapeId="8234" r:id="rId355" name="Check Box 1066">
          <controlPr defaultSize="0" autoFill="0" autoLine="0" autoPict="0" macro="[0]!ProcessChkBoxes">
            <anchor moveWithCells="1">
              <from>
                <xdr:col>4</xdr:col>
                <xdr:colOff>238125</xdr:colOff>
                <xdr:row>367</xdr:row>
                <xdr:rowOff>0</xdr:rowOff>
              </from>
              <to>
                <xdr:col>5</xdr:col>
                <xdr:colOff>133350</xdr:colOff>
                <xdr:row>367</xdr:row>
                <xdr:rowOff>104775</xdr:rowOff>
              </to>
            </anchor>
          </controlPr>
        </control>
      </mc:Choice>
    </mc:AlternateContent>
    <mc:AlternateContent xmlns:mc="http://schemas.openxmlformats.org/markup-compatibility/2006">
      <mc:Choice Requires="x14">
        <control shapeId="8235" r:id="rId356" name="Check Box 1067">
          <controlPr defaultSize="0" autoFill="0" autoLine="0" autoPict="0" macro="[0]!ProcessChkBoxes">
            <anchor moveWithCells="1">
              <from>
                <xdr:col>3</xdr:col>
                <xdr:colOff>0</xdr:colOff>
                <xdr:row>368</xdr:row>
                <xdr:rowOff>19050</xdr:rowOff>
              </from>
              <to>
                <xdr:col>3</xdr:col>
                <xdr:colOff>152400</xdr:colOff>
                <xdr:row>368</xdr:row>
                <xdr:rowOff>123825</xdr:rowOff>
              </to>
            </anchor>
          </controlPr>
        </control>
      </mc:Choice>
    </mc:AlternateContent>
    <mc:AlternateContent xmlns:mc="http://schemas.openxmlformats.org/markup-compatibility/2006">
      <mc:Choice Requires="x14">
        <control shapeId="8236" r:id="rId357" name="Check Box 1068">
          <controlPr defaultSize="0" autoFill="0" autoLine="0" autoPict="0" macro="[0]!ProcessChkBoxes">
            <anchor moveWithCells="1">
              <from>
                <xdr:col>3</xdr:col>
                <xdr:colOff>228600</xdr:colOff>
                <xdr:row>368</xdr:row>
                <xdr:rowOff>9525</xdr:rowOff>
              </from>
              <to>
                <xdr:col>4</xdr:col>
                <xdr:colOff>123825</xdr:colOff>
                <xdr:row>368</xdr:row>
                <xdr:rowOff>114300</xdr:rowOff>
              </to>
            </anchor>
          </controlPr>
        </control>
      </mc:Choice>
    </mc:AlternateContent>
    <mc:AlternateContent xmlns:mc="http://schemas.openxmlformats.org/markup-compatibility/2006">
      <mc:Choice Requires="x14">
        <control shapeId="8237" r:id="rId358" name="Check Box 1069">
          <controlPr defaultSize="0" autoFill="0" autoLine="0" autoPict="0" macro="[0]!ProcessChkBoxes">
            <anchor moveWithCells="1">
              <from>
                <xdr:col>4</xdr:col>
                <xdr:colOff>238125</xdr:colOff>
                <xdr:row>368</xdr:row>
                <xdr:rowOff>0</xdr:rowOff>
              </from>
              <to>
                <xdr:col>5</xdr:col>
                <xdr:colOff>133350</xdr:colOff>
                <xdr:row>368</xdr:row>
                <xdr:rowOff>104775</xdr:rowOff>
              </to>
            </anchor>
          </controlPr>
        </control>
      </mc:Choice>
    </mc:AlternateContent>
    <mc:AlternateContent xmlns:mc="http://schemas.openxmlformats.org/markup-compatibility/2006">
      <mc:Choice Requires="x14">
        <control shapeId="8238" r:id="rId359" name="Check Box 1070">
          <controlPr defaultSize="0" autoFill="0" autoLine="0" autoPict="0" macro="[0]!ProcessChkBoxes">
            <anchor moveWithCells="1">
              <from>
                <xdr:col>3</xdr:col>
                <xdr:colOff>0</xdr:colOff>
                <xdr:row>369</xdr:row>
                <xdr:rowOff>19050</xdr:rowOff>
              </from>
              <to>
                <xdr:col>3</xdr:col>
                <xdr:colOff>152400</xdr:colOff>
                <xdr:row>369</xdr:row>
                <xdr:rowOff>123825</xdr:rowOff>
              </to>
            </anchor>
          </controlPr>
        </control>
      </mc:Choice>
    </mc:AlternateContent>
    <mc:AlternateContent xmlns:mc="http://schemas.openxmlformats.org/markup-compatibility/2006">
      <mc:Choice Requires="x14">
        <control shapeId="8239" r:id="rId360" name="Check Box 1071">
          <controlPr defaultSize="0" autoFill="0" autoLine="0" autoPict="0" macro="[0]!ProcessChkBoxes">
            <anchor moveWithCells="1">
              <from>
                <xdr:col>3</xdr:col>
                <xdr:colOff>228600</xdr:colOff>
                <xdr:row>369</xdr:row>
                <xdr:rowOff>9525</xdr:rowOff>
              </from>
              <to>
                <xdr:col>4</xdr:col>
                <xdr:colOff>123825</xdr:colOff>
                <xdr:row>369</xdr:row>
                <xdr:rowOff>114300</xdr:rowOff>
              </to>
            </anchor>
          </controlPr>
        </control>
      </mc:Choice>
    </mc:AlternateContent>
    <mc:AlternateContent xmlns:mc="http://schemas.openxmlformats.org/markup-compatibility/2006">
      <mc:Choice Requires="x14">
        <control shapeId="8240" r:id="rId361" name="Check Box 1072">
          <controlPr defaultSize="0" autoFill="0" autoLine="0" autoPict="0" macro="[0]!ProcessChkBoxes">
            <anchor moveWithCells="1">
              <from>
                <xdr:col>4</xdr:col>
                <xdr:colOff>238125</xdr:colOff>
                <xdr:row>369</xdr:row>
                <xdr:rowOff>0</xdr:rowOff>
              </from>
              <to>
                <xdr:col>5</xdr:col>
                <xdr:colOff>133350</xdr:colOff>
                <xdr:row>369</xdr:row>
                <xdr:rowOff>104775</xdr:rowOff>
              </to>
            </anchor>
          </controlPr>
        </control>
      </mc:Choice>
    </mc:AlternateContent>
    <mc:AlternateContent xmlns:mc="http://schemas.openxmlformats.org/markup-compatibility/2006">
      <mc:Choice Requires="x14">
        <control shapeId="8241" r:id="rId362" name="Check Box 1073">
          <controlPr defaultSize="0" autoFill="0" autoLine="0" autoPict="0" macro="[0]!ProcessChkBoxes">
            <anchor moveWithCells="1">
              <from>
                <xdr:col>3</xdr:col>
                <xdr:colOff>0</xdr:colOff>
                <xdr:row>380</xdr:row>
                <xdr:rowOff>19050</xdr:rowOff>
              </from>
              <to>
                <xdr:col>3</xdr:col>
                <xdr:colOff>152400</xdr:colOff>
                <xdr:row>380</xdr:row>
                <xdr:rowOff>123825</xdr:rowOff>
              </to>
            </anchor>
          </controlPr>
        </control>
      </mc:Choice>
    </mc:AlternateContent>
    <mc:AlternateContent xmlns:mc="http://schemas.openxmlformats.org/markup-compatibility/2006">
      <mc:Choice Requires="x14">
        <control shapeId="8242" r:id="rId363" name="Check Box 1074">
          <controlPr defaultSize="0" autoFill="0" autoLine="0" autoPict="0" macro="[0]!ProcessChkBoxes">
            <anchor moveWithCells="1">
              <from>
                <xdr:col>3</xdr:col>
                <xdr:colOff>228600</xdr:colOff>
                <xdr:row>380</xdr:row>
                <xdr:rowOff>9525</xdr:rowOff>
              </from>
              <to>
                <xdr:col>4</xdr:col>
                <xdr:colOff>123825</xdr:colOff>
                <xdr:row>380</xdr:row>
                <xdr:rowOff>114300</xdr:rowOff>
              </to>
            </anchor>
          </controlPr>
        </control>
      </mc:Choice>
    </mc:AlternateContent>
    <mc:AlternateContent xmlns:mc="http://schemas.openxmlformats.org/markup-compatibility/2006">
      <mc:Choice Requires="x14">
        <control shapeId="8243" r:id="rId364" name="Check Box 1075">
          <controlPr defaultSize="0" autoFill="0" autoLine="0" autoPict="0" macro="[0]!ProcessChkBoxes">
            <anchor moveWithCells="1">
              <from>
                <xdr:col>4</xdr:col>
                <xdr:colOff>238125</xdr:colOff>
                <xdr:row>380</xdr:row>
                <xdr:rowOff>0</xdr:rowOff>
              </from>
              <to>
                <xdr:col>5</xdr:col>
                <xdr:colOff>133350</xdr:colOff>
                <xdr:row>380</xdr:row>
                <xdr:rowOff>104775</xdr:rowOff>
              </to>
            </anchor>
          </controlPr>
        </control>
      </mc:Choice>
    </mc:AlternateContent>
    <mc:AlternateContent xmlns:mc="http://schemas.openxmlformats.org/markup-compatibility/2006">
      <mc:Choice Requires="x14">
        <control shapeId="8244" r:id="rId365" name="Check Box 1076">
          <controlPr defaultSize="0" autoFill="0" autoLine="0" autoPict="0" macro="[0]!ProcessChkBoxes">
            <anchor moveWithCells="1">
              <from>
                <xdr:col>2</xdr:col>
                <xdr:colOff>2876550</xdr:colOff>
                <xdr:row>381</xdr:row>
                <xdr:rowOff>161925</xdr:rowOff>
              </from>
              <to>
                <xdr:col>3</xdr:col>
                <xdr:colOff>142875</xdr:colOff>
                <xdr:row>382</xdr:row>
                <xdr:rowOff>95250</xdr:rowOff>
              </to>
            </anchor>
          </controlPr>
        </control>
      </mc:Choice>
    </mc:AlternateContent>
    <mc:AlternateContent xmlns:mc="http://schemas.openxmlformats.org/markup-compatibility/2006">
      <mc:Choice Requires="x14">
        <control shapeId="8245" r:id="rId366" name="Check Box 1077">
          <controlPr defaultSize="0" autoFill="0" autoLine="0" autoPict="0" macro="[0]!ProcessChkBoxes">
            <anchor moveWithCells="1">
              <from>
                <xdr:col>3</xdr:col>
                <xdr:colOff>219075</xdr:colOff>
                <xdr:row>381</xdr:row>
                <xdr:rowOff>152400</xdr:rowOff>
              </from>
              <to>
                <xdr:col>4</xdr:col>
                <xdr:colOff>114300</xdr:colOff>
                <xdr:row>382</xdr:row>
                <xdr:rowOff>85725</xdr:rowOff>
              </to>
            </anchor>
          </controlPr>
        </control>
      </mc:Choice>
    </mc:AlternateContent>
    <mc:AlternateContent xmlns:mc="http://schemas.openxmlformats.org/markup-compatibility/2006">
      <mc:Choice Requires="x14">
        <control shapeId="8246" r:id="rId367" name="Check Box 1078">
          <controlPr defaultSize="0" autoFill="0" autoLine="0" autoPict="0" macro="[0]!ProcessChkBoxes">
            <anchor moveWithCells="1">
              <from>
                <xdr:col>4</xdr:col>
                <xdr:colOff>228600</xdr:colOff>
                <xdr:row>381</xdr:row>
                <xdr:rowOff>142875</xdr:rowOff>
              </from>
              <to>
                <xdr:col>5</xdr:col>
                <xdr:colOff>123825</xdr:colOff>
                <xdr:row>382</xdr:row>
                <xdr:rowOff>76200</xdr:rowOff>
              </to>
            </anchor>
          </controlPr>
        </control>
      </mc:Choice>
    </mc:AlternateContent>
    <mc:AlternateContent xmlns:mc="http://schemas.openxmlformats.org/markup-compatibility/2006">
      <mc:Choice Requires="x14">
        <control shapeId="8247" r:id="rId368" name="Check Box 1079">
          <controlPr defaultSize="0" autoFill="0" autoLine="0" autoPict="0" macro="[0]!ProcessChkBoxes">
            <anchor moveWithCells="1">
              <from>
                <xdr:col>3</xdr:col>
                <xdr:colOff>0</xdr:colOff>
                <xdr:row>383</xdr:row>
                <xdr:rowOff>19050</xdr:rowOff>
              </from>
              <to>
                <xdr:col>3</xdr:col>
                <xdr:colOff>152400</xdr:colOff>
                <xdr:row>383</xdr:row>
                <xdr:rowOff>123825</xdr:rowOff>
              </to>
            </anchor>
          </controlPr>
        </control>
      </mc:Choice>
    </mc:AlternateContent>
    <mc:AlternateContent xmlns:mc="http://schemas.openxmlformats.org/markup-compatibility/2006">
      <mc:Choice Requires="x14">
        <control shapeId="8248" r:id="rId369" name="Check Box 1080">
          <controlPr defaultSize="0" autoFill="0" autoLine="0" autoPict="0" macro="[0]!ProcessChkBoxes">
            <anchor moveWithCells="1">
              <from>
                <xdr:col>3</xdr:col>
                <xdr:colOff>228600</xdr:colOff>
                <xdr:row>383</xdr:row>
                <xdr:rowOff>9525</xdr:rowOff>
              </from>
              <to>
                <xdr:col>4</xdr:col>
                <xdr:colOff>123825</xdr:colOff>
                <xdr:row>383</xdr:row>
                <xdr:rowOff>114300</xdr:rowOff>
              </to>
            </anchor>
          </controlPr>
        </control>
      </mc:Choice>
    </mc:AlternateContent>
    <mc:AlternateContent xmlns:mc="http://schemas.openxmlformats.org/markup-compatibility/2006">
      <mc:Choice Requires="x14">
        <control shapeId="8249" r:id="rId370" name="Check Box 1081">
          <controlPr defaultSize="0" autoFill="0" autoLine="0" autoPict="0" macro="[0]!ProcessChkBoxes">
            <anchor moveWithCells="1">
              <from>
                <xdr:col>4</xdr:col>
                <xdr:colOff>238125</xdr:colOff>
                <xdr:row>383</xdr:row>
                <xdr:rowOff>0</xdr:rowOff>
              </from>
              <to>
                <xdr:col>5</xdr:col>
                <xdr:colOff>133350</xdr:colOff>
                <xdr:row>383</xdr:row>
                <xdr:rowOff>104775</xdr:rowOff>
              </to>
            </anchor>
          </controlPr>
        </control>
      </mc:Choice>
    </mc:AlternateContent>
    <mc:AlternateContent xmlns:mc="http://schemas.openxmlformats.org/markup-compatibility/2006">
      <mc:Choice Requires="x14">
        <control shapeId="8250" r:id="rId371" name="Check Box 1082">
          <controlPr defaultSize="0" autoFill="0" autoLine="0" autoPict="0" macro="[0]!ProcessChkBoxes">
            <anchor moveWithCells="1">
              <from>
                <xdr:col>3</xdr:col>
                <xdr:colOff>0</xdr:colOff>
                <xdr:row>385</xdr:row>
                <xdr:rowOff>19050</xdr:rowOff>
              </from>
              <to>
                <xdr:col>3</xdr:col>
                <xdr:colOff>152400</xdr:colOff>
                <xdr:row>385</xdr:row>
                <xdr:rowOff>123825</xdr:rowOff>
              </to>
            </anchor>
          </controlPr>
        </control>
      </mc:Choice>
    </mc:AlternateContent>
    <mc:AlternateContent xmlns:mc="http://schemas.openxmlformats.org/markup-compatibility/2006">
      <mc:Choice Requires="x14">
        <control shapeId="8251" r:id="rId372" name="Check Box 1083">
          <controlPr defaultSize="0" autoFill="0" autoLine="0" autoPict="0" macro="[0]!ProcessChkBoxes">
            <anchor moveWithCells="1">
              <from>
                <xdr:col>3</xdr:col>
                <xdr:colOff>228600</xdr:colOff>
                <xdr:row>385</xdr:row>
                <xdr:rowOff>9525</xdr:rowOff>
              </from>
              <to>
                <xdr:col>4</xdr:col>
                <xdr:colOff>123825</xdr:colOff>
                <xdr:row>385</xdr:row>
                <xdr:rowOff>114300</xdr:rowOff>
              </to>
            </anchor>
          </controlPr>
        </control>
      </mc:Choice>
    </mc:AlternateContent>
    <mc:AlternateContent xmlns:mc="http://schemas.openxmlformats.org/markup-compatibility/2006">
      <mc:Choice Requires="x14">
        <control shapeId="8252" r:id="rId373" name="Check Box 1084">
          <controlPr defaultSize="0" autoFill="0" autoLine="0" autoPict="0" macro="[0]!ProcessChkBoxes">
            <anchor moveWithCells="1">
              <from>
                <xdr:col>4</xdr:col>
                <xdr:colOff>238125</xdr:colOff>
                <xdr:row>385</xdr:row>
                <xdr:rowOff>0</xdr:rowOff>
              </from>
              <to>
                <xdr:col>5</xdr:col>
                <xdr:colOff>133350</xdr:colOff>
                <xdr:row>385</xdr:row>
                <xdr:rowOff>104775</xdr:rowOff>
              </to>
            </anchor>
          </controlPr>
        </control>
      </mc:Choice>
    </mc:AlternateContent>
    <mc:AlternateContent xmlns:mc="http://schemas.openxmlformats.org/markup-compatibility/2006">
      <mc:Choice Requires="x14">
        <control shapeId="8253" r:id="rId374" name="Check Box 1085">
          <controlPr defaultSize="0" autoFill="0" autoLine="0" autoPict="0" macro="[0]!ProcessChkBoxes">
            <anchor moveWithCells="1">
              <from>
                <xdr:col>3</xdr:col>
                <xdr:colOff>0</xdr:colOff>
                <xdr:row>386</xdr:row>
                <xdr:rowOff>19050</xdr:rowOff>
              </from>
              <to>
                <xdr:col>3</xdr:col>
                <xdr:colOff>152400</xdr:colOff>
                <xdr:row>386</xdr:row>
                <xdr:rowOff>123825</xdr:rowOff>
              </to>
            </anchor>
          </controlPr>
        </control>
      </mc:Choice>
    </mc:AlternateContent>
    <mc:AlternateContent xmlns:mc="http://schemas.openxmlformats.org/markup-compatibility/2006">
      <mc:Choice Requires="x14">
        <control shapeId="8254" r:id="rId375" name="Check Box 1086">
          <controlPr defaultSize="0" autoFill="0" autoLine="0" autoPict="0" macro="[0]!ProcessChkBoxes">
            <anchor moveWithCells="1">
              <from>
                <xdr:col>3</xdr:col>
                <xdr:colOff>228600</xdr:colOff>
                <xdr:row>386</xdr:row>
                <xdr:rowOff>9525</xdr:rowOff>
              </from>
              <to>
                <xdr:col>4</xdr:col>
                <xdr:colOff>123825</xdr:colOff>
                <xdr:row>386</xdr:row>
                <xdr:rowOff>114300</xdr:rowOff>
              </to>
            </anchor>
          </controlPr>
        </control>
      </mc:Choice>
    </mc:AlternateContent>
    <mc:AlternateContent xmlns:mc="http://schemas.openxmlformats.org/markup-compatibility/2006">
      <mc:Choice Requires="x14">
        <control shapeId="8255" r:id="rId376" name="Check Box 1087">
          <controlPr defaultSize="0" autoFill="0" autoLine="0" autoPict="0" macro="[0]!ProcessChkBoxes">
            <anchor moveWithCells="1">
              <from>
                <xdr:col>4</xdr:col>
                <xdr:colOff>238125</xdr:colOff>
                <xdr:row>386</xdr:row>
                <xdr:rowOff>0</xdr:rowOff>
              </from>
              <to>
                <xdr:col>5</xdr:col>
                <xdr:colOff>133350</xdr:colOff>
                <xdr:row>386</xdr:row>
                <xdr:rowOff>104775</xdr:rowOff>
              </to>
            </anchor>
          </controlPr>
        </control>
      </mc:Choice>
    </mc:AlternateContent>
    <mc:AlternateContent xmlns:mc="http://schemas.openxmlformats.org/markup-compatibility/2006">
      <mc:Choice Requires="x14">
        <control shapeId="8256" r:id="rId377" name="Check Box 1088">
          <controlPr defaultSize="0" autoFill="0" autoLine="0" autoPict="0" macro="[0]!ProcessChkBoxes">
            <anchor moveWithCells="1">
              <from>
                <xdr:col>3</xdr:col>
                <xdr:colOff>0</xdr:colOff>
                <xdr:row>387</xdr:row>
                <xdr:rowOff>19050</xdr:rowOff>
              </from>
              <to>
                <xdr:col>3</xdr:col>
                <xdr:colOff>152400</xdr:colOff>
                <xdr:row>387</xdr:row>
                <xdr:rowOff>123825</xdr:rowOff>
              </to>
            </anchor>
          </controlPr>
        </control>
      </mc:Choice>
    </mc:AlternateContent>
    <mc:AlternateContent xmlns:mc="http://schemas.openxmlformats.org/markup-compatibility/2006">
      <mc:Choice Requires="x14">
        <control shapeId="8257" r:id="rId378" name="Check Box 1089">
          <controlPr defaultSize="0" autoFill="0" autoLine="0" autoPict="0" macro="[0]!ProcessChkBoxes">
            <anchor moveWithCells="1">
              <from>
                <xdr:col>3</xdr:col>
                <xdr:colOff>228600</xdr:colOff>
                <xdr:row>387</xdr:row>
                <xdr:rowOff>9525</xdr:rowOff>
              </from>
              <to>
                <xdr:col>4</xdr:col>
                <xdr:colOff>123825</xdr:colOff>
                <xdr:row>387</xdr:row>
                <xdr:rowOff>114300</xdr:rowOff>
              </to>
            </anchor>
          </controlPr>
        </control>
      </mc:Choice>
    </mc:AlternateContent>
    <mc:AlternateContent xmlns:mc="http://schemas.openxmlformats.org/markup-compatibility/2006">
      <mc:Choice Requires="x14">
        <control shapeId="8258" r:id="rId379" name="Check Box 1090">
          <controlPr defaultSize="0" autoFill="0" autoLine="0" autoPict="0" macro="[0]!ProcessChkBoxes">
            <anchor moveWithCells="1">
              <from>
                <xdr:col>4</xdr:col>
                <xdr:colOff>238125</xdr:colOff>
                <xdr:row>387</xdr:row>
                <xdr:rowOff>0</xdr:rowOff>
              </from>
              <to>
                <xdr:col>5</xdr:col>
                <xdr:colOff>133350</xdr:colOff>
                <xdr:row>387</xdr:row>
                <xdr:rowOff>104775</xdr:rowOff>
              </to>
            </anchor>
          </controlPr>
        </control>
      </mc:Choice>
    </mc:AlternateContent>
    <mc:AlternateContent xmlns:mc="http://schemas.openxmlformats.org/markup-compatibility/2006">
      <mc:Choice Requires="x14">
        <control shapeId="8262" r:id="rId380" name="Check Box 1094">
          <controlPr defaultSize="0" autoFill="0" autoLine="0" autoPict="0" macro="[0]!ProcessChkBoxes">
            <anchor moveWithCells="1">
              <from>
                <xdr:col>3</xdr:col>
                <xdr:colOff>0</xdr:colOff>
                <xdr:row>388</xdr:row>
                <xdr:rowOff>19050</xdr:rowOff>
              </from>
              <to>
                <xdr:col>3</xdr:col>
                <xdr:colOff>152400</xdr:colOff>
                <xdr:row>388</xdr:row>
                <xdr:rowOff>123825</xdr:rowOff>
              </to>
            </anchor>
          </controlPr>
        </control>
      </mc:Choice>
    </mc:AlternateContent>
    <mc:AlternateContent xmlns:mc="http://schemas.openxmlformats.org/markup-compatibility/2006">
      <mc:Choice Requires="x14">
        <control shapeId="8263" r:id="rId381" name="Check Box 1095">
          <controlPr defaultSize="0" autoFill="0" autoLine="0" autoPict="0" macro="[0]!ProcessChkBoxes">
            <anchor moveWithCells="1">
              <from>
                <xdr:col>3</xdr:col>
                <xdr:colOff>228600</xdr:colOff>
                <xdr:row>388</xdr:row>
                <xdr:rowOff>9525</xdr:rowOff>
              </from>
              <to>
                <xdr:col>4</xdr:col>
                <xdr:colOff>123825</xdr:colOff>
                <xdr:row>388</xdr:row>
                <xdr:rowOff>114300</xdr:rowOff>
              </to>
            </anchor>
          </controlPr>
        </control>
      </mc:Choice>
    </mc:AlternateContent>
    <mc:AlternateContent xmlns:mc="http://schemas.openxmlformats.org/markup-compatibility/2006">
      <mc:Choice Requires="x14">
        <control shapeId="8264" r:id="rId382" name="Check Box 1096">
          <controlPr defaultSize="0" autoFill="0" autoLine="0" autoPict="0" macro="[0]!ProcessChkBoxes">
            <anchor moveWithCells="1">
              <from>
                <xdr:col>4</xdr:col>
                <xdr:colOff>238125</xdr:colOff>
                <xdr:row>388</xdr:row>
                <xdr:rowOff>0</xdr:rowOff>
              </from>
              <to>
                <xdr:col>5</xdr:col>
                <xdr:colOff>133350</xdr:colOff>
                <xdr:row>388</xdr:row>
                <xdr:rowOff>104775</xdr:rowOff>
              </to>
            </anchor>
          </controlPr>
        </control>
      </mc:Choice>
    </mc:AlternateContent>
    <mc:AlternateContent xmlns:mc="http://schemas.openxmlformats.org/markup-compatibility/2006">
      <mc:Choice Requires="x14">
        <control shapeId="8265" r:id="rId383" name="Check Box 1097">
          <controlPr defaultSize="0" autoFill="0" autoLine="0" autoPict="0" macro="[0]!ProcessChkBoxes">
            <anchor moveWithCells="1">
              <from>
                <xdr:col>3</xdr:col>
                <xdr:colOff>0</xdr:colOff>
                <xdr:row>390</xdr:row>
                <xdr:rowOff>19050</xdr:rowOff>
              </from>
              <to>
                <xdr:col>3</xdr:col>
                <xdr:colOff>152400</xdr:colOff>
                <xdr:row>390</xdr:row>
                <xdr:rowOff>123825</xdr:rowOff>
              </to>
            </anchor>
          </controlPr>
        </control>
      </mc:Choice>
    </mc:AlternateContent>
    <mc:AlternateContent xmlns:mc="http://schemas.openxmlformats.org/markup-compatibility/2006">
      <mc:Choice Requires="x14">
        <control shapeId="8266" r:id="rId384" name="Check Box 1098">
          <controlPr defaultSize="0" autoFill="0" autoLine="0" autoPict="0" macro="[0]!ProcessChkBoxes">
            <anchor moveWithCells="1">
              <from>
                <xdr:col>3</xdr:col>
                <xdr:colOff>228600</xdr:colOff>
                <xdr:row>390</xdr:row>
                <xdr:rowOff>9525</xdr:rowOff>
              </from>
              <to>
                <xdr:col>4</xdr:col>
                <xdr:colOff>123825</xdr:colOff>
                <xdr:row>390</xdr:row>
                <xdr:rowOff>114300</xdr:rowOff>
              </to>
            </anchor>
          </controlPr>
        </control>
      </mc:Choice>
    </mc:AlternateContent>
    <mc:AlternateContent xmlns:mc="http://schemas.openxmlformats.org/markup-compatibility/2006">
      <mc:Choice Requires="x14">
        <control shapeId="8267" r:id="rId385" name="Check Box 1099">
          <controlPr defaultSize="0" autoFill="0" autoLine="0" autoPict="0" macro="[0]!ProcessChkBoxes">
            <anchor moveWithCells="1">
              <from>
                <xdr:col>4</xdr:col>
                <xdr:colOff>238125</xdr:colOff>
                <xdr:row>390</xdr:row>
                <xdr:rowOff>0</xdr:rowOff>
              </from>
              <to>
                <xdr:col>5</xdr:col>
                <xdr:colOff>133350</xdr:colOff>
                <xdr:row>390</xdr:row>
                <xdr:rowOff>104775</xdr:rowOff>
              </to>
            </anchor>
          </controlPr>
        </control>
      </mc:Choice>
    </mc:AlternateContent>
    <mc:AlternateContent xmlns:mc="http://schemas.openxmlformats.org/markup-compatibility/2006">
      <mc:Choice Requires="x14">
        <control shapeId="8268" r:id="rId386" name="Check Box 1100">
          <controlPr defaultSize="0" autoFill="0" autoLine="0" autoPict="0" macro="[0]!ProcessChkBoxes">
            <anchor moveWithCells="1">
              <from>
                <xdr:col>3</xdr:col>
                <xdr:colOff>0</xdr:colOff>
                <xdr:row>391</xdr:row>
                <xdr:rowOff>19050</xdr:rowOff>
              </from>
              <to>
                <xdr:col>3</xdr:col>
                <xdr:colOff>152400</xdr:colOff>
                <xdr:row>391</xdr:row>
                <xdr:rowOff>123825</xdr:rowOff>
              </to>
            </anchor>
          </controlPr>
        </control>
      </mc:Choice>
    </mc:AlternateContent>
    <mc:AlternateContent xmlns:mc="http://schemas.openxmlformats.org/markup-compatibility/2006">
      <mc:Choice Requires="x14">
        <control shapeId="8269" r:id="rId387" name="Check Box 1101">
          <controlPr defaultSize="0" autoFill="0" autoLine="0" autoPict="0" macro="[0]!ProcessChkBoxes">
            <anchor moveWithCells="1">
              <from>
                <xdr:col>3</xdr:col>
                <xdr:colOff>228600</xdr:colOff>
                <xdr:row>391</xdr:row>
                <xdr:rowOff>9525</xdr:rowOff>
              </from>
              <to>
                <xdr:col>4</xdr:col>
                <xdr:colOff>123825</xdr:colOff>
                <xdr:row>391</xdr:row>
                <xdr:rowOff>114300</xdr:rowOff>
              </to>
            </anchor>
          </controlPr>
        </control>
      </mc:Choice>
    </mc:AlternateContent>
    <mc:AlternateContent xmlns:mc="http://schemas.openxmlformats.org/markup-compatibility/2006">
      <mc:Choice Requires="x14">
        <control shapeId="8270" r:id="rId388" name="Check Box 1102">
          <controlPr defaultSize="0" autoFill="0" autoLine="0" autoPict="0" macro="[0]!ProcessChkBoxes">
            <anchor moveWithCells="1">
              <from>
                <xdr:col>4</xdr:col>
                <xdr:colOff>238125</xdr:colOff>
                <xdr:row>391</xdr:row>
                <xdr:rowOff>0</xdr:rowOff>
              </from>
              <to>
                <xdr:col>5</xdr:col>
                <xdr:colOff>133350</xdr:colOff>
                <xdr:row>391</xdr:row>
                <xdr:rowOff>104775</xdr:rowOff>
              </to>
            </anchor>
          </controlPr>
        </control>
      </mc:Choice>
    </mc:AlternateContent>
    <mc:AlternateContent xmlns:mc="http://schemas.openxmlformats.org/markup-compatibility/2006">
      <mc:Choice Requires="x14">
        <control shapeId="8274" r:id="rId389" name="Check Box 1106">
          <controlPr defaultSize="0" autoFill="0" autoLine="0" autoPict="0" macro="[0]!ProcessChkBoxes">
            <anchor moveWithCells="1">
              <from>
                <xdr:col>3</xdr:col>
                <xdr:colOff>0</xdr:colOff>
                <xdr:row>392</xdr:row>
                <xdr:rowOff>19050</xdr:rowOff>
              </from>
              <to>
                <xdr:col>3</xdr:col>
                <xdr:colOff>152400</xdr:colOff>
                <xdr:row>392</xdr:row>
                <xdr:rowOff>123825</xdr:rowOff>
              </to>
            </anchor>
          </controlPr>
        </control>
      </mc:Choice>
    </mc:AlternateContent>
    <mc:AlternateContent xmlns:mc="http://schemas.openxmlformats.org/markup-compatibility/2006">
      <mc:Choice Requires="x14">
        <control shapeId="8275" r:id="rId390" name="Check Box 1107">
          <controlPr defaultSize="0" autoFill="0" autoLine="0" autoPict="0" macro="[0]!ProcessChkBoxes">
            <anchor moveWithCells="1">
              <from>
                <xdr:col>3</xdr:col>
                <xdr:colOff>228600</xdr:colOff>
                <xdr:row>392</xdr:row>
                <xdr:rowOff>9525</xdr:rowOff>
              </from>
              <to>
                <xdr:col>4</xdr:col>
                <xdr:colOff>123825</xdr:colOff>
                <xdr:row>392</xdr:row>
                <xdr:rowOff>114300</xdr:rowOff>
              </to>
            </anchor>
          </controlPr>
        </control>
      </mc:Choice>
    </mc:AlternateContent>
    <mc:AlternateContent xmlns:mc="http://schemas.openxmlformats.org/markup-compatibility/2006">
      <mc:Choice Requires="x14">
        <control shapeId="8276" r:id="rId391" name="Check Box 1108">
          <controlPr defaultSize="0" autoFill="0" autoLine="0" autoPict="0" macro="[0]!ProcessChkBoxes">
            <anchor moveWithCells="1">
              <from>
                <xdr:col>4</xdr:col>
                <xdr:colOff>238125</xdr:colOff>
                <xdr:row>392</xdr:row>
                <xdr:rowOff>0</xdr:rowOff>
              </from>
              <to>
                <xdr:col>5</xdr:col>
                <xdr:colOff>133350</xdr:colOff>
                <xdr:row>392</xdr:row>
                <xdr:rowOff>104775</xdr:rowOff>
              </to>
            </anchor>
          </controlPr>
        </control>
      </mc:Choice>
    </mc:AlternateContent>
    <mc:AlternateContent xmlns:mc="http://schemas.openxmlformats.org/markup-compatibility/2006">
      <mc:Choice Requires="x14">
        <control shapeId="8280" r:id="rId392" name="Check Box 1112">
          <controlPr defaultSize="0" autoFill="0" autoLine="0" autoPict="0" macro="[0]!ProcessChkBoxes">
            <anchor moveWithCells="1">
              <from>
                <xdr:col>3</xdr:col>
                <xdr:colOff>0</xdr:colOff>
                <xdr:row>393</xdr:row>
                <xdr:rowOff>19050</xdr:rowOff>
              </from>
              <to>
                <xdr:col>3</xdr:col>
                <xdr:colOff>152400</xdr:colOff>
                <xdr:row>393</xdr:row>
                <xdr:rowOff>123825</xdr:rowOff>
              </to>
            </anchor>
          </controlPr>
        </control>
      </mc:Choice>
    </mc:AlternateContent>
    <mc:AlternateContent xmlns:mc="http://schemas.openxmlformats.org/markup-compatibility/2006">
      <mc:Choice Requires="x14">
        <control shapeId="8281" r:id="rId393" name="Check Box 1113">
          <controlPr defaultSize="0" autoFill="0" autoLine="0" autoPict="0" macro="[0]!ProcessChkBoxes">
            <anchor moveWithCells="1">
              <from>
                <xdr:col>3</xdr:col>
                <xdr:colOff>228600</xdr:colOff>
                <xdr:row>393</xdr:row>
                <xdr:rowOff>9525</xdr:rowOff>
              </from>
              <to>
                <xdr:col>4</xdr:col>
                <xdr:colOff>123825</xdr:colOff>
                <xdr:row>393</xdr:row>
                <xdr:rowOff>114300</xdr:rowOff>
              </to>
            </anchor>
          </controlPr>
        </control>
      </mc:Choice>
    </mc:AlternateContent>
    <mc:AlternateContent xmlns:mc="http://schemas.openxmlformats.org/markup-compatibility/2006">
      <mc:Choice Requires="x14">
        <control shapeId="8282" r:id="rId394" name="Check Box 1114">
          <controlPr defaultSize="0" autoFill="0" autoLine="0" autoPict="0" macro="[0]!ProcessChkBoxes">
            <anchor moveWithCells="1">
              <from>
                <xdr:col>4</xdr:col>
                <xdr:colOff>238125</xdr:colOff>
                <xdr:row>393</xdr:row>
                <xdr:rowOff>0</xdr:rowOff>
              </from>
              <to>
                <xdr:col>5</xdr:col>
                <xdr:colOff>133350</xdr:colOff>
                <xdr:row>393</xdr:row>
                <xdr:rowOff>104775</xdr:rowOff>
              </to>
            </anchor>
          </controlPr>
        </control>
      </mc:Choice>
    </mc:AlternateContent>
    <mc:AlternateContent xmlns:mc="http://schemas.openxmlformats.org/markup-compatibility/2006">
      <mc:Choice Requires="x14">
        <control shapeId="8283" r:id="rId395" name="Check Box 1115">
          <controlPr defaultSize="0" autoFill="0" autoLine="0" autoPict="0" macro="[0]!ProcessChkBoxes">
            <anchor moveWithCells="1">
              <from>
                <xdr:col>3</xdr:col>
                <xdr:colOff>0</xdr:colOff>
                <xdr:row>394</xdr:row>
                <xdr:rowOff>19050</xdr:rowOff>
              </from>
              <to>
                <xdr:col>3</xdr:col>
                <xdr:colOff>152400</xdr:colOff>
                <xdr:row>394</xdr:row>
                <xdr:rowOff>123825</xdr:rowOff>
              </to>
            </anchor>
          </controlPr>
        </control>
      </mc:Choice>
    </mc:AlternateContent>
    <mc:AlternateContent xmlns:mc="http://schemas.openxmlformats.org/markup-compatibility/2006">
      <mc:Choice Requires="x14">
        <control shapeId="8284" r:id="rId396" name="Check Box 1116">
          <controlPr defaultSize="0" autoFill="0" autoLine="0" autoPict="0" macro="[0]!ProcessChkBoxes">
            <anchor moveWithCells="1">
              <from>
                <xdr:col>3</xdr:col>
                <xdr:colOff>228600</xdr:colOff>
                <xdr:row>394</xdr:row>
                <xdr:rowOff>9525</xdr:rowOff>
              </from>
              <to>
                <xdr:col>4</xdr:col>
                <xdr:colOff>123825</xdr:colOff>
                <xdr:row>394</xdr:row>
                <xdr:rowOff>114300</xdr:rowOff>
              </to>
            </anchor>
          </controlPr>
        </control>
      </mc:Choice>
    </mc:AlternateContent>
    <mc:AlternateContent xmlns:mc="http://schemas.openxmlformats.org/markup-compatibility/2006">
      <mc:Choice Requires="x14">
        <control shapeId="8285" r:id="rId397" name="Check Box 1117">
          <controlPr defaultSize="0" autoFill="0" autoLine="0" autoPict="0" macro="[0]!ProcessChkBoxes">
            <anchor moveWithCells="1">
              <from>
                <xdr:col>4</xdr:col>
                <xdr:colOff>238125</xdr:colOff>
                <xdr:row>394</xdr:row>
                <xdr:rowOff>0</xdr:rowOff>
              </from>
              <to>
                <xdr:col>5</xdr:col>
                <xdr:colOff>133350</xdr:colOff>
                <xdr:row>394</xdr:row>
                <xdr:rowOff>104775</xdr:rowOff>
              </to>
            </anchor>
          </controlPr>
        </control>
      </mc:Choice>
    </mc:AlternateContent>
    <mc:AlternateContent xmlns:mc="http://schemas.openxmlformats.org/markup-compatibility/2006">
      <mc:Choice Requires="x14">
        <control shapeId="1048" r:id="rId398" name="Check Box 1118">
          <controlPr defaultSize="0" autoFill="0" autoLine="0" autoPict="0" macro="[0]!ProcessChkBoxes">
            <anchor moveWithCells="1">
              <from>
                <xdr:col>3</xdr:col>
                <xdr:colOff>0</xdr:colOff>
                <xdr:row>397</xdr:row>
                <xdr:rowOff>19050</xdr:rowOff>
              </from>
              <to>
                <xdr:col>3</xdr:col>
                <xdr:colOff>152400</xdr:colOff>
                <xdr:row>397</xdr:row>
                <xdr:rowOff>123825</xdr:rowOff>
              </to>
            </anchor>
          </controlPr>
        </control>
      </mc:Choice>
    </mc:AlternateContent>
    <mc:AlternateContent xmlns:mc="http://schemas.openxmlformats.org/markup-compatibility/2006">
      <mc:Choice Requires="x14">
        <control shapeId="8287" r:id="rId399" name="Check Box 1119">
          <controlPr defaultSize="0" autoFill="0" autoLine="0" autoPict="0" macro="[0]!ProcessChkBoxes">
            <anchor moveWithCells="1">
              <from>
                <xdr:col>3</xdr:col>
                <xdr:colOff>228600</xdr:colOff>
                <xdr:row>397</xdr:row>
                <xdr:rowOff>9525</xdr:rowOff>
              </from>
              <to>
                <xdr:col>4</xdr:col>
                <xdr:colOff>123825</xdr:colOff>
                <xdr:row>397</xdr:row>
                <xdr:rowOff>114300</xdr:rowOff>
              </to>
            </anchor>
          </controlPr>
        </control>
      </mc:Choice>
    </mc:AlternateContent>
    <mc:AlternateContent xmlns:mc="http://schemas.openxmlformats.org/markup-compatibility/2006">
      <mc:Choice Requires="x14">
        <control shapeId="8288" r:id="rId400" name="Check Box 1120">
          <controlPr defaultSize="0" autoFill="0" autoLine="0" autoPict="0" macro="[0]!ProcessChkBoxes">
            <anchor moveWithCells="1">
              <from>
                <xdr:col>4</xdr:col>
                <xdr:colOff>238125</xdr:colOff>
                <xdr:row>397</xdr:row>
                <xdr:rowOff>0</xdr:rowOff>
              </from>
              <to>
                <xdr:col>5</xdr:col>
                <xdr:colOff>133350</xdr:colOff>
                <xdr:row>397</xdr:row>
                <xdr:rowOff>104775</xdr:rowOff>
              </to>
            </anchor>
          </controlPr>
        </control>
      </mc:Choice>
    </mc:AlternateContent>
    <mc:AlternateContent xmlns:mc="http://schemas.openxmlformats.org/markup-compatibility/2006">
      <mc:Choice Requires="x14">
        <control shapeId="8289" r:id="rId401" name="Check Box 1121">
          <controlPr defaultSize="0" autoFill="0" autoLine="0" autoPict="0" macro="[0]!ProcessChkBoxes">
            <anchor moveWithCells="1">
              <from>
                <xdr:col>3</xdr:col>
                <xdr:colOff>28575</xdr:colOff>
                <xdr:row>398</xdr:row>
                <xdr:rowOff>47625</xdr:rowOff>
              </from>
              <to>
                <xdr:col>3</xdr:col>
                <xdr:colOff>180975</xdr:colOff>
                <xdr:row>398</xdr:row>
                <xdr:rowOff>152400</xdr:rowOff>
              </to>
            </anchor>
          </controlPr>
        </control>
      </mc:Choice>
    </mc:AlternateContent>
    <mc:AlternateContent xmlns:mc="http://schemas.openxmlformats.org/markup-compatibility/2006">
      <mc:Choice Requires="x14">
        <control shapeId="8290" r:id="rId402" name="Check Box 1122">
          <controlPr defaultSize="0" autoFill="0" autoLine="0" autoPict="0" macro="[0]!ProcessChkBoxes">
            <anchor moveWithCells="1">
              <from>
                <xdr:col>4</xdr:col>
                <xdr:colOff>0</xdr:colOff>
                <xdr:row>398</xdr:row>
                <xdr:rowOff>38100</xdr:rowOff>
              </from>
              <to>
                <xdr:col>4</xdr:col>
                <xdr:colOff>152400</xdr:colOff>
                <xdr:row>398</xdr:row>
                <xdr:rowOff>142875</xdr:rowOff>
              </to>
            </anchor>
          </controlPr>
        </control>
      </mc:Choice>
    </mc:AlternateContent>
    <mc:AlternateContent xmlns:mc="http://schemas.openxmlformats.org/markup-compatibility/2006">
      <mc:Choice Requires="x14">
        <control shapeId="8291" r:id="rId403" name="Check Box 1123">
          <controlPr defaultSize="0" autoFill="0" autoLine="0" autoPict="0" macro="[0]!ProcessChkBoxes">
            <anchor moveWithCells="1">
              <from>
                <xdr:col>5</xdr:col>
                <xdr:colOff>9525</xdr:colOff>
                <xdr:row>398</xdr:row>
                <xdr:rowOff>28575</xdr:rowOff>
              </from>
              <to>
                <xdr:col>5</xdr:col>
                <xdr:colOff>161925</xdr:colOff>
                <xdr:row>398</xdr:row>
                <xdr:rowOff>133350</xdr:rowOff>
              </to>
            </anchor>
          </controlPr>
        </control>
      </mc:Choice>
    </mc:AlternateContent>
    <mc:AlternateContent xmlns:mc="http://schemas.openxmlformats.org/markup-compatibility/2006">
      <mc:Choice Requires="x14">
        <control shapeId="8292" r:id="rId404" name="Check Box 1124">
          <controlPr defaultSize="0" autoFill="0" autoLine="0" autoPict="0" macro="[0]!ProcessChkBoxes">
            <anchor moveWithCells="1">
              <from>
                <xdr:col>3</xdr:col>
                <xdr:colOff>0</xdr:colOff>
                <xdr:row>401</xdr:row>
                <xdr:rowOff>19050</xdr:rowOff>
              </from>
              <to>
                <xdr:col>3</xdr:col>
                <xdr:colOff>152400</xdr:colOff>
                <xdr:row>401</xdr:row>
                <xdr:rowOff>123825</xdr:rowOff>
              </to>
            </anchor>
          </controlPr>
        </control>
      </mc:Choice>
    </mc:AlternateContent>
    <mc:AlternateContent xmlns:mc="http://schemas.openxmlformats.org/markup-compatibility/2006">
      <mc:Choice Requires="x14">
        <control shapeId="8293" r:id="rId405" name="Check Box 1125">
          <controlPr defaultSize="0" autoFill="0" autoLine="0" autoPict="0" macro="[0]!ProcessChkBoxes">
            <anchor moveWithCells="1">
              <from>
                <xdr:col>3</xdr:col>
                <xdr:colOff>228600</xdr:colOff>
                <xdr:row>401</xdr:row>
                <xdr:rowOff>9525</xdr:rowOff>
              </from>
              <to>
                <xdr:col>4</xdr:col>
                <xdr:colOff>123825</xdr:colOff>
                <xdr:row>401</xdr:row>
                <xdr:rowOff>114300</xdr:rowOff>
              </to>
            </anchor>
          </controlPr>
        </control>
      </mc:Choice>
    </mc:AlternateContent>
    <mc:AlternateContent xmlns:mc="http://schemas.openxmlformats.org/markup-compatibility/2006">
      <mc:Choice Requires="x14">
        <control shapeId="8294" r:id="rId406" name="Check Box 1126">
          <controlPr defaultSize="0" autoFill="0" autoLine="0" autoPict="0" macro="[0]!ProcessChkBoxes">
            <anchor moveWithCells="1">
              <from>
                <xdr:col>4</xdr:col>
                <xdr:colOff>238125</xdr:colOff>
                <xdr:row>401</xdr:row>
                <xdr:rowOff>0</xdr:rowOff>
              </from>
              <to>
                <xdr:col>5</xdr:col>
                <xdr:colOff>133350</xdr:colOff>
                <xdr:row>401</xdr:row>
                <xdr:rowOff>104775</xdr:rowOff>
              </to>
            </anchor>
          </controlPr>
        </control>
      </mc:Choice>
    </mc:AlternateContent>
    <mc:AlternateContent xmlns:mc="http://schemas.openxmlformats.org/markup-compatibility/2006">
      <mc:Choice Requires="x14">
        <control shapeId="8295" r:id="rId407" name="Check Box 1127">
          <controlPr defaultSize="0" autoFill="0" autoLine="0" autoPict="0" macro="[0]!ProcessChkBoxes">
            <anchor moveWithCells="1">
              <from>
                <xdr:col>3</xdr:col>
                <xdr:colOff>0</xdr:colOff>
                <xdr:row>402</xdr:row>
                <xdr:rowOff>19050</xdr:rowOff>
              </from>
              <to>
                <xdr:col>3</xdr:col>
                <xdr:colOff>152400</xdr:colOff>
                <xdr:row>402</xdr:row>
                <xdr:rowOff>123825</xdr:rowOff>
              </to>
            </anchor>
          </controlPr>
        </control>
      </mc:Choice>
    </mc:AlternateContent>
    <mc:AlternateContent xmlns:mc="http://schemas.openxmlformats.org/markup-compatibility/2006">
      <mc:Choice Requires="x14">
        <control shapeId="8296" r:id="rId408" name="Check Box 1128">
          <controlPr defaultSize="0" autoFill="0" autoLine="0" autoPict="0" macro="[0]!ProcessChkBoxes">
            <anchor moveWithCells="1">
              <from>
                <xdr:col>3</xdr:col>
                <xdr:colOff>228600</xdr:colOff>
                <xdr:row>402</xdr:row>
                <xdr:rowOff>9525</xdr:rowOff>
              </from>
              <to>
                <xdr:col>4</xdr:col>
                <xdr:colOff>123825</xdr:colOff>
                <xdr:row>402</xdr:row>
                <xdr:rowOff>114300</xdr:rowOff>
              </to>
            </anchor>
          </controlPr>
        </control>
      </mc:Choice>
    </mc:AlternateContent>
    <mc:AlternateContent xmlns:mc="http://schemas.openxmlformats.org/markup-compatibility/2006">
      <mc:Choice Requires="x14">
        <control shapeId="8297" r:id="rId409" name="Check Box 1129">
          <controlPr defaultSize="0" autoFill="0" autoLine="0" autoPict="0" macro="[0]!ProcessChkBoxes">
            <anchor moveWithCells="1">
              <from>
                <xdr:col>4</xdr:col>
                <xdr:colOff>238125</xdr:colOff>
                <xdr:row>402</xdr:row>
                <xdr:rowOff>0</xdr:rowOff>
              </from>
              <to>
                <xdr:col>5</xdr:col>
                <xdr:colOff>133350</xdr:colOff>
                <xdr:row>402</xdr:row>
                <xdr:rowOff>104775</xdr:rowOff>
              </to>
            </anchor>
          </controlPr>
        </control>
      </mc:Choice>
    </mc:AlternateContent>
    <mc:AlternateContent xmlns:mc="http://schemas.openxmlformats.org/markup-compatibility/2006">
      <mc:Choice Requires="x14">
        <control shapeId="8298" r:id="rId410" name="Check Box 1130">
          <controlPr defaultSize="0" autoFill="0" autoLine="0" autoPict="0" macro="[0]!ProcessChkBoxes">
            <anchor moveWithCells="1">
              <from>
                <xdr:col>3</xdr:col>
                <xdr:colOff>0</xdr:colOff>
                <xdr:row>403</xdr:row>
                <xdr:rowOff>19050</xdr:rowOff>
              </from>
              <to>
                <xdr:col>3</xdr:col>
                <xdr:colOff>152400</xdr:colOff>
                <xdr:row>403</xdr:row>
                <xdr:rowOff>123825</xdr:rowOff>
              </to>
            </anchor>
          </controlPr>
        </control>
      </mc:Choice>
    </mc:AlternateContent>
    <mc:AlternateContent xmlns:mc="http://schemas.openxmlformats.org/markup-compatibility/2006">
      <mc:Choice Requires="x14">
        <control shapeId="8299" r:id="rId411" name="Check Box 1131">
          <controlPr defaultSize="0" autoFill="0" autoLine="0" autoPict="0" macro="[0]!ProcessChkBoxes">
            <anchor moveWithCells="1">
              <from>
                <xdr:col>3</xdr:col>
                <xdr:colOff>228600</xdr:colOff>
                <xdr:row>403</xdr:row>
                <xdr:rowOff>9525</xdr:rowOff>
              </from>
              <to>
                <xdr:col>4</xdr:col>
                <xdr:colOff>123825</xdr:colOff>
                <xdr:row>403</xdr:row>
                <xdr:rowOff>114300</xdr:rowOff>
              </to>
            </anchor>
          </controlPr>
        </control>
      </mc:Choice>
    </mc:AlternateContent>
    <mc:AlternateContent xmlns:mc="http://schemas.openxmlformats.org/markup-compatibility/2006">
      <mc:Choice Requires="x14">
        <control shapeId="8300" r:id="rId412" name="Check Box 1132">
          <controlPr defaultSize="0" autoFill="0" autoLine="0" autoPict="0" macro="[0]!ProcessChkBoxes">
            <anchor moveWithCells="1">
              <from>
                <xdr:col>4</xdr:col>
                <xdr:colOff>238125</xdr:colOff>
                <xdr:row>403</xdr:row>
                <xdr:rowOff>0</xdr:rowOff>
              </from>
              <to>
                <xdr:col>5</xdr:col>
                <xdr:colOff>133350</xdr:colOff>
                <xdr:row>403</xdr:row>
                <xdr:rowOff>104775</xdr:rowOff>
              </to>
            </anchor>
          </controlPr>
        </control>
      </mc:Choice>
    </mc:AlternateContent>
    <mc:AlternateContent xmlns:mc="http://schemas.openxmlformats.org/markup-compatibility/2006">
      <mc:Choice Requires="x14">
        <control shapeId="8301" r:id="rId413" name="Check Box 1133">
          <controlPr defaultSize="0" autoFill="0" autoLine="0" autoPict="0" macro="[0]!ProcessChkBoxes">
            <anchor moveWithCells="1">
              <from>
                <xdr:col>3</xdr:col>
                <xdr:colOff>0</xdr:colOff>
                <xdr:row>404</xdr:row>
                <xdr:rowOff>19050</xdr:rowOff>
              </from>
              <to>
                <xdr:col>3</xdr:col>
                <xdr:colOff>152400</xdr:colOff>
                <xdr:row>404</xdr:row>
                <xdr:rowOff>123825</xdr:rowOff>
              </to>
            </anchor>
          </controlPr>
        </control>
      </mc:Choice>
    </mc:AlternateContent>
    <mc:AlternateContent xmlns:mc="http://schemas.openxmlformats.org/markup-compatibility/2006">
      <mc:Choice Requires="x14">
        <control shapeId="8302" r:id="rId414" name="Check Box 1134">
          <controlPr defaultSize="0" autoFill="0" autoLine="0" autoPict="0" macro="[0]!ProcessChkBoxes">
            <anchor moveWithCells="1">
              <from>
                <xdr:col>3</xdr:col>
                <xdr:colOff>228600</xdr:colOff>
                <xdr:row>404</xdr:row>
                <xdr:rowOff>9525</xdr:rowOff>
              </from>
              <to>
                <xdr:col>4</xdr:col>
                <xdr:colOff>123825</xdr:colOff>
                <xdr:row>404</xdr:row>
                <xdr:rowOff>114300</xdr:rowOff>
              </to>
            </anchor>
          </controlPr>
        </control>
      </mc:Choice>
    </mc:AlternateContent>
    <mc:AlternateContent xmlns:mc="http://schemas.openxmlformats.org/markup-compatibility/2006">
      <mc:Choice Requires="x14">
        <control shapeId="8303" r:id="rId415" name="Check Box 1135">
          <controlPr defaultSize="0" autoFill="0" autoLine="0" autoPict="0" macro="[0]!ProcessChkBoxes">
            <anchor moveWithCells="1">
              <from>
                <xdr:col>4</xdr:col>
                <xdr:colOff>238125</xdr:colOff>
                <xdr:row>404</xdr:row>
                <xdr:rowOff>0</xdr:rowOff>
              </from>
              <to>
                <xdr:col>5</xdr:col>
                <xdr:colOff>133350</xdr:colOff>
                <xdr:row>404</xdr:row>
                <xdr:rowOff>104775</xdr:rowOff>
              </to>
            </anchor>
          </controlPr>
        </control>
      </mc:Choice>
    </mc:AlternateContent>
    <mc:AlternateContent xmlns:mc="http://schemas.openxmlformats.org/markup-compatibility/2006">
      <mc:Choice Requires="x14">
        <control shapeId="8304" r:id="rId416" name="Check Box 1136">
          <controlPr defaultSize="0" autoFill="0" autoLine="0" autoPict="0" macro="[0]!ProcessChkBoxes">
            <anchor moveWithCells="1">
              <from>
                <xdr:col>3</xdr:col>
                <xdr:colOff>0</xdr:colOff>
                <xdr:row>405</xdr:row>
                <xdr:rowOff>19050</xdr:rowOff>
              </from>
              <to>
                <xdr:col>3</xdr:col>
                <xdr:colOff>152400</xdr:colOff>
                <xdr:row>405</xdr:row>
                <xdr:rowOff>123825</xdr:rowOff>
              </to>
            </anchor>
          </controlPr>
        </control>
      </mc:Choice>
    </mc:AlternateContent>
    <mc:AlternateContent xmlns:mc="http://schemas.openxmlformats.org/markup-compatibility/2006">
      <mc:Choice Requires="x14">
        <control shapeId="8305" r:id="rId417" name="Check Box 1137">
          <controlPr defaultSize="0" autoFill="0" autoLine="0" autoPict="0" macro="[0]!ProcessChkBoxes">
            <anchor moveWithCells="1">
              <from>
                <xdr:col>3</xdr:col>
                <xdr:colOff>228600</xdr:colOff>
                <xdr:row>405</xdr:row>
                <xdr:rowOff>9525</xdr:rowOff>
              </from>
              <to>
                <xdr:col>4</xdr:col>
                <xdr:colOff>123825</xdr:colOff>
                <xdr:row>405</xdr:row>
                <xdr:rowOff>114300</xdr:rowOff>
              </to>
            </anchor>
          </controlPr>
        </control>
      </mc:Choice>
    </mc:AlternateContent>
    <mc:AlternateContent xmlns:mc="http://schemas.openxmlformats.org/markup-compatibility/2006">
      <mc:Choice Requires="x14">
        <control shapeId="8306" r:id="rId418" name="Check Box 1138">
          <controlPr defaultSize="0" autoFill="0" autoLine="0" autoPict="0" macro="[0]!ProcessChkBoxes">
            <anchor moveWithCells="1">
              <from>
                <xdr:col>4</xdr:col>
                <xdr:colOff>238125</xdr:colOff>
                <xdr:row>405</xdr:row>
                <xdr:rowOff>0</xdr:rowOff>
              </from>
              <to>
                <xdr:col>5</xdr:col>
                <xdr:colOff>133350</xdr:colOff>
                <xdr:row>405</xdr:row>
                <xdr:rowOff>104775</xdr:rowOff>
              </to>
            </anchor>
          </controlPr>
        </control>
      </mc:Choice>
    </mc:AlternateContent>
    <mc:AlternateContent xmlns:mc="http://schemas.openxmlformats.org/markup-compatibility/2006">
      <mc:Choice Requires="x14">
        <control shapeId="8307" r:id="rId419" name="Check Box 1139">
          <controlPr defaultSize="0" autoFill="0" autoLine="0" autoPict="0" macro="[0]!ProcessChkBoxes">
            <anchor moveWithCells="1">
              <from>
                <xdr:col>3</xdr:col>
                <xdr:colOff>0</xdr:colOff>
                <xdr:row>656</xdr:row>
                <xdr:rowOff>76200</xdr:rowOff>
              </from>
              <to>
                <xdr:col>3</xdr:col>
                <xdr:colOff>152400</xdr:colOff>
                <xdr:row>656</xdr:row>
                <xdr:rowOff>180975</xdr:rowOff>
              </to>
            </anchor>
          </controlPr>
        </control>
      </mc:Choice>
    </mc:AlternateContent>
    <mc:AlternateContent xmlns:mc="http://schemas.openxmlformats.org/markup-compatibility/2006">
      <mc:Choice Requires="x14">
        <control shapeId="8308" r:id="rId420" name="Check Box 1140">
          <controlPr defaultSize="0" autoFill="0" autoLine="0" autoPict="0" macro="[0]!ProcessChkBoxes">
            <anchor moveWithCells="1">
              <from>
                <xdr:col>3</xdr:col>
                <xdr:colOff>228600</xdr:colOff>
                <xdr:row>656</xdr:row>
                <xdr:rowOff>66675</xdr:rowOff>
              </from>
              <to>
                <xdr:col>4</xdr:col>
                <xdr:colOff>123825</xdr:colOff>
                <xdr:row>656</xdr:row>
                <xdr:rowOff>171450</xdr:rowOff>
              </to>
            </anchor>
          </controlPr>
        </control>
      </mc:Choice>
    </mc:AlternateContent>
    <mc:AlternateContent xmlns:mc="http://schemas.openxmlformats.org/markup-compatibility/2006">
      <mc:Choice Requires="x14">
        <control shapeId="8309" r:id="rId421" name="Check Box 1141">
          <controlPr defaultSize="0" autoFill="0" autoLine="0" autoPict="0" macro="[0]!ProcessChkBoxes">
            <anchor moveWithCells="1">
              <from>
                <xdr:col>4</xdr:col>
                <xdr:colOff>238125</xdr:colOff>
                <xdr:row>656</xdr:row>
                <xdr:rowOff>57150</xdr:rowOff>
              </from>
              <to>
                <xdr:col>5</xdr:col>
                <xdr:colOff>133350</xdr:colOff>
                <xdr:row>656</xdr:row>
                <xdr:rowOff>161925</xdr:rowOff>
              </to>
            </anchor>
          </controlPr>
        </control>
      </mc:Choice>
    </mc:AlternateContent>
    <mc:AlternateContent xmlns:mc="http://schemas.openxmlformats.org/markup-compatibility/2006">
      <mc:Choice Requires="x14">
        <control shapeId="8310" r:id="rId422" name="Check Box 1142">
          <controlPr defaultSize="0" autoFill="0" autoLine="0" autoPict="0" macro="[0]!ProcessChkBoxes">
            <anchor moveWithCells="1">
              <from>
                <xdr:col>3</xdr:col>
                <xdr:colOff>19050</xdr:colOff>
                <xdr:row>659</xdr:row>
                <xdr:rowOff>57150</xdr:rowOff>
              </from>
              <to>
                <xdr:col>3</xdr:col>
                <xdr:colOff>171450</xdr:colOff>
                <xdr:row>659</xdr:row>
                <xdr:rowOff>161925</xdr:rowOff>
              </to>
            </anchor>
          </controlPr>
        </control>
      </mc:Choice>
    </mc:AlternateContent>
    <mc:AlternateContent xmlns:mc="http://schemas.openxmlformats.org/markup-compatibility/2006">
      <mc:Choice Requires="x14">
        <control shapeId="8311" r:id="rId423" name="Check Box 1143">
          <controlPr defaultSize="0" autoFill="0" autoLine="0" autoPict="0" macro="[0]!ProcessChkBoxes">
            <anchor moveWithCells="1">
              <from>
                <xdr:col>3</xdr:col>
                <xdr:colOff>247650</xdr:colOff>
                <xdr:row>659</xdr:row>
                <xdr:rowOff>47625</xdr:rowOff>
              </from>
              <to>
                <xdr:col>4</xdr:col>
                <xdr:colOff>142875</xdr:colOff>
                <xdr:row>659</xdr:row>
                <xdr:rowOff>152400</xdr:rowOff>
              </to>
            </anchor>
          </controlPr>
        </control>
      </mc:Choice>
    </mc:AlternateContent>
    <mc:AlternateContent xmlns:mc="http://schemas.openxmlformats.org/markup-compatibility/2006">
      <mc:Choice Requires="x14">
        <control shapeId="8312" r:id="rId424" name="Check Box 1144">
          <controlPr defaultSize="0" autoFill="0" autoLine="0" autoPict="0" macro="[0]!ProcessChkBoxes">
            <anchor moveWithCells="1">
              <from>
                <xdr:col>5</xdr:col>
                <xdr:colOff>0</xdr:colOff>
                <xdr:row>659</xdr:row>
                <xdr:rowOff>38100</xdr:rowOff>
              </from>
              <to>
                <xdr:col>5</xdr:col>
                <xdr:colOff>152400</xdr:colOff>
                <xdr:row>659</xdr:row>
                <xdr:rowOff>142875</xdr:rowOff>
              </to>
            </anchor>
          </controlPr>
        </control>
      </mc:Choice>
    </mc:AlternateContent>
    <mc:AlternateContent xmlns:mc="http://schemas.openxmlformats.org/markup-compatibility/2006">
      <mc:Choice Requires="x14">
        <control shapeId="8316" r:id="rId425" name="Check Box 1148">
          <controlPr defaultSize="0" autoFill="0" autoLine="0" autoPict="0" macro="[0]!ProcessChkBoxes">
            <anchor moveWithCells="1">
              <from>
                <xdr:col>3</xdr:col>
                <xdr:colOff>0</xdr:colOff>
                <xdr:row>660</xdr:row>
                <xdr:rowOff>19050</xdr:rowOff>
              </from>
              <to>
                <xdr:col>3</xdr:col>
                <xdr:colOff>152400</xdr:colOff>
                <xdr:row>660</xdr:row>
                <xdr:rowOff>123825</xdr:rowOff>
              </to>
            </anchor>
          </controlPr>
        </control>
      </mc:Choice>
    </mc:AlternateContent>
    <mc:AlternateContent xmlns:mc="http://schemas.openxmlformats.org/markup-compatibility/2006">
      <mc:Choice Requires="x14">
        <control shapeId="8317" r:id="rId426" name="Check Box 1149">
          <controlPr defaultSize="0" autoFill="0" autoLine="0" autoPict="0" macro="[0]!ProcessChkBoxes">
            <anchor moveWithCells="1">
              <from>
                <xdr:col>3</xdr:col>
                <xdr:colOff>228600</xdr:colOff>
                <xdr:row>660</xdr:row>
                <xdr:rowOff>9525</xdr:rowOff>
              </from>
              <to>
                <xdr:col>4</xdr:col>
                <xdr:colOff>123825</xdr:colOff>
                <xdr:row>660</xdr:row>
                <xdr:rowOff>114300</xdr:rowOff>
              </to>
            </anchor>
          </controlPr>
        </control>
      </mc:Choice>
    </mc:AlternateContent>
    <mc:AlternateContent xmlns:mc="http://schemas.openxmlformats.org/markup-compatibility/2006">
      <mc:Choice Requires="x14">
        <control shapeId="8318" r:id="rId427" name="Check Box 1150">
          <controlPr defaultSize="0" autoFill="0" autoLine="0" autoPict="0" macro="[0]!ProcessChkBoxes">
            <anchor moveWithCells="1">
              <from>
                <xdr:col>4</xdr:col>
                <xdr:colOff>238125</xdr:colOff>
                <xdr:row>660</xdr:row>
                <xdr:rowOff>0</xdr:rowOff>
              </from>
              <to>
                <xdr:col>5</xdr:col>
                <xdr:colOff>133350</xdr:colOff>
                <xdr:row>660</xdr:row>
                <xdr:rowOff>104775</xdr:rowOff>
              </to>
            </anchor>
          </controlPr>
        </control>
      </mc:Choice>
    </mc:AlternateContent>
    <mc:AlternateContent xmlns:mc="http://schemas.openxmlformats.org/markup-compatibility/2006">
      <mc:Choice Requires="x14">
        <control shapeId="8319" r:id="rId428" name="Check Box 1151">
          <controlPr defaultSize="0" autoFill="0" autoLine="0" autoPict="0" macro="[0]!ProcessChkBoxes">
            <anchor moveWithCells="1">
              <from>
                <xdr:col>3</xdr:col>
                <xdr:colOff>0</xdr:colOff>
                <xdr:row>662</xdr:row>
                <xdr:rowOff>19050</xdr:rowOff>
              </from>
              <to>
                <xdr:col>3</xdr:col>
                <xdr:colOff>152400</xdr:colOff>
                <xdr:row>662</xdr:row>
                <xdr:rowOff>123825</xdr:rowOff>
              </to>
            </anchor>
          </controlPr>
        </control>
      </mc:Choice>
    </mc:AlternateContent>
    <mc:AlternateContent xmlns:mc="http://schemas.openxmlformats.org/markup-compatibility/2006">
      <mc:Choice Requires="x14">
        <control shapeId="8320" r:id="rId429" name="Check Box 1152">
          <controlPr defaultSize="0" autoFill="0" autoLine="0" autoPict="0" macro="[0]!ProcessChkBoxes">
            <anchor moveWithCells="1">
              <from>
                <xdr:col>3</xdr:col>
                <xdr:colOff>228600</xdr:colOff>
                <xdr:row>662</xdr:row>
                <xdr:rowOff>9525</xdr:rowOff>
              </from>
              <to>
                <xdr:col>4</xdr:col>
                <xdr:colOff>123825</xdr:colOff>
                <xdr:row>662</xdr:row>
                <xdr:rowOff>114300</xdr:rowOff>
              </to>
            </anchor>
          </controlPr>
        </control>
      </mc:Choice>
    </mc:AlternateContent>
    <mc:AlternateContent xmlns:mc="http://schemas.openxmlformats.org/markup-compatibility/2006">
      <mc:Choice Requires="x14">
        <control shapeId="8321" r:id="rId430" name="Check Box 1153">
          <controlPr defaultSize="0" autoFill="0" autoLine="0" autoPict="0" macro="[0]!ProcessChkBoxes">
            <anchor moveWithCells="1">
              <from>
                <xdr:col>4</xdr:col>
                <xdr:colOff>238125</xdr:colOff>
                <xdr:row>662</xdr:row>
                <xdr:rowOff>0</xdr:rowOff>
              </from>
              <to>
                <xdr:col>5</xdr:col>
                <xdr:colOff>133350</xdr:colOff>
                <xdr:row>662</xdr:row>
                <xdr:rowOff>104775</xdr:rowOff>
              </to>
            </anchor>
          </controlPr>
        </control>
      </mc:Choice>
    </mc:AlternateContent>
    <mc:AlternateContent xmlns:mc="http://schemas.openxmlformats.org/markup-compatibility/2006">
      <mc:Choice Requires="x14">
        <control shapeId="8322" r:id="rId431" name="Check Box 1154">
          <controlPr defaultSize="0" autoFill="0" autoLine="0" autoPict="0" macro="[0]!ProcessChkBoxes">
            <anchor moveWithCells="1">
              <from>
                <xdr:col>3</xdr:col>
                <xdr:colOff>0</xdr:colOff>
                <xdr:row>664</xdr:row>
                <xdr:rowOff>19050</xdr:rowOff>
              </from>
              <to>
                <xdr:col>3</xdr:col>
                <xdr:colOff>152400</xdr:colOff>
                <xdr:row>664</xdr:row>
                <xdr:rowOff>123825</xdr:rowOff>
              </to>
            </anchor>
          </controlPr>
        </control>
      </mc:Choice>
    </mc:AlternateContent>
    <mc:AlternateContent xmlns:mc="http://schemas.openxmlformats.org/markup-compatibility/2006">
      <mc:Choice Requires="x14">
        <control shapeId="8323" r:id="rId432" name="Check Box 1155">
          <controlPr defaultSize="0" autoFill="0" autoLine="0" autoPict="0" macro="[0]!ProcessChkBoxes">
            <anchor moveWithCells="1">
              <from>
                <xdr:col>3</xdr:col>
                <xdr:colOff>228600</xdr:colOff>
                <xdr:row>664</xdr:row>
                <xdr:rowOff>9525</xdr:rowOff>
              </from>
              <to>
                <xdr:col>4</xdr:col>
                <xdr:colOff>123825</xdr:colOff>
                <xdr:row>664</xdr:row>
                <xdr:rowOff>114300</xdr:rowOff>
              </to>
            </anchor>
          </controlPr>
        </control>
      </mc:Choice>
    </mc:AlternateContent>
    <mc:AlternateContent xmlns:mc="http://schemas.openxmlformats.org/markup-compatibility/2006">
      <mc:Choice Requires="x14">
        <control shapeId="8324" r:id="rId433" name="Check Box 1156">
          <controlPr defaultSize="0" autoFill="0" autoLine="0" autoPict="0" macro="[0]!ProcessChkBoxes">
            <anchor moveWithCells="1">
              <from>
                <xdr:col>4</xdr:col>
                <xdr:colOff>238125</xdr:colOff>
                <xdr:row>664</xdr:row>
                <xdr:rowOff>0</xdr:rowOff>
              </from>
              <to>
                <xdr:col>5</xdr:col>
                <xdr:colOff>133350</xdr:colOff>
                <xdr:row>664</xdr:row>
                <xdr:rowOff>104775</xdr:rowOff>
              </to>
            </anchor>
          </controlPr>
        </control>
      </mc:Choice>
    </mc:AlternateContent>
    <mc:AlternateContent xmlns:mc="http://schemas.openxmlformats.org/markup-compatibility/2006">
      <mc:Choice Requires="x14">
        <control shapeId="8325" r:id="rId434" name="Check Box 1157">
          <controlPr defaultSize="0" autoFill="0" autoLine="0" autoPict="0" macro="[0]!ProcessChkBoxes">
            <anchor moveWithCells="1">
              <from>
                <xdr:col>3</xdr:col>
                <xdr:colOff>0</xdr:colOff>
                <xdr:row>666</xdr:row>
                <xdr:rowOff>19050</xdr:rowOff>
              </from>
              <to>
                <xdr:col>3</xdr:col>
                <xdr:colOff>152400</xdr:colOff>
                <xdr:row>666</xdr:row>
                <xdr:rowOff>123825</xdr:rowOff>
              </to>
            </anchor>
          </controlPr>
        </control>
      </mc:Choice>
    </mc:AlternateContent>
    <mc:AlternateContent xmlns:mc="http://schemas.openxmlformats.org/markup-compatibility/2006">
      <mc:Choice Requires="x14">
        <control shapeId="8326" r:id="rId435" name="Check Box 1158">
          <controlPr defaultSize="0" autoFill="0" autoLine="0" autoPict="0" macro="[0]!ProcessChkBoxes">
            <anchor moveWithCells="1">
              <from>
                <xdr:col>3</xdr:col>
                <xdr:colOff>228600</xdr:colOff>
                <xdr:row>666</xdr:row>
                <xdr:rowOff>9525</xdr:rowOff>
              </from>
              <to>
                <xdr:col>4</xdr:col>
                <xdr:colOff>123825</xdr:colOff>
                <xdr:row>666</xdr:row>
                <xdr:rowOff>114300</xdr:rowOff>
              </to>
            </anchor>
          </controlPr>
        </control>
      </mc:Choice>
    </mc:AlternateContent>
    <mc:AlternateContent xmlns:mc="http://schemas.openxmlformats.org/markup-compatibility/2006">
      <mc:Choice Requires="x14">
        <control shapeId="8327" r:id="rId436" name="Check Box 1159">
          <controlPr defaultSize="0" autoFill="0" autoLine="0" autoPict="0" macro="[0]!ProcessChkBoxes">
            <anchor moveWithCells="1">
              <from>
                <xdr:col>4</xdr:col>
                <xdr:colOff>238125</xdr:colOff>
                <xdr:row>666</xdr:row>
                <xdr:rowOff>0</xdr:rowOff>
              </from>
              <to>
                <xdr:col>5</xdr:col>
                <xdr:colOff>133350</xdr:colOff>
                <xdr:row>666</xdr:row>
                <xdr:rowOff>104775</xdr:rowOff>
              </to>
            </anchor>
          </controlPr>
        </control>
      </mc:Choice>
    </mc:AlternateContent>
    <mc:AlternateContent xmlns:mc="http://schemas.openxmlformats.org/markup-compatibility/2006">
      <mc:Choice Requires="x14">
        <control shapeId="8328" r:id="rId437" name="Check Box 1160">
          <controlPr defaultSize="0" autoFill="0" autoLine="0" autoPict="0" macro="[0]!ProcessChkBoxes">
            <anchor moveWithCells="1">
              <from>
                <xdr:col>3</xdr:col>
                <xdr:colOff>0</xdr:colOff>
                <xdr:row>674</xdr:row>
                <xdr:rowOff>19050</xdr:rowOff>
              </from>
              <to>
                <xdr:col>3</xdr:col>
                <xdr:colOff>152400</xdr:colOff>
                <xdr:row>674</xdr:row>
                <xdr:rowOff>123825</xdr:rowOff>
              </to>
            </anchor>
          </controlPr>
        </control>
      </mc:Choice>
    </mc:AlternateContent>
    <mc:AlternateContent xmlns:mc="http://schemas.openxmlformats.org/markup-compatibility/2006">
      <mc:Choice Requires="x14">
        <control shapeId="8329" r:id="rId438" name="Check Box 1161">
          <controlPr defaultSize="0" autoFill="0" autoLine="0" autoPict="0" macro="[0]!ProcessChkBoxes">
            <anchor moveWithCells="1">
              <from>
                <xdr:col>3</xdr:col>
                <xdr:colOff>228600</xdr:colOff>
                <xdr:row>674</xdr:row>
                <xdr:rowOff>9525</xdr:rowOff>
              </from>
              <to>
                <xdr:col>4</xdr:col>
                <xdr:colOff>123825</xdr:colOff>
                <xdr:row>674</xdr:row>
                <xdr:rowOff>114300</xdr:rowOff>
              </to>
            </anchor>
          </controlPr>
        </control>
      </mc:Choice>
    </mc:AlternateContent>
    <mc:AlternateContent xmlns:mc="http://schemas.openxmlformats.org/markup-compatibility/2006">
      <mc:Choice Requires="x14">
        <control shapeId="8330" r:id="rId439" name="Check Box 1162">
          <controlPr defaultSize="0" autoFill="0" autoLine="0" autoPict="0" macro="[0]!ProcessChkBoxes">
            <anchor moveWithCells="1">
              <from>
                <xdr:col>4</xdr:col>
                <xdr:colOff>238125</xdr:colOff>
                <xdr:row>674</xdr:row>
                <xdr:rowOff>0</xdr:rowOff>
              </from>
              <to>
                <xdr:col>5</xdr:col>
                <xdr:colOff>133350</xdr:colOff>
                <xdr:row>674</xdr:row>
                <xdr:rowOff>104775</xdr:rowOff>
              </to>
            </anchor>
          </controlPr>
        </control>
      </mc:Choice>
    </mc:AlternateContent>
    <mc:AlternateContent xmlns:mc="http://schemas.openxmlformats.org/markup-compatibility/2006">
      <mc:Choice Requires="x14">
        <control shapeId="8331" r:id="rId440" name="Check Box 1163">
          <controlPr defaultSize="0" autoFill="0" autoLine="0" autoPict="0" macro="[0]!ProcessChkBoxes">
            <anchor moveWithCells="1">
              <from>
                <xdr:col>3</xdr:col>
                <xdr:colOff>0</xdr:colOff>
                <xdr:row>675</xdr:row>
                <xdr:rowOff>19050</xdr:rowOff>
              </from>
              <to>
                <xdr:col>3</xdr:col>
                <xdr:colOff>152400</xdr:colOff>
                <xdr:row>675</xdr:row>
                <xdr:rowOff>123825</xdr:rowOff>
              </to>
            </anchor>
          </controlPr>
        </control>
      </mc:Choice>
    </mc:AlternateContent>
    <mc:AlternateContent xmlns:mc="http://schemas.openxmlformats.org/markup-compatibility/2006">
      <mc:Choice Requires="x14">
        <control shapeId="8332" r:id="rId441" name="Check Box 1164">
          <controlPr defaultSize="0" autoFill="0" autoLine="0" autoPict="0" macro="[0]!ProcessChkBoxes">
            <anchor moveWithCells="1">
              <from>
                <xdr:col>3</xdr:col>
                <xdr:colOff>228600</xdr:colOff>
                <xdr:row>675</xdr:row>
                <xdr:rowOff>9525</xdr:rowOff>
              </from>
              <to>
                <xdr:col>4</xdr:col>
                <xdr:colOff>123825</xdr:colOff>
                <xdr:row>675</xdr:row>
                <xdr:rowOff>114300</xdr:rowOff>
              </to>
            </anchor>
          </controlPr>
        </control>
      </mc:Choice>
    </mc:AlternateContent>
    <mc:AlternateContent xmlns:mc="http://schemas.openxmlformats.org/markup-compatibility/2006">
      <mc:Choice Requires="x14">
        <control shapeId="8333" r:id="rId442" name="Check Box 1165">
          <controlPr defaultSize="0" autoFill="0" autoLine="0" autoPict="0" macro="[0]!ProcessChkBoxes">
            <anchor moveWithCells="1">
              <from>
                <xdr:col>4</xdr:col>
                <xdr:colOff>238125</xdr:colOff>
                <xdr:row>675</xdr:row>
                <xdr:rowOff>0</xdr:rowOff>
              </from>
              <to>
                <xdr:col>5</xdr:col>
                <xdr:colOff>133350</xdr:colOff>
                <xdr:row>675</xdr:row>
                <xdr:rowOff>104775</xdr:rowOff>
              </to>
            </anchor>
          </controlPr>
        </control>
      </mc:Choice>
    </mc:AlternateContent>
    <mc:AlternateContent xmlns:mc="http://schemas.openxmlformats.org/markup-compatibility/2006">
      <mc:Choice Requires="x14">
        <control shapeId="8334" r:id="rId443" name="Check Box 1166">
          <controlPr defaultSize="0" autoFill="0" autoLine="0" autoPict="0" macro="[0]!ProcessChkBoxes">
            <anchor moveWithCells="1">
              <from>
                <xdr:col>3</xdr:col>
                <xdr:colOff>0</xdr:colOff>
                <xdr:row>684</xdr:row>
                <xdr:rowOff>19050</xdr:rowOff>
              </from>
              <to>
                <xdr:col>3</xdr:col>
                <xdr:colOff>152400</xdr:colOff>
                <xdr:row>684</xdr:row>
                <xdr:rowOff>123825</xdr:rowOff>
              </to>
            </anchor>
          </controlPr>
        </control>
      </mc:Choice>
    </mc:AlternateContent>
    <mc:AlternateContent xmlns:mc="http://schemas.openxmlformats.org/markup-compatibility/2006">
      <mc:Choice Requires="x14">
        <control shapeId="8335" r:id="rId444" name="Check Box 1167">
          <controlPr defaultSize="0" autoFill="0" autoLine="0" autoPict="0" macro="[0]!ProcessChkBoxes">
            <anchor moveWithCells="1">
              <from>
                <xdr:col>3</xdr:col>
                <xdr:colOff>228600</xdr:colOff>
                <xdr:row>684</xdr:row>
                <xdr:rowOff>9525</xdr:rowOff>
              </from>
              <to>
                <xdr:col>4</xdr:col>
                <xdr:colOff>123825</xdr:colOff>
                <xdr:row>684</xdr:row>
                <xdr:rowOff>114300</xdr:rowOff>
              </to>
            </anchor>
          </controlPr>
        </control>
      </mc:Choice>
    </mc:AlternateContent>
    <mc:AlternateContent xmlns:mc="http://schemas.openxmlformats.org/markup-compatibility/2006">
      <mc:Choice Requires="x14">
        <control shapeId="8336" r:id="rId445" name="Check Box 1168">
          <controlPr defaultSize="0" autoFill="0" autoLine="0" autoPict="0" macro="[0]!ProcessChkBoxes">
            <anchor moveWithCells="1">
              <from>
                <xdr:col>4</xdr:col>
                <xdr:colOff>238125</xdr:colOff>
                <xdr:row>684</xdr:row>
                <xdr:rowOff>0</xdr:rowOff>
              </from>
              <to>
                <xdr:col>5</xdr:col>
                <xdr:colOff>133350</xdr:colOff>
                <xdr:row>684</xdr:row>
                <xdr:rowOff>104775</xdr:rowOff>
              </to>
            </anchor>
          </controlPr>
        </control>
      </mc:Choice>
    </mc:AlternateContent>
    <mc:AlternateContent xmlns:mc="http://schemas.openxmlformats.org/markup-compatibility/2006">
      <mc:Choice Requires="x14">
        <control shapeId="8337" r:id="rId446" name="Check Box 1169">
          <controlPr defaultSize="0" autoFill="0" autoLine="0" autoPict="0" macro="[0]!ProcessChkBoxes">
            <anchor moveWithCells="1">
              <from>
                <xdr:col>3</xdr:col>
                <xdr:colOff>0</xdr:colOff>
                <xdr:row>685</xdr:row>
                <xdr:rowOff>19050</xdr:rowOff>
              </from>
              <to>
                <xdr:col>3</xdr:col>
                <xdr:colOff>152400</xdr:colOff>
                <xdr:row>685</xdr:row>
                <xdr:rowOff>123825</xdr:rowOff>
              </to>
            </anchor>
          </controlPr>
        </control>
      </mc:Choice>
    </mc:AlternateContent>
    <mc:AlternateContent xmlns:mc="http://schemas.openxmlformats.org/markup-compatibility/2006">
      <mc:Choice Requires="x14">
        <control shapeId="8338" r:id="rId447" name="Check Box 1170">
          <controlPr defaultSize="0" autoFill="0" autoLine="0" autoPict="0" macro="[0]!ProcessChkBoxes">
            <anchor moveWithCells="1">
              <from>
                <xdr:col>3</xdr:col>
                <xdr:colOff>228600</xdr:colOff>
                <xdr:row>685</xdr:row>
                <xdr:rowOff>9525</xdr:rowOff>
              </from>
              <to>
                <xdr:col>4</xdr:col>
                <xdr:colOff>123825</xdr:colOff>
                <xdr:row>685</xdr:row>
                <xdr:rowOff>114300</xdr:rowOff>
              </to>
            </anchor>
          </controlPr>
        </control>
      </mc:Choice>
    </mc:AlternateContent>
    <mc:AlternateContent xmlns:mc="http://schemas.openxmlformats.org/markup-compatibility/2006">
      <mc:Choice Requires="x14">
        <control shapeId="8339" r:id="rId448" name="Check Box 1171">
          <controlPr defaultSize="0" autoFill="0" autoLine="0" autoPict="0" macro="[0]!ProcessChkBoxes">
            <anchor moveWithCells="1">
              <from>
                <xdr:col>4</xdr:col>
                <xdr:colOff>238125</xdr:colOff>
                <xdr:row>685</xdr:row>
                <xdr:rowOff>0</xdr:rowOff>
              </from>
              <to>
                <xdr:col>5</xdr:col>
                <xdr:colOff>133350</xdr:colOff>
                <xdr:row>685</xdr:row>
                <xdr:rowOff>104775</xdr:rowOff>
              </to>
            </anchor>
          </controlPr>
        </control>
      </mc:Choice>
    </mc:AlternateContent>
    <mc:AlternateContent xmlns:mc="http://schemas.openxmlformats.org/markup-compatibility/2006">
      <mc:Choice Requires="x14">
        <control shapeId="1049" r:id="rId449" name="Check Box 1172">
          <controlPr defaultSize="0" autoFill="0" autoLine="0" autoPict="0" macro="[0]!ProcessChkBoxes">
            <anchor moveWithCells="1">
              <from>
                <xdr:col>3</xdr:col>
                <xdr:colOff>0</xdr:colOff>
                <xdr:row>622</xdr:row>
                <xdr:rowOff>19050</xdr:rowOff>
              </from>
              <to>
                <xdr:col>3</xdr:col>
                <xdr:colOff>152400</xdr:colOff>
                <xdr:row>622</xdr:row>
                <xdr:rowOff>123825</xdr:rowOff>
              </to>
            </anchor>
          </controlPr>
        </control>
      </mc:Choice>
    </mc:AlternateContent>
    <mc:AlternateContent xmlns:mc="http://schemas.openxmlformats.org/markup-compatibility/2006">
      <mc:Choice Requires="x14">
        <control shapeId="1050" r:id="rId450" name="Check Box 1173">
          <controlPr defaultSize="0" autoFill="0" autoLine="0" autoPict="0" macro="[0]!ProcessChkBoxes">
            <anchor moveWithCells="1">
              <from>
                <xdr:col>3</xdr:col>
                <xdr:colOff>228600</xdr:colOff>
                <xdr:row>622</xdr:row>
                <xdr:rowOff>9525</xdr:rowOff>
              </from>
              <to>
                <xdr:col>4</xdr:col>
                <xdr:colOff>123825</xdr:colOff>
                <xdr:row>622</xdr:row>
                <xdr:rowOff>114300</xdr:rowOff>
              </to>
            </anchor>
          </controlPr>
        </control>
      </mc:Choice>
    </mc:AlternateContent>
    <mc:AlternateContent xmlns:mc="http://schemas.openxmlformats.org/markup-compatibility/2006">
      <mc:Choice Requires="x14">
        <control shapeId="8342" r:id="rId451" name="Check Box 1174">
          <controlPr defaultSize="0" autoFill="0" autoLine="0" autoPict="0" macro="[0]!ProcessChkBoxes">
            <anchor moveWithCells="1">
              <from>
                <xdr:col>4</xdr:col>
                <xdr:colOff>238125</xdr:colOff>
                <xdr:row>622</xdr:row>
                <xdr:rowOff>0</xdr:rowOff>
              </from>
              <to>
                <xdr:col>5</xdr:col>
                <xdr:colOff>133350</xdr:colOff>
                <xdr:row>622</xdr:row>
                <xdr:rowOff>104775</xdr:rowOff>
              </to>
            </anchor>
          </controlPr>
        </control>
      </mc:Choice>
    </mc:AlternateContent>
    <mc:AlternateContent xmlns:mc="http://schemas.openxmlformats.org/markup-compatibility/2006">
      <mc:Choice Requires="x14">
        <control shapeId="8343" r:id="rId452" name="Check Box 1175">
          <controlPr defaultSize="0" autoFill="0" autoLine="0" autoPict="0" macro="[0]!ProcessChkBoxes">
            <anchor moveWithCells="1">
              <from>
                <xdr:col>3</xdr:col>
                <xdr:colOff>0</xdr:colOff>
                <xdr:row>625</xdr:row>
                <xdr:rowOff>19050</xdr:rowOff>
              </from>
              <to>
                <xdr:col>3</xdr:col>
                <xdr:colOff>152400</xdr:colOff>
                <xdr:row>625</xdr:row>
                <xdr:rowOff>123825</xdr:rowOff>
              </to>
            </anchor>
          </controlPr>
        </control>
      </mc:Choice>
    </mc:AlternateContent>
    <mc:AlternateContent xmlns:mc="http://schemas.openxmlformats.org/markup-compatibility/2006">
      <mc:Choice Requires="x14">
        <control shapeId="8344" r:id="rId453" name="Check Box 1176">
          <controlPr defaultSize="0" autoFill="0" autoLine="0" autoPict="0" macro="[0]!ProcessChkBoxes">
            <anchor moveWithCells="1">
              <from>
                <xdr:col>3</xdr:col>
                <xdr:colOff>228600</xdr:colOff>
                <xdr:row>625</xdr:row>
                <xdr:rowOff>9525</xdr:rowOff>
              </from>
              <to>
                <xdr:col>4</xdr:col>
                <xdr:colOff>123825</xdr:colOff>
                <xdr:row>625</xdr:row>
                <xdr:rowOff>114300</xdr:rowOff>
              </to>
            </anchor>
          </controlPr>
        </control>
      </mc:Choice>
    </mc:AlternateContent>
    <mc:AlternateContent xmlns:mc="http://schemas.openxmlformats.org/markup-compatibility/2006">
      <mc:Choice Requires="x14">
        <control shapeId="8345" r:id="rId454" name="Check Box 1177">
          <controlPr defaultSize="0" autoFill="0" autoLine="0" autoPict="0" macro="[0]!ProcessChkBoxes">
            <anchor moveWithCells="1">
              <from>
                <xdr:col>4</xdr:col>
                <xdr:colOff>238125</xdr:colOff>
                <xdr:row>625</xdr:row>
                <xdr:rowOff>0</xdr:rowOff>
              </from>
              <to>
                <xdr:col>5</xdr:col>
                <xdr:colOff>133350</xdr:colOff>
                <xdr:row>625</xdr:row>
                <xdr:rowOff>104775</xdr:rowOff>
              </to>
            </anchor>
          </controlPr>
        </control>
      </mc:Choice>
    </mc:AlternateContent>
    <mc:AlternateContent xmlns:mc="http://schemas.openxmlformats.org/markup-compatibility/2006">
      <mc:Choice Requires="x14">
        <control shapeId="8346" r:id="rId455" name="Check Box 1178">
          <controlPr defaultSize="0" autoFill="0" autoLine="0" autoPict="0" macro="[0]!ProcessChkBoxes">
            <anchor moveWithCells="1">
              <from>
                <xdr:col>3</xdr:col>
                <xdr:colOff>0</xdr:colOff>
                <xdr:row>626</xdr:row>
                <xdr:rowOff>19050</xdr:rowOff>
              </from>
              <to>
                <xdr:col>3</xdr:col>
                <xdr:colOff>152400</xdr:colOff>
                <xdr:row>626</xdr:row>
                <xdr:rowOff>123825</xdr:rowOff>
              </to>
            </anchor>
          </controlPr>
        </control>
      </mc:Choice>
    </mc:AlternateContent>
    <mc:AlternateContent xmlns:mc="http://schemas.openxmlformats.org/markup-compatibility/2006">
      <mc:Choice Requires="x14">
        <control shapeId="8347" r:id="rId456" name="Check Box 1179">
          <controlPr defaultSize="0" autoFill="0" autoLine="0" autoPict="0" macro="[0]!ProcessChkBoxes">
            <anchor moveWithCells="1">
              <from>
                <xdr:col>3</xdr:col>
                <xdr:colOff>228600</xdr:colOff>
                <xdr:row>626</xdr:row>
                <xdr:rowOff>9525</xdr:rowOff>
              </from>
              <to>
                <xdr:col>4</xdr:col>
                <xdr:colOff>123825</xdr:colOff>
                <xdr:row>626</xdr:row>
                <xdr:rowOff>114300</xdr:rowOff>
              </to>
            </anchor>
          </controlPr>
        </control>
      </mc:Choice>
    </mc:AlternateContent>
    <mc:AlternateContent xmlns:mc="http://schemas.openxmlformats.org/markup-compatibility/2006">
      <mc:Choice Requires="x14">
        <control shapeId="8348" r:id="rId457" name="Check Box 1180">
          <controlPr defaultSize="0" autoFill="0" autoLine="0" autoPict="0" macro="[0]!ProcessChkBoxes">
            <anchor moveWithCells="1">
              <from>
                <xdr:col>4</xdr:col>
                <xdr:colOff>238125</xdr:colOff>
                <xdr:row>626</xdr:row>
                <xdr:rowOff>0</xdr:rowOff>
              </from>
              <to>
                <xdr:col>5</xdr:col>
                <xdr:colOff>133350</xdr:colOff>
                <xdr:row>626</xdr:row>
                <xdr:rowOff>104775</xdr:rowOff>
              </to>
            </anchor>
          </controlPr>
        </control>
      </mc:Choice>
    </mc:AlternateContent>
    <mc:AlternateContent xmlns:mc="http://schemas.openxmlformats.org/markup-compatibility/2006">
      <mc:Choice Requires="x14">
        <control shapeId="8349" r:id="rId458" name="Check Box 1181">
          <controlPr defaultSize="0" autoFill="0" autoLine="0" autoPict="0" macro="[0]!ProcessChkBoxes">
            <anchor moveWithCells="1">
              <from>
                <xdr:col>3</xdr:col>
                <xdr:colOff>0</xdr:colOff>
                <xdr:row>629</xdr:row>
                <xdr:rowOff>19050</xdr:rowOff>
              </from>
              <to>
                <xdr:col>3</xdr:col>
                <xdr:colOff>152400</xdr:colOff>
                <xdr:row>629</xdr:row>
                <xdr:rowOff>123825</xdr:rowOff>
              </to>
            </anchor>
          </controlPr>
        </control>
      </mc:Choice>
    </mc:AlternateContent>
    <mc:AlternateContent xmlns:mc="http://schemas.openxmlformats.org/markup-compatibility/2006">
      <mc:Choice Requires="x14">
        <control shapeId="8350" r:id="rId459" name="Check Box 1182">
          <controlPr defaultSize="0" autoFill="0" autoLine="0" autoPict="0" macro="[0]!ProcessChkBoxes">
            <anchor moveWithCells="1">
              <from>
                <xdr:col>3</xdr:col>
                <xdr:colOff>228600</xdr:colOff>
                <xdr:row>629</xdr:row>
                <xdr:rowOff>9525</xdr:rowOff>
              </from>
              <to>
                <xdr:col>4</xdr:col>
                <xdr:colOff>123825</xdr:colOff>
                <xdr:row>629</xdr:row>
                <xdr:rowOff>114300</xdr:rowOff>
              </to>
            </anchor>
          </controlPr>
        </control>
      </mc:Choice>
    </mc:AlternateContent>
    <mc:AlternateContent xmlns:mc="http://schemas.openxmlformats.org/markup-compatibility/2006">
      <mc:Choice Requires="x14">
        <control shapeId="1051" r:id="rId460" name="Check Box 1183">
          <controlPr defaultSize="0" autoFill="0" autoLine="0" autoPict="0" macro="[0]!ProcessChkBoxes">
            <anchor moveWithCells="1">
              <from>
                <xdr:col>4</xdr:col>
                <xdr:colOff>238125</xdr:colOff>
                <xdr:row>629</xdr:row>
                <xdr:rowOff>0</xdr:rowOff>
              </from>
              <to>
                <xdr:col>5</xdr:col>
                <xdr:colOff>133350</xdr:colOff>
                <xdr:row>629</xdr:row>
                <xdr:rowOff>104775</xdr:rowOff>
              </to>
            </anchor>
          </controlPr>
        </control>
      </mc:Choice>
    </mc:AlternateContent>
    <mc:AlternateContent xmlns:mc="http://schemas.openxmlformats.org/markup-compatibility/2006">
      <mc:Choice Requires="x14">
        <control shapeId="8352" r:id="rId461" name="Check Box 1184">
          <controlPr defaultSize="0" autoFill="0" autoLine="0" autoPict="0" macro="[0]!ProcessChkBoxes">
            <anchor moveWithCells="1">
              <from>
                <xdr:col>3</xdr:col>
                <xdr:colOff>0</xdr:colOff>
                <xdr:row>630</xdr:row>
                <xdr:rowOff>19050</xdr:rowOff>
              </from>
              <to>
                <xdr:col>3</xdr:col>
                <xdr:colOff>152400</xdr:colOff>
                <xdr:row>630</xdr:row>
                <xdr:rowOff>123825</xdr:rowOff>
              </to>
            </anchor>
          </controlPr>
        </control>
      </mc:Choice>
    </mc:AlternateContent>
    <mc:AlternateContent xmlns:mc="http://schemas.openxmlformats.org/markup-compatibility/2006">
      <mc:Choice Requires="x14">
        <control shapeId="8353" r:id="rId462" name="Check Box 1185">
          <controlPr defaultSize="0" autoFill="0" autoLine="0" autoPict="0" macro="[0]!ProcessChkBoxes">
            <anchor moveWithCells="1">
              <from>
                <xdr:col>3</xdr:col>
                <xdr:colOff>228600</xdr:colOff>
                <xdr:row>630</xdr:row>
                <xdr:rowOff>9525</xdr:rowOff>
              </from>
              <to>
                <xdr:col>4</xdr:col>
                <xdr:colOff>123825</xdr:colOff>
                <xdr:row>630</xdr:row>
                <xdr:rowOff>114300</xdr:rowOff>
              </to>
            </anchor>
          </controlPr>
        </control>
      </mc:Choice>
    </mc:AlternateContent>
    <mc:AlternateContent xmlns:mc="http://schemas.openxmlformats.org/markup-compatibility/2006">
      <mc:Choice Requires="x14">
        <control shapeId="8354" r:id="rId463" name="Check Box 1186">
          <controlPr defaultSize="0" autoFill="0" autoLine="0" autoPict="0" macro="[0]!ProcessChkBoxes">
            <anchor moveWithCells="1">
              <from>
                <xdr:col>4</xdr:col>
                <xdr:colOff>238125</xdr:colOff>
                <xdr:row>630</xdr:row>
                <xdr:rowOff>0</xdr:rowOff>
              </from>
              <to>
                <xdr:col>5</xdr:col>
                <xdr:colOff>133350</xdr:colOff>
                <xdr:row>630</xdr:row>
                <xdr:rowOff>104775</xdr:rowOff>
              </to>
            </anchor>
          </controlPr>
        </control>
      </mc:Choice>
    </mc:AlternateContent>
    <mc:AlternateContent xmlns:mc="http://schemas.openxmlformats.org/markup-compatibility/2006">
      <mc:Choice Requires="x14">
        <control shapeId="8355" r:id="rId464" name="Check Box 1187">
          <controlPr defaultSize="0" autoFill="0" autoLine="0" autoPict="0" macro="[0]!ProcessChkBoxes">
            <anchor moveWithCells="1">
              <from>
                <xdr:col>3</xdr:col>
                <xdr:colOff>0</xdr:colOff>
                <xdr:row>631</xdr:row>
                <xdr:rowOff>19050</xdr:rowOff>
              </from>
              <to>
                <xdr:col>3</xdr:col>
                <xdr:colOff>152400</xdr:colOff>
                <xdr:row>631</xdr:row>
                <xdr:rowOff>123825</xdr:rowOff>
              </to>
            </anchor>
          </controlPr>
        </control>
      </mc:Choice>
    </mc:AlternateContent>
    <mc:AlternateContent xmlns:mc="http://schemas.openxmlformats.org/markup-compatibility/2006">
      <mc:Choice Requires="x14">
        <control shapeId="8356" r:id="rId465" name="Check Box 1188">
          <controlPr defaultSize="0" autoFill="0" autoLine="0" autoPict="0" macro="[0]!ProcessChkBoxes">
            <anchor moveWithCells="1">
              <from>
                <xdr:col>3</xdr:col>
                <xdr:colOff>228600</xdr:colOff>
                <xdr:row>631</xdr:row>
                <xdr:rowOff>9525</xdr:rowOff>
              </from>
              <to>
                <xdr:col>4</xdr:col>
                <xdr:colOff>123825</xdr:colOff>
                <xdr:row>631</xdr:row>
                <xdr:rowOff>114300</xdr:rowOff>
              </to>
            </anchor>
          </controlPr>
        </control>
      </mc:Choice>
    </mc:AlternateContent>
    <mc:AlternateContent xmlns:mc="http://schemas.openxmlformats.org/markup-compatibility/2006">
      <mc:Choice Requires="x14">
        <control shapeId="8357" r:id="rId466" name="Check Box 1189">
          <controlPr defaultSize="0" autoFill="0" autoLine="0" autoPict="0" macro="[0]!ProcessChkBoxes">
            <anchor moveWithCells="1">
              <from>
                <xdr:col>4</xdr:col>
                <xdr:colOff>238125</xdr:colOff>
                <xdr:row>631</xdr:row>
                <xdr:rowOff>0</xdr:rowOff>
              </from>
              <to>
                <xdr:col>5</xdr:col>
                <xdr:colOff>133350</xdr:colOff>
                <xdr:row>631</xdr:row>
                <xdr:rowOff>104775</xdr:rowOff>
              </to>
            </anchor>
          </controlPr>
        </control>
      </mc:Choice>
    </mc:AlternateContent>
    <mc:AlternateContent xmlns:mc="http://schemas.openxmlformats.org/markup-compatibility/2006">
      <mc:Choice Requires="x14">
        <control shapeId="8358" r:id="rId467" name="Check Box 1190">
          <controlPr defaultSize="0" autoFill="0" autoLine="0" autoPict="0" macro="[0]!ProcessChkBoxes">
            <anchor moveWithCells="1">
              <from>
                <xdr:col>3</xdr:col>
                <xdr:colOff>0</xdr:colOff>
                <xdr:row>634</xdr:row>
                <xdr:rowOff>19050</xdr:rowOff>
              </from>
              <to>
                <xdr:col>3</xdr:col>
                <xdr:colOff>152400</xdr:colOff>
                <xdr:row>634</xdr:row>
                <xdr:rowOff>123825</xdr:rowOff>
              </to>
            </anchor>
          </controlPr>
        </control>
      </mc:Choice>
    </mc:AlternateContent>
    <mc:AlternateContent xmlns:mc="http://schemas.openxmlformats.org/markup-compatibility/2006">
      <mc:Choice Requires="x14">
        <control shapeId="8359" r:id="rId468" name="Check Box 1191">
          <controlPr defaultSize="0" autoFill="0" autoLine="0" autoPict="0" macro="[0]!ProcessChkBoxes">
            <anchor moveWithCells="1">
              <from>
                <xdr:col>3</xdr:col>
                <xdr:colOff>228600</xdr:colOff>
                <xdr:row>634</xdr:row>
                <xdr:rowOff>9525</xdr:rowOff>
              </from>
              <to>
                <xdr:col>4</xdr:col>
                <xdr:colOff>123825</xdr:colOff>
                <xdr:row>634</xdr:row>
                <xdr:rowOff>114300</xdr:rowOff>
              </to>
            </anchor>
          </controlPr>
        </control>
      </mc:Choice>
    </mc:AlternateContent>
    <mc:AlternateContent xmlns:mc="http://schemas.openxmlformats.org/markup-compatibility/2006">
      <mc:Choice Requires="x14">
        <control shapeId="8360" r:id="rId469" name="Check Box 1192">
          <controlPr defaultSize="0" autoFill="0" autoLine="0" autoPict="0" macro="[0]!ProcessChkBoxes">
            <anchor moveWithCells="1">
              <from>
                <xdr:col>4</xdr:col>
                <xdr:colOff>238125</xdr:colOff>
                <xdr:row>634</xdr:row>
                <xdr:rowOff>0</xdr:rowOff>
              </from>
              <to>
                <xdr:col>5</xdr:col>
                <xdr:colOff>133350</xdr:colOff>
                <xdr:row>634</xdr:row>
                <xdr:rowOff>104775</xdr:rowOff>
              </to>
            </anchor>
          </controlPr>
        </control>
      </mc:Choice>
    </mc:AlternateContent>
    <mc:AlternateContent xmlns:mc="http://schemas.openxmlformats.org/markup-compatibility/2006">
      <mc:Choice Requires="x14">
        <control shapeId="8364" r:id="rId470" name="Check Box 1196">
          <controlPr defaultSize="0" autoFill="0" autoLine="0" autoPict="0" macro="[0]!ProcessChkBoxes">
            <anchor moveWithCells="1">
              <from>
                <xdr:col>3</xdr:col>
                <xdr:colOff>9525</xdr:colOff>
                <xdr:row>637</xdr:row>
                <xdr:rowOff>47625</xdr:rowOff>
              </from>
              <to>
                <xdr:col>3</xdr:col>
                <xdr:colOff>161925</xdr:colOff>
                <xdr:row>637</xdr:row>
                <xdr:rowOff>152400</xdr:rowOff>
              </to>
            </anchor>
          </controlPr>
        </control>
      </mc:Choice>
    </mc:AlternateContent>
    <mc:AlternateContent xmlns:mc="http://schemas.openxmlformats.org/markup-compatibility/2006">
      <mc:Choice Requires="x14">
        <control shapeId="8365" r:id="rId471" name="Check Box 1197">
          <controlPr defaultSize="0" autoFill="0" autoLine="0" autoPict="0" macro="[0]!ProcessChkBoxes">
            <anchor moveWithCells="1">
              <from>
                <xdr:col>3</xdr:col>
                <xdr:colOff>238125</xdr:colOff>
                <xdr:row>637</xdr:row>
                <xdr:rowOff>38100</xdr:rowOff>
              </from>
              <to>
                <xdr:col>4</xdr:col>
                <xdr:colOff>133350</xdr:colOff>
                <xdr:row>637</xdr:row>
                <xdr:rowOff>142875</xdr:rowOff>
              </to>
            </anchor>
          </controlPr>
        </control>
      </mc:Choice>
    </mc:AlternateContent>
    <mc:AlternateContent xmlns:mc="http://schemas.openxmlformats.org/markup-compatibility/2006">
      <mc:Choice Requires="x14">
        <control shapeId="8366" r:id="rId472" name="Check Box 1198">
          <controlPr defaultSize="0" autoFill="0" autoLine="0" autoPict="0" macro="[0]!ProcessChkBoxes">
            <anchor moveWithCells="1">
              <from>
                <xdr:col>4</xdr:col>
                <xdr:colOff>247650</xdr:colOff>
                <xdr:row>637</xdr:row>
                <xdr:rowOff>28575</xdr:rowOff>
              </from>
              <to>
                <xdr:col>5</xdr:col>
                <xdr:colOff>142875</xdr:colOff>
                <xdr:row>637</xdr:row>
                <xdr:rowOff>133350</xdr:rowOff>
              </to>
            </anchor>
          </controlPr>
        </control>
      </mc:Choice>
    </mc:AlternateContent>
    <mc:AlternateContent xmlns:mc="http://schemas.openxmlformats.org/markup-compatibility/2006">
      <mc:Choice Requires="x14">
        <control shapeId="8367" r:id="rId473" name="Check Box 1199">
          <controlPr defaultSize="0" autoFill="0" autoLine="0" autoPict="0" macro="[0]!ProcessChkBoxes">
            <anchor moveWithCells="1">
              <from>
                <xdr:col>3</xdr:col>
                <xdr:colOff>0</xdr:colOff>
                <xdr:row>638</xdr:row>
                <xdr:rowOff>19050</xdr:rowOff>
              </from>
              <to>
                <xdr:col>3</xdr:col>
                <xdr:colOff>152400</xdr:colOff>
                <xdr:row>638</xdr:row>
                <xdr:rowOff>123825</xdr:rowOff>
              </to>
            </anchor>
          </controlPr>
        </control>
      </mc:Choice>
    </mc:AlternateContent>
    <mc:AlternateContent xmlns:mc="http://schemas.openxmlformats.org/markup-compatibility/2006">
      <mc:Choice Requires="x14">
        <control shapeId="8368" r:id="rId474" name="Check Box 1200">
          <controlPr defaultSize="0" autoFill="0" autoLine="0" autoPict="0" macro="[0]!ProcessChkBoxes">
            <anchor moveWithCells="1">
              <from>
                <xdr:col>3</xdr:col>
                <xdr:colOff>228600</xdr:colOff>
                <xdr:row>638</xdr:row>
                <xdr:rowOff>9525</xdr:rowOff>
              </from>
              <to>
                <xdr:col>4</xdr:col>
                <xdr:colOff>123825</xdr:colOff>
                <xdr:row>638</xdr:row>
                <xdr:rowOff>114300</xdr:rowOff>
              </to>
            </anchor>
          </controlPr>
        </control>
      </mc:Choice>
    </mc:AlternateContent>
    <mc:AlternateContent xmlns:mc="http://schemas.openxmlformats.org/markup-compatibility/2006">
      <mc:Choice Requires="x14">
        <control shapeId="8369" r:id="rId475" name="Check Box 1201">
          <controlPr defaultSize="0" autoFill="0" autoLine="0" autoPict="0" macro="[0]!ProcessChkBoxes">
            <anchor moveWithCells="1">
              <from>
                <xdr:col>4</xdr:col>
                <xdr:colOff>238125</xdr:colOff>
                <xdr:row>638</xdr:row>
                <xdr:rowOff>0</xdr:rowOff>
              </from>
              <to>
                <xdr:col>5</xdr:col>
                <xdr:colOff>133350</xdr:colOff>
                <xdr:row>638</xdr:row>
                <xdr:rowOff>104775</xdr:rowOff>
              </to>
            </anchor>
          </controlPr>
        </control>
      </mc:Choice>
    </mc:AlternateContent>
    <mc:AlternateContent xmlns:mc="http://schemas.openxmlformats.org/markup-compatibility/2006">
      <mc:Choice Requires="x14">
        <control shapeId="8370" r:id="rId476" name="Check Box 1202">
          <controlPr defaultSize="0" autoFill="0" autoLine="0" autoPict="0" macro="[0]!ProcessChkBoxes">
            <anchor moveWithCells="1">
              <from>
                <xdr:col>3</xdr:col>
                <xdr:colOff>0</xdr:colOff>
                <xdr:row>639</xdr:row>
                <xdr:rowOff>19050</xdr:rowOff>
              </from>
              <to>
                <xdr:col>3</xdr:col>
                <xdr:colOff>152400</xdr:colOff>
                <xdr:row>639</xdr:row>
                <xdr:rowOff>123825</xdr:rowOff>
              </to>
            </anchor>
          </controlPr>
        </control>
      </mc:Choice>
    </mc:AlternateContent>
    <mc:AlternateContent xmlns:mc="http://schemas.openxmlformats.org/markup-compatibility/2006">
      <mc:Choice Requires="x14">
        <control shapeId="8371" r:id="rId477" name="Check Box 1203">
          <controlPr defaultSize="0" autoFill="0" autoLine="0" autoPict="0" macro="[0]!ProcessChkBoxes">
            <anchor moveWithCells="1">
              <from>
                <xdr:col>3</xdr:col>
                <xdr:colOff>228600</xdr:colOff>
                <xdr:row>639</xdr:row>
                <xdr:rowOff>9525</xdr:rowOff>
              </from>
              <to>
                <xdr:col>4</xdr:col>
                <xdr:colOff>123825</xdr:colOff>
                <xdr:row>639</xdr:row>
                <xdr:rowOff>114300</xdr:rowOff>
              </to>
            </anchor>
          </controlPr>
        </control>
      </mc:Choice>
    </mc:AlternateContent>
    <mc:AlternateContent xmlns:mc="http://schemas.openxmlformats.org/markup-compatibility/2006">
      <mc:Choice Requires="x14">
        <control shapeId="8372" r:id="rId478" name="Check Box 1204">
          <controlPr defaultSize="0" autoFill="0" autoLine="0" autoPict="0" macro="[0]!ProcessChkBoxes">
            <anchor moveWithCells="1">
              <from>
                <xdr:col>4</xdr:col>
                <xdr:colOff>238125</xdr:colOff>
                <xdr:row>639</xdr:row>
                <xdr:rowOff>0</xdr:rowOff>
              </from>
              <to>
                <xdr:col>5</xdr:col>
                <xdr:colOff>133350</xdr:colOff>
                <xdr:row>639</xdr:row>
                <xdr:rowOff>104775</xdr:rowOff>
              </to>
            </anchor>
          </controlPr>
        </control>
      </mc:Choice>
    </mc:AlternateContent>
    <mc:AlternateContent xmlns:mc="http://schemas.openxmlformats.org/markup-compatibility/2006">
      <mc:Choice Requires="x14">
        <control shapeId="8376" r:id="rId479" name="Check Box 1208">
          <controlPr defaultSize="0" autoFill="0" autoLine="0" autoPict="0" macro="[0]!ProcessChkBoxes">
            <anchor moveWithCells="1">
              <from>
                <xdr:col>3</xdr:col>
                <xdr:colOff>0</xdr:colOff>
                <xdr:row>640</xdr:row>
                <xdr:rowOff>19050</xdr:rowOff>
              </from>
              <to>
                <xdr:col>3</xdr:col>
                <xdr:colOff>152400</xdr:colOff>
                <xdr:row>640</xdr:row>
                <xdr:rowOff>123825</xdr:rowOff>
              </to>
            </anchor>
          </controlPr>
        </control>
      </mc:Choice>
    </mc:AlternateContent>
    <mc:AlternateContent xmlns:mc="http://schemas.openxmlformats.org/markup-compatibility/2006">
      <mc:Choice Requires="x14">
        <control shapeId="8377" r:id="rId480" name="Check Box 1209">
          <controlPr defaultSize="0" autoFill="0" autoLine="0" autoPict="0" macro="[0]!ProcessChkBoxes">
            <anchor moveWithCells="1">
              <from>
                <xdr:col>3</xdr:col>
                <xdr:colOff>228600</xdr:colOff>
                <xdr:row>640</xdr:row>
                <xdr:rowOff>9525</xdr:rowOff>
              </from>
              <to>
                <xdr:col>4</xdr:col>
                <xdr:colOff>123825</xdr:colOff>
                <xdr:row>640</xdr:row>
                <xdr:rowOff>114300</xdr:rowOff>
              </to>
            </anchor>
          </controlPr>
        </control>
      </mc:Choice>
    </mc:AlternateContent>
    <mc:AlternateContent xmlns:mc="http://schemas.openxmlformats.org/markup-compatibility/2006">
      <mc:Choice Requires="x14">
        <control shapeId="8378" r:id="rId481" name="Check Box 1210">
          <controlPr defaultSize="0" autoFill="0" autoLine="0" autoPict="0" macro="[0]!ProcessChkBoxes">
            <anchor moveWithCells="1">
              <from>
                <xdr:col>4</xdr:col>
                <xdr:colOff>238125</xdr:colOff>
                <xdr:row>640</xdr:row>
                <xdr:rowOff>0</xdr:rowOff>
              </from>
              <to>
                <xdr:col>5</xdr:col>
                <xdr:colOff>133350</xdr:colOff>
                <xdr:row>640</xdr:row>
                <xdr:rowOff>104775</xdr:rowOff>
              </to>
            </anchor>
          </controlPr>
        </control>
      </mc:Choice>
    </mc:AlternateContent>
    <mc:AlternateContent xmlns:mc="http://schemas.openxmlformats.org/markup-compatibility/2006">
      <mc:Choice Requires="x14">
        <control shapeId="8382" r:id="rId482" name="Check Box 1214">
          <controlPr defaultSize="0" autoFill="0" autoLine="0" autoPict="0" macro="[0]!ProcessChkBoxes">
            <anchor moveWithCells="1">
              <from>
                <xdr:col>3</xdr:col>
                <xdr:colOff>0</xdr:colOff>
                <xdr:row>641</xdr:row>
                <xdr:rowOff>19050</xdr:rowOff>
              </from>
              <to>
                <xdr:col>3</xdr:col>
                <xdr:colOff>152400</xdr:colOff>
                <xdr:row>641</xdr:row>
                <xdr:rowOff>123825</xdr:rowOff>
              </to>
            </anchor>
          </controlPr>
        </control>
      </mc:Choice>
    </mc:AlternateContent>
    <mc:AlternateContent xmlns:mc="http://schemas.openxmlformats.org/markup-compatibility/2006">
      <mc:Choice Requires="x14">
        <control shapeId="8383" r:id="rId483" name="Check Box 1215">
          <controlPr defaultSize="0" autoFill="0" autoLine="0" autoPict="0" macro="[0]!ProcessChkBoxes">
            <anchor moveWithCells="1">
              <from>
                <xdr:col>3</xdr:col>
                <xdr:colOff>228600</xdr:colOff>
                <xdr:row>641</xdr:row>
                <xdr:rowOff>9525</xdr:rowOff>
              </from>
              <to>
                <xdr:col>4</xdr:col>
                <xdr:colOff>123825</xdr:colOff>
                <xdr:row>641</xdr:row>
                <xdr:rowOff>114300</xdr:rowOff>
              </to>
            </anchor>
          </controlPr>
        </control>
      </mc:Choice>
    </mc:AlternateContent>
    <mc:AlternateContent xmlns:mc="http://schemas.openxmlformats.org/markup-compatibility/2006">
      <mc:Choice Requires="x14">
        <control shapeId="8384" r:id="rId484" name="Check Box 1216">
          <controlPr defaultSize="0" autoFill="0" autoLine="0" autoPict="0" macro="[0]!ProcessChkBoxes">
            <anchor moveWithCells="1">
              <from>
                <xdr:col>4</xdr:col>
                <xdr:colOff>238125</xdr:colOff>
                <xdr:row>641</xdr:row>
                <xdr:rowOff>0</xdr:rowOff>
              </from>
              <to>
                <xdr:col>5</xdr:col>
                <xdr:colOff>133350</xdr:colOff>
                <xdr:row>641</xdr:row>
                <xdr:rowOff>104775</xdr:rowOff>
              </to>
            </anchor>
          </controlPr>
        </control>
      </mc:Choice>
    </mc:AlternateContent>
    <mc:AlternateContent xmlns:mc="http://schemas.openxmlformats.org/markup-compatibility/2006">
      <mc:Choice Requires="x14">
        <control shapeId="8385" r:id="rId485" name="Check Box 1217">
          <controlPr defaultSize="0" autoFill="0" autoLine="0" autoPict="0" macro="[0]!ProcessChkBoxes">
            <anchor moveWithCells="1">
              <from>
                <xdr:col>3</xdr:col>
                <xdr:colOff>0</xdr:colOff>
                <xdr:row>642</xdr:row>
                <xdr:rowOff>19050</xdr:rowOff>
              </from>
              <to>
                <xdr:col>3</xdr:col>
                <xdr:colOff>152400</xdr:colOff>
                <xdr:row>642</xdr:row>
                <xdr:rowOff>123825</xdr:rowOff>
              </to>
            </anchor>
          </controlPr>
        </control>
      </mc:Choice>
    </mc:AlternateContent>
    <mc:AlternateContent xmlns:mc="http://schemas.openxmlformats.org/markup-compatibility/2006">
      <mc:Choice Requires="x14">
        <control shapeId="8386" r:id="rId486" name="Check Box 1218">
          <controlPr defaultSize="0" autoFill="0" autoLine="0" autoPict="0" macro="[0]!ProcessChkBoxes">
            <anchor moveWithCells="1">
              <from>
                <xdr:col>3</xdr:col>
                <xdr:colOff>228600</xdr:colOff>
                <xdr:row>642</xdr:row>
                <xdr:rowOff>9525</xdr:rowOff>
              </from>
              <to>
                <xdr:col>4</xdr:col>
                <xdr:colOff>123825</xdr:colOff>
                <xdr:row>642</xdr:row>
                <xdr:rowOff>114300</xdr:rowOff>
              </to>
            </anchor>
          </controlPr>
        </control>
      </mc:Choice>
    </mc:AlternateContent>
    <mc:AlternateContent xmlns:mc="http://schemas.openxmlformats.org/markup-compatibility/2006">
      <mc:Choice Requires="x14">
        <control shapeId="8387" r:id="rId487" name="Check Box 1219">
          <controlPr defaultSize="0" autoFill="0" autoLine="0" autoPict="0" macro="[0]!ProcessChkBoxes">
            <anchor moveWithCells="1">
              <from>
                <xdr:col>4</xdr:col>
                <xdr:colOff>238125</xdr:colOff>
                <xdr:row>642</xdr:row>
                <xdr:rowOff>0</xdr:rowOff>
              </from>
              <to>
                <xdr:col>5</xdr:col>
                <xdr:colOff>133350</xdr:colOff>
                <xdr:row>642</xdr:row>
                <xdr:rowOff>104775</xdr:rowOff>
              </to>
            </anchor>
          </controlPr>
        </control>
      </mc:Choice>
    </mc:AlternateContent>
    <mc:AlternateContent xmlns:mc="http://schemas.openxmlformats.org/markup-compatibility/2006">
      <mc:Choice Requires="x14">
        <control shapeId="8388" r:id="rId488" name="Check Box 1220">
          <controlPr defaultSize="0" autoFill="0" autoLine="0" autoPict="0" macro="[0]!ProcessChkBoxes">
            <anchor moveWithCells="1">
              <from>
                <xdr:col>3</xdr:col>
                <xdr:colOff>0</xdr:colOff>
                <xdr:row>644</xdr:row>
                <xdr:rowOff>19050</xdr:rowOff>
              </from>
              <to>
                <xdr:col>3</xdr:col>
                <xdr:colOff>152400</xdr:colOff>
                <xdr:row>644</xdr:row>
                <xdr:rowOff>123825</xdr:rowOff>
              </to>
            </anchor>
          </controlPr>
        </control>
      </mc:Choice>
    </mc:AlternateContent>
    <mc:AlternateContent xmlns:mc="http://schemas.openxmlformats.org/markup-compatibility/2006">
      <mc:Choice Requires="x14">
        <control shapeId="8389" r:id="rId489" name="Check Box 1221">
          <controlPr defaultSize="0" autoFill="0" autoLine="0" autoPict="0" macro="[0]!ProcessChkBoxes">
            <anchor moveWithCells="1">
              <from>
                <xdr:col>3</xdr:col>
                <xdr:colOff>228600</xdr:colOff>
                <xdr:row>644</xdr:row>
                <xdr:rowOff>9525</xdr:rowOff>
              </from>
              <to>
                <xdr:col>4</xdr:col>
                <xdr:colOff>123825</xdr:colOff>
                <xdr:row>644</xdr:row>
                <xdr:rowOff>114300</xdr:rowOff>
              </to>
            </anchor>
          </controlPr>
        </control>
      </mc:Choice>
    </mc:AlternateContent>
    <mc:AlternateContent xmlns:mc="http://schemas.openxmlformats.org/markup-compatibility/2006">
      <mc:Choice Requires="x14">
        <control shapeId="8390" r:id="rId490" name="Check Box 1222">
          <controlPr defaultSize="0" autoFill="0" autoLine="0" autoPict="0" macro="[0]!ProcessChkBoxes">
            <anchor moveWithCells="1">
              <from>
                <xdr:col>4</xdr:col>
                <xdr:colOff>238125</xdr:colOff>
                <xdr:row>644</xdr:row>
                <xdr:rowOff>0</xdr:rowOff>
              </from>
              <to>
                <xdr:col>5</xdr:col>
                <xdr:colOff>133350</xdr:colOff>
                <xdr:row>644</xdr:row>
                <xdr:rowOff>104775</xdr:rowOff>
              </to>
            </anchor>
          </controlPr>
        </control>
      </mc:Choice>
    </mc:AlternateContent>
    <mc:AlternateContent xmlns:mc="http://schemas.openxmlformats.org/markup-compatibility/2006">
      <mc:Choice Requires="x14">
        <control shapeId="8391" r:id="rId491" name="Check Box 1223">
          <controlPr defaultSize="0" autoFill="0" autoLine="0" autoPict="0" macro="[0]!ProcessChkBoxes">
            <anchor moveWithCells="1">
              <from>
                <xdr:col>3</xdr:col>
                <xdr:colOff>0</xdr:colOff>
                <xdr:row>645</xdr:row>
                <xdr:rowOff>19050</xdr:rowOff>
              </from>
              <to>
                <xdr:col>3</xdr:col>
                <xdr:colOff>152400</xdr:colOff>
                <xdr:row>645</xdr:row>
                <xdr:rowOff>123825</xdr:rowOff>
              </to>
            </anchor>
          </controlPr>
        </control>
      </mc:Choice>
    </mc:AlternateContent>
    <mc:AlternateContent xmlns:mc="http://schemas.openxmlformats.org/markup-compatibility/2006">
      <mc:Choice Requires="x14">
        <control shapeId="8392" r:id="rId492" name="Check Box 1224">
          <controlPr defaultSize="0" autoFill="0" autoLine="0" autoPict="0" macro="[0]!ProcessChkBoxes">
            <anchor moveWithCells="1">
              <from>
                <xdr:col>3</xdr:col>
                <xdr:colOff>228600</xdr:colOff>
                <xdr:row>645</xdr:row>
                <xdr:rowOff>9525</xdr:rowOff>
              </from>
              <to>
                <xdr:col>4</xdr:col>
                <xdr:colOff>123825</xdr:colOff>
                <xdr:row>645</xdr:row>
                <xdr:rowOff>114300</xdr:rowOff>
              </to>
            </anchor>
          </controlPr>
        </control>
      </mc:Choice>
    </mc:AlternateContent>
    <mc:AlternateContent xmlns:mc="http://schemas.openxmlformats.org/markup-compatibility/2006">
      <mc:Choice Requires="x14">
        <control shapeId="8393" r:id="rId493" name="Check Box 1225">
          <controlPr defaultSize="0" autoFill="0" autoLine="0" autoPict="0" macro="[0]!ProcessChkBoxes">
            <anchor moveWithCells="1">
              <from>
                <xdr:col>4</xdr:col>
                <xdr:colOff>238125</xdr:colOff>
                <xdr:row>645</xdr:row>
                <xdr:rowOff>0</xdr:rowOff>
              </from>
              <to>
                <xdr:col>5</xdr:col>
                <xdr:colOff>133350</xdr:colOff>
                <xdr:row>645</xdr:row>
                <xdr:rowOff>104775</xdr:rowOff>
              </to>
            </anchor>
          </controlPr>
        </control>
      </mc:Choice>
    </mc:AlternateContent>
    <mc:AlternateContent xmlns:mc="http://schemas.openxmlformats.org/markup-compatibility/2006">
      <mc:Choice Requires="x14">
        <control shapeId="8394" r:id="rId494" name="Check Box 1226">
          <controlPr defaultSize="0" autoFill="0" autoLine="0" autoPict="0" macro="[0]!ProcessChkBoxes">
            <anchor moveWithCells="1">
              <from>
                <xdr:col>3</xdr:col>
                <xdr:colOff>0</xdr:colOff>
                <xdr:row>598</xdr:row>
                <xdr:rowOff>19050</xdr:rowOff>
              </from>
              <to>
                <xdr:col>3</xdr:col>
                <xdr:colOff>152400</xdr:colOff>
                <xdr:row>598</xdr:row>
                <xdr:rowOff>123825</xdr:rowOff>
              </to>
            </anchor>
          </controlPr>
        </control>
      </mc:Choice>
    </mc:AlternateContent>
    <mc:AlternateContent xmlns:mc="http://schemas.openxmlformats.org/markup-compatibility/2006">
      <mc:Choice Requires="x14">
        <control shapeId="8395" r:id="rId495" name="Check Box 1227">
          <controlPr defaultSize="0" autoFill="0" autoLine="0" autoPict="0" macro="[0]!ProcessChkBoxes">
            <anchor moveWithCells="1">
              <from>
                <xdr:col>3</xdr:col>
                <xdr:colOff>228600</xdr:colOff>
                <xdr:row>598</xdr:row>
                <xdr:rowOff>9525</xdr:rowOff>
              </from>
              <to>
                <xdr:col>4</xdr:col>
                <xdr:colOff>123825</xdr:colOff>
                <xdr:row>598</xdr:row>
                <xdr:rowOff>114300</xdr:rowOff>
              </to>
            </anchor>
          </controlPr>
        </control>
      </mc:Choice>
    </mc:AlternateContent>
    <mc:AlternateContent xmlns:mc="http://schemas.openxmlformats.org/markup-compatibility/2006">
      <mc:Choice Requires="x14">
        <control shapeId="8396" r:id="rId496" name="Check Box 1228">
          <controlPr defaultSize="0" autoFill="0" autoLine="0" autoPict="0" macro="[0]!ProcessChkBoxes">
            <anchor moveWithCells="1">
              <from>
                <xdr:col>4</xdr:col>
                <xdr:colOff>238125</xdr:colOff>
                <xdr:row>598</xdr:row>
                <xdr:rowOff>0</xdr:rowOff>
              </from>
              <to>
                <xdr:col>5</xdr:col>
                <xdr:colOff>133350</xdr:colOff>
                <xdr:row>598</xdr:row>
                <xdr:rowOff>104775</xdr:rowOff>
              </to>
            </anchor>
          </controlPr>
        </control>
      </mc:Choice>
    </mc:AlternateContent>
    <mc:AlternateContent xmlns:mc="http://schemas.openxmlformats.org/markup-compatibility/2006">
      <mc:Choice Requires="x14">
        <control shapeId="8397" r:id="rId497" name="Check Box 1229">
          <controlPr defaultSize="0" autoFill="0" autoLine="0" autoPict="0" macro="[0]!ProcessChkBoxes">
            <anchor moveWithCells="1">
              <from>
                <xdr:col>3</xdr:col>
                <xdr:colOff>0</xdr:colOff>
                <xdr:row>595</xdr:row>
                <xdr:rowOff>19050</xdr:rowOff>
              </from>
              <to>
                <xdr:col>3</xdr:col>
                <xdr:colOff>152400</xdr:colOff>
                <xdr:row>595</xdr:row>
                <xdr:rowOff>123825</xdr:rowOff>
              </to>
            </anchor>
          </controlPr>
        </control>
      </mc:Choice>
    </mc:AlternateContent>
    <mc:AlternateContent xmlns:mc="http://schemas.openxmlformats.org/markup-compatibility/2006">
      <mc:Choice Requires="x14">
        <control shapeId="8398" r:id="rId498" name="Check Box 1230">
          <controlPr defaultSize="0" autoFill="0" autoLine="0" autoPict="0" macro="[0]!ProcessChkBoxes">
            <anchor moveWithCells="1">
              <from>
                <xdr:col>3</xdr:col>
                <xdr:colOff>228600</xdr:colOff>
                <xdr:row>595</xdr:row>
                <xdr:rowOff>9525</xdr:rowOff>
              </from>
              <to>
                <xdr:col>4</xdr:col>
                <xdr:colOff>123825</xdr:colOff>
                <xdr:row>595</xdr:row>
                <xdr:rowOff>114300</xdr:rowOff>
              </to>
            </anchor>
          </controlPr>
        </control>
      </mc:Choice>
    </mc:AlternateContent>
    <mc:AlternateContent xmlns:mc="http://schemas.openxmlformats.org/markup-compatibility/2006">
      <mc:Choice Requires="x14">
        <control shapeId="8399" r:id="rId499" name="Check Box 1231">
          <controlPr defaultSize="0" autoFill="0" autoLine="0" autoPict="0" macro="[0]!ProcessChkBoxes">
            <anchor moveWithCells="1">
              <from>
                <xdr:col>4</xdr:col>
                <xdr:colOff>238125</xdr:colOff>
                <xdr:row>595</xdr:row>
                <xdr:rowOff>0</xdr:rowOff>
              </from>
              <to>
                <xdr:col>5</xdr:col>
                <xdr:colOff>133350</xdr:colOff>
                <xdr:row>595</xdr:row>
                <xdr:rowOff>104775</xdr:rowOff>
              </to>
            </anchor>
          </controlPr>
        </control>
      </mc:Choice>
    </mc:AlternateContent>
    <mc:AlternateContent xmlns:mc="http://schemas.openxmlformats.org/markup-compatibility/2006">
      <mc:Choice Requires="x14">
        <control shapeId="8400" r:id="rId500" name="Check Box 1232">
          <controlPr defaultSize="0" autoFill="0" autoLine="0" autoPict="0" macro="[0]!ProcessChkBoxes">
            <anchor moveWithCells="1">
              <from>
                <xdr:col>3</xdr:col>
                <xdr:colOff>0</xdr:colOff>
                <xdr:row>593</xdr:row>
                <xdr:rowOff>76200</xdr:rowOff>
              </from>
              <to>
                <xdr:col>3</xdr:col>
                <xdr:colOff>152400</xdr:colOff>
                <xdr:row>594</xdr:row>
                <xdr:rowOff>19050</xdr:rowOff>
              </to>
            </anchor>
          </controlPr>
        </control>
      </mc:Choice>
    </mc:AlternateContent>
    <mc:AlternateContent xmlns:mc="http://schemas.openxmlformats.org/markup-compatibility/2006">
      <mc:Choice Requires="x14">
        <control shapeId="8401" r:id="rId501" name="Check Box 1233">
          <controlPr defaultSize="0" autoFill="0" autoLine="0" autoPict="0" macro="[0]!ProcessChkBoxes">
            <anchor moveWithCells="1">
              <from>
                <xdr:col>3</xdr:col>
                <xdr:colOff>228600</xdr:colOff>
                <xdr:row>593</xdr:row>
                <xdr:rowOff>66675</xdr:rowOff>
              </from>
              <to>
                <xdr:col>4</xdr:col>
                <xdr:colOff>123825</xdr:colOff>
                <xdr:row>594</xdr:row>
                <xdr:rowOff>9525</xdr:rowOff>
              </to>
            </anchor>
          </controlPr>
        </control>
      </mc:Choice>
    </mc:AlternateContent>
    <mc:AlternateContent xmlns:mc="http://schemas.openxmlformats.org/markup-compatibility/2006">
      <mc:Choice Requires="x14">
        <control shapeId="8402" r:id="rId502" name="Check Box 1234">
          <controlPr defaultSize="0" autoFill="0" autoLine="0" autoPict="0" macro="[0]!ProcessChkBoxes">
            <anchor moveWithCells="1">
              <from>
                <xdr:col>4</xdr:col>
                <xdr:colOff>238125</xdr:colOff>
                <xdr:row>593</xdr:row>
                <xdr:rowOff>57150</xdr:rowOff>
              </from>
              <to>
                <xdr:col>5</xdr:col>
                <xdr:colOff>133350</xdr:colOff>
                <xdr:row>594</xdr:row>
                <xdr:rowOff>0</xdr:rowOff>
              </to>
            </anchor>
          </controlPr>
        </control>
      </mc:Choice>
    </mc:AlternateContent>
    <mc:AlternateContent xmlns:mc="http://schemas.openxmlformats.org/markup-compatibility/2006">
      <mc:Choice Requires="x14">
        <control shapeId="8403" r:id="rId503" name="Check Box 1235">
          <controlPr defaultSize="0" autoFill="0" autoLine="0" autoPict="0" macro="[0]!ProcessChkBoxes">
            <anchor moveWithCells="1">
              <from>
                <xdr:col>3</xdr:col>
                <xdr:colOff>0</xdr:colOff>
                <xdr:row>591</xdr:row>
                <xdr:rowOff>19050</xdr:rowOff>
              </from>
              <to>
                <xdr:col>3</xdr:col>
                <xdr:colOff>152400</xdr:colOff>
                <xdr:row>591</xdr:row>
                <xdr:rowOff>123825</xdr:rowOff>
              </to>
            </anchor>
          </controlPr>
        </control>
      </mc:Choice>
    </mc:AlternateContent>
    <mc:AlternateContent xmlns:mc="http://schemas.openxmlformats.org/markup-compatibility/2006">
      <mc:Choice Requires="x14">
        <control shapeId="8404" r:id="rId504" name="Check Box 1236">
          <controlPr defaultSize="0" autoFill="0" autoLine="0" autoPict="0" macro="[0]!ProcessChkBoxes">
            <anchor moveWithCells="1">
              <from>
                <xdr:col>3</xdr:col>
                <xdr:colOff>228600</xdr:colOff>
                <xdr:row>591</xdr:row>
                <xdr:rowOff>9525</xdr:rowOff>
              </from>
              <to>
                <xdr:col>4</xdr:col>
                <xdr:colOff>123825</xdr:colOff>
                <xdr:row>591</xdr:row>
                <xdr:rowOff>114300</xdr:rowOff>
              </to>
            </anchor>
          </controlPr>
        </control>
      </mc:Choice>
    </mc:AlternateContent>
    <mc:AlternateContent xmlns:mc="http://schemas.openxmlformats.org/markup-compatibility/2006">
      <mc:Choice Requires="x14">
        <control shapeId="8405" r:id="rId505" name="Check Box 1237">
          <controlPr defaultSize="0" autoFill="0" autoLine="0" autoPict="0" macro="[0]!ProcessChkBoxes">
            <anchor moveWithCells="1">
              <from>
                <xdr:col>4</xdr:col>
                <xdr:colOff>238125</xdr:colOff>
                <xdr:row>591</xdr:row>
                <xdr:rowOff>0</xdr:rowOff>
              </from>
              <to>
                <xdr:col>5</xdr:col>
                <xdr:colOff>133350</xdr:colOff>
                <xdr:row>591</xdr:row>
                <xdr:rowOff>104775</xdr:rowOff>
              </to>
            </anchor>
          </controlPr>
        </control>
      </mc:Choice>
    </mc:AlternateContent>
    <mc:AlternateContent xmlns:mc="http://schemas.openxmlformats.org/markup-compatibility/2006">
      <mc:Choice Requires="x14">
        <control shapeId="8406" r:id="rId506" name="Check Box 1238">
          <controlPr defaultSize="0" autoFill="0" autoLine="0" autoPict="0" macro="[0]!ProcessChkBoxes">
            <anchor moveWithCells="1">
              <from>
                <xdr:col>3</xdr:col>
                <xdr:colOff>0</xdr:colOff>
                <xdr:row>592</xdr:row>
                <xdr:rowOff>19050</xdr:rowOff>
              </from>
              <to>
                <xdr:col>3</xdr:col>
                <xdr:colOff>152400</xdr:colOff>
                <xdr:row>592</xdr:row>
                <xdr:rowOff>123825</xdr:rowOff>
              </to>
            </anchor>
          </controlPr>
        </control>
      </mc:Choice>
    </mc:AlternateContent>
    <mc:AlternateContent xmlns:mc="http://schemas.openxmlformats.org/markup-compatibility/2006">
      <mc:Choice Requires="x14">
        <control shapeId="8407" r:id="rId507" name="Check Box 1239">
          <controlPr defaultSize="0" autoFill="0" autoLine="0" autoPict="0" macro="[0]!ProcessChkBoxes">
            <anchor moveWithCells="1">
              <from>
                <xdr:col>3</xdr:col>
                <xdr:colOff>228600</xdr:colOff>
                <xdr:row>592</xdr:row>
                <xdr:rowOff>9525</xdr:rowOff>
              </from>
              <to>
                <xdr:col>4</xdr:col>
                <xdr:colOff>123825</xdr:colOff>
                <xdr:row>592</xdr:row>
                <xdr:rowOff>114300</xdr:rowOff>
              </to>
            </anchor>
          </controlPr>
        </control>
      </mc:Choice>
    </mc:AlternateContent>
    <mc:AlternateContent xmlns:mc="http://schemas.openxmlformats.org/markup-compatibility/2006">
      <mc:Choice Requires="x14">
        <control shapeId="8408" r:id="rId508" name="Check Box 1240">
          <controlPr defaultSize="0" autoFill="0" autoLine="0" autoPict="0" macro="[0]!ProcessChkBoxes">
            <anchor moveWithCells="1">
              <from>
                <xdr:col>4</xdr:col>
                <xdr:colOff>238125</xdr:colOff>
                <xdr:row>592</xdr:row>
                <xdr:rowOff>0</xdr:rowOff>
              </from>
              <to>
                <xdr:col>5</xdr:col>
                <xdr:colOff>133350</xdr:colOff>
                <xdr:row>592</xdr:row>
                <xdr:rowOff>104775</xdr:rowOff>
              </to>
            </anchor>
          </controlPr>
        </control>
      </mc:Choice>
    </mc:AlternateContent>
    <mc:AlternateContent xmlns:mc="http://schemas.openxmlformats.org/markup-compatibility/2006">
      <mc:Choice Requires="x14">
        <control shapeId="8409" r:id="rId509" name="Check Box 1241">
          <controlPr defaultSize="0" autoFill="0" autoLine="0" autoPict="0" macro="[0]!ProcessChkBoxes">
            <anchor moveWithCells="1">
              <from>
                <xdr:col>3</xdr:col>
                <xdr:colOff>0</xdr:colOff>
                <xdr:row>581</xdr:row>
                <xdr:rowOff>19050</xdr:rowOff>
              </from>
              <to>
                <xdr:col>3</xdr:col>
                <xdr:colOff>152400</xdr:colOff>
                <xdr:row>581</xdr:row>
                <xdr:rowOff>123825</xdr:rowOff>
              </to>
            </anchor>
          </controlPr>
        </control>
      </mc:Choice>
    </mc:AlternateContent>
    <mc:AlternateContent xmlns:mc="http://schemas.openxmlformats.org/markup-compatibility/2006">
      <mc:Choice Requires="x14">
        <control shapeId="8410" r:id="rId510" name="Check Box 1242">
          <controlPr defaultSize="0" autoFill="0" autoLine="0" autoPict="0" macro="[0]!ProcessChkBoxes">
            <anchor moveWithCells="1">
              <from>
                <xdr:col>3</xdr:col>
                <xdr:colOff>228600</xdr:colOff>
                <xdr:row>581</xdr:row>
                <xdr:rowOff>9525</xdr:rowOff>
              </from>
              <to>
                <xdr:col>4</xdr:col>
                <xdr:colOff>123825</xdr:colOff>
                <xdr:row>581</xdr:row>
                <xdr:rowOff>114300</xdr:rowOff>
              </to>
            </anchor>
          </controlPr>
        </control>
      </mc:Choice>
    </mc:AlternateContent>
    <mc:AlternateContent xmlns:mc="http://schemas.openxmlformats.org/markup-compatibility/2006">
      <mc:Choice Requires="x14">
        <control shapeId="8411" r:id="rId511" name="Check Box 1243">
          <controlPr defaultSize="0" autoFill="0" autoLine="0" autoPict="0" macro="[0]!ProcessChkBoxes">
            <anchor moveWithCells="1">
              <from>
                <xdr:col>4</xdr:col>
                <xdr:colOff>238125</xdr:colOff>
                <xdr:row>581</xdr:row>
                <xdr:rowOff>0</xdr:rowOff>
              </from>
              <to>
                <xdr:col>5</xdr:col>
                <xdr:colOff>133350</xdr:colOff>
                <xdr:row>581</xdr:row>
                <xdr:rowOff>104775</xdr:rowOff>
              </to>
            </anchor>
          </controlPr>
        </control>
      </mc:Choice>
    </mc:AlternateContent>
    <mc:AlternateContent xmlns:mc="http://schemas.openxmlformats.org/markup-compatibility/2006">
      <mc:Choice Requires="x14">
        <control shapeId="8412" r:id="rId512" name="Check Box 1244">
          <controlPr defaultSize="0" autoFill="0" autoLine="0" autoPict="0" macro="[0]!ProcessChkBoxes">
            <anchor moveWithCells="1">
              <from>
                <xdr:col>3</xdr:col>
                <xdr:colOff>0</xdr:colOff>
                <xdr:row>582</xdr:row>
                <xdr:rowOff>19050</xdr:rowOff>
              </from>
              <to>
                <xdr:col>3</xdr:col>
                <xdr:colOff>152400</xdr:colOff>
                <xdr:row>582</xdr:row>
                <xdr:rowOff>123825</xdr:rowOff>
              </to>
            </anchor>
          </controlPr>
        </control>
      </mc:Choice>
    </mc:AlternateContent>
    <mc:AlternateContent xmlns:mc="http://schemas.openxmlformats.org/markup-compatibility/2006">
      <mc:Choice Requires="x14">
        <control shapeId="8413" r:id="rId513" name="Check Box 1245">
          <controlPr defaultSize="0" autoFill="0" autoLine="0" autoPict="0" macro="[0]!ProcessChkBoxes">
            <anchor moveWithCells="1">
              <from>
                <xdr:col>3</xdr:col>
                <xdr:colOff>228600</xdr:colOff>
                <xdr:row>582</xdr:row>
                <xdr:rowOff>9525</xdr:rowOff>
              </from>
              <to>
                <xdr:col>4</xdr:col>
                <xdr:colOff>123825</xdr:colOff>
                <xdr:row>582</xdr:row>
                <xdr:rowOff>114300</xdr:rowOff>
              </to>
            </anchor>
          </controlPr>
        </control>
      </mc:Choice>
    </mc:AlternateContent>
    <mc:AlternateContent xmlns:mc="http://schemas.openxmlformats.org/markup-compatibility/2006">
      <mc:Choice Requires="x14">
        <control shapeId="8414" r:id="rId514" name="Check Box 1246">
          <controlPr defaultSize="0" autoFill="0" autoLine="0" autoPict="0" macro="[0]!ProcessChkBoxes">
            <anchor moveWithCells="1">
              <from>
                <xdr:col>4</xdr:col>
                <xdr:colOff>238125</xdr:colOff>
                <xdr:row>582</xdr:row>
                <xdr:rowOff>0</xdr:rowOff>
              </from>
              <to>
                <xdr:col>5</xdr:col>
                <xdr:colOff>133350</xdr:colOff>
                <xdr:row>582</xdr:row>
                <xdr:rowOff>104775</xdr:rowOff>
              </to>
            </anchor>
          </controlPr>
        </control>
      </mc:Choice>
    </mc:AlternateContent>
    <mc:AlternateContent xmlns:mc="http://schemas.openxmlformats.org/markup-compatibility/2006">
      <mc:Choice Requires="x14">
        <control shapeId="8415" r:id="rId515" name="Check Box 1247">
          <controlPr defaultSize="0" autoFill="0" autoLine="0" autoPict="0" macro="[0]!ProcessChkBoxes">
            <anchor moveWithCells="1">
              <from>
                <xdr:col>3</xdr:col>
                <xdr:colOff>0</xdr:colOff>
                <xdr:row>583</xdr:row>
                <xdr:rowOff>19050</xdr:rowOff>
              </from>
              <to>
                <xdr:col>3</xdr:col>
                <xdr:colOff>152400</xdr:colOff>
                <xdr:row>583</xdr:row>
                <xdr:rowOff>123825</xdr:rowOff>
              </to>
            </anchor>
          </controlPr>
        </control>
      </mc:Choice>
    </mc:AlternateContent>
    <mc:AlternateContent xmlns:mc="http://schemas.openxmlformats.org/markup-compatibility/2006">
      <mc:Choice Requires="x14">
        <control shapeId="8416" r:id="rId516" name="Check Box 1248">
          <controlPr defaultSize="0" autoFill="0" autoLine="0" autoPict="0" macro="[0]!ProcessChkBoxes">
            <anchor moveWithCells="1">
              <from>
                <xdr:col>3</xdr:col>
                <xdr:colOff>228600</xdr:colOff>
                <xdr:row>583</xdr:row>
                <xdr:rowOff>9525</xdr:rowOff>
              </from>
              <to>
                <xdr:col>4</xdr:col>
                <xdr:colOff>123825</xdr:colOff>
                <xdr:row>583</xdr:row>
                <xdr:rowOff>114300</xdr:rowOff>
              </to>
            </anchor>
          </controlPr>
        </control>
      </mc:Choice>
    </mc:AlternateContent>
    <mc:AlternateContent xmlns:mc="http://schemas.openxmlformats.org/markup-compatibility/2006">
      <mc:Choice Requires="x14">
        <control shapeId="8417" r:id="rId517" name="Check Box 1249">
          <controlPr defaultSize="0" autoFill="0" autoLine="0" autoPict="0" macro="[0]!ProcessChkBoxes">
            <anchor moveWithCells="1">
              <from>
                <xdr:col>4</xdr:col>
                <xdr:colOff>238125</xdr:colOff>
                <xdr:row>583</xdr:row>
                <xdr:rowOff>0</xdr:rowOff>
              </from>
              <to>
                <xdr:col>5</xdr:col>
                <xdr:colOff>133350</xdr:colOff>
                <xdr:row>583</xdr:row>
                <xdr:rowOff>104775</xdr:rowOff>
              </to>
            </anchor>
          </controlPr>
        </control>
      </mc:Choice>
    </mc:AlternateContent>
    <mc:AlternateContent xmlns:mc="http://schemas.openxmlformats.org/markup-compatibility/2006">
      <mc:Choice Requires="x14">
        <control shapeId="8418" r:id="rId518" name="Check Box 1250">
          <controlPr defaultSize="0" autoFill="0" autoLine="0" autoPict="0" macro="[0]!ProcessChkBoxes">
            <anchor moveWithCells="1">
              <from>
                <xdr:col>3</xdr:col>
                <xdr:colOff>0</xdr:colOff>
                <xdr:row>584</xdr:row>
                <xdr:rowOff>19050</xdr:rowOff>
              </from>
              <to>
                <xdr:col>3</xdr:col>
                <xdr:colOff>152400</xdr:colOff>
                <xdr:row>584</xdr:row>
                <xdr:rowOff>123825</xdr:rowOff>
              </to>
            </anchor>
          </controlPr>
        </control>
      </mc:Choice>
    </mc:AlternateContent>
    <mc:AlternateContent xmlns:mc="http://schemas.openxmlformats.org/markup-compatibility/2006">
      <mc:Choice Requires="x14">
        <control shapeId="8419" r:id="rId519" name="Check Box 1251">
          <controlPr defaultSize="0" autoFill="0" autoLine="0" autoPict="0" macro="[0]!ProcessChkBoxes">
            <anchor moveWithCells="1">
              <from>
                <xdr:col>3</xdr:col>
                <xdr:colOff>228600</xdr:colOff>
                <xdr:row>584</xdr:row>
                <xdr:rowOff>9525</xdr:rowOff>
              </from>
              <to>
                <xdr:col>4</xdr:col>
                <xdr:colOff>123825</xdr:colOff>
                <xdr:row>584</xdr:row>
                <xdr:rowOff>114300</xdr:rowOff>
              </to>
            </anchor>
          </controlPr>
        </control>
      </mc:Choice>
    </mc:AlternateContent>
    <mc:AlternateContent xmlns:mc="http://schemas.openxmlformats.org/markup-compatibility/2006">
      <mc:Choice Requires="x14">
        <control shapeId="8420" r:id="rId520" name="Check Box 1252">
          <controlPr defaultSize="0" autoFill="0" autoLine="0" autoPict="0" macro="[0]!ProcessChkBoxes">
            <anchor moveWithCells="1">
              <from>
                <xdr:col>4</xdr:col>
                <xdr:colOff>238125</xdr:colOff>
                <xdr:row>584</xdr:row>
                <xdr:rowOff>0</xdr:rowOff>
              </from>
              <to>
                <xdr:col>5</xdr:col>
                <xdr:colOff>133350</xdr:colOff>
                <xdr:row>584</xdr:row>
                <xdr:rowOff>104775</xdr:rowOff>
              </to>
            </anchor>
          </controlPr>
        </control>
      </mc:Choice>
    </mc:AlternateContent>
    <mc:AlternateContent xmlns:mc="http://schemas.openxmlformats.org/markup-compatibility/2006">
      <mc:Choice Requires="x14">
        <control shapeId="8421" r:id="rId521" name="Check Box 1253">
          <controlPr defaultSize="0" autoFill="0" autoLine="0" autoPict="0" macro="[0]!ProcessChkBoxes">
            <anchor moveWithCells="1">
              <from>
                <xdr:col>3</xdr:col>
                <xdr:colOff>0</xdr:colOff>
                <xdr:row>585</xdr:row>
                <xdr:rowOff>19050</xdr:rowOff>
              </from>
              <to>
                <xdr:col>3</xdr:col>
                <xdr:colOff>152400</xdr:colOff>
                <xdr:row>585</xdr:row>
                <xdr:rowOff>123825</xdr:rowOff>
              </to>
            </anchor>
          </controlPr>
        </control>
      </mc:Choice>
    </mc:AlternateContent>
    <mc:AlternateContent xmlns:mc="http://schemas.openxmlformats.org/markup-compatibility/2006">
      <mc:Choice Requires="x14">
        <control shapeId="8422" r:id="rId522" name="Check Box 1254">
          <controlPr defaultSize="0" autoFill="0" autoLine="0" autoPict="0" macro="[0]!ProcessChkBoxes">
            <anchor moveWithCells="1">
              <from>
                <xdr:col>3</xdr:col>
                <xdr:colOff>228600</xdr:colOff>
                <xdr:row>585</xdr:row>
                <xdr:rowOff>9525</xdr:rowOff>
              </from>
              <to>
                <xdr:col>4</xdr:col>
                <xdr:colOff>123825</xdr:colOff>
                <xdr:row>585</xdr:row>
                <xdr:rowOff>114300</xdr:rowOff>
              </to>
            </anchor>
          </controlPr>
        </control>
      </mc:Choice>
    </mc:AlternateContent>
    <mc:AlternateContent xmlns:mc="http://schemas.openxmlformats.org/markup-compatibility/2006">
      <mc:Choice Requires="x14">
        <control shapeId="8423" r:id="rId523" name="Check Box 1255">
          <controlPr defaultSize="0" autoFill="0" autoLine="0" autoPict="0" macro="[0]!ProcessChkBoxes">
            <anchor moveWithCells="1">
              <from>
                <xdr:col>4</xdr:col>
                <xdr:colOff>238125</xdr:colOff>
                <xdr:row>585</xdr:row>
                <xdr:rowOff>0</xdr:rowOff>
              </from>
              <to>
                <xdr:col>5</xdr:col>
                <xdr:colOff>133350</xdr:colOff>
                <xdr:row>585</xdr:row>
                <xdr:rowOff>104775</xdr:rowOff>
              </to>
            </anchor>
          </controlPr>
        </control>
      </mc:Choice>
    </mc:AlternateContent>
    <mc:AlternateContent xmlns:mc="http://schemas.openxmlformats.org/markup-compatibility/2006">
      <mc:Choice Requires="x14">
        <control shapeId="8424" r:id="rId524" name="Check Box 1256">
          <controlPr defaultSize="0" autoFill="0" autoLine="0" autoPict="0" macro="[0]!ProcessChkBoxes">
            <anchor moveWithCells="1">
              <from>
                <xdr:col>3</xdr:col>
                <xdr:colOff>0</xdr:colOff>
                <xdr:row>586</xdr:row>
                <xdr:rowOff>19050</xdr:rowOff>
              </from>
              <to>
                <xdr:col>3</xdr:col>
                <xdr:colOff>152400</xdr:colOff>
                <xdr:row>586</xdr:row>
                <xdr:rowOff>123825</xdr:rowOff>
              </to>
            </anchor>
          </controlPr>
        </control>
      </mc:Choice>
    </mc:AlternateContent>
    <mc:AlternateContent xmlns:mc="http://schemas.openxmlformats.org/markup-compatibility/2006">
      <mc:Choice Requires="x14">
        <control shapeId="8425" r:id="rId525" name="Check Box 1257">
          <controlPr defaultSize="0" autoFill="0" autoLine="0" autoPict="0" macro="[0]!ProcessChkBoxes">
            <anchor moveWithCells="1">
              <from>
                <xdr:col>3</xdr:col>
                <xdr:colOff>228600</xdr:colOff>
                <xdr:row>586</xdr:row>
                <xdr:rowOff>9525</xdr:rowOff>
              </from>
              <to>
                <xdr:col>4</xdr:col>
                <xdr:colOff>123825</xdr:colOff>
                <xdr:row>586</xdr:row>
                <xdr:rowOff>114300</xdr:rowOff>
              </to>
            </anchor>
          </controlPr>
        </control>
      </mc:Choice>
    </mc:AlternateContent>
    <mc:AlternateContent xmlns:mc="http://schemas.openxmlformats.org/markup-compatibility/2006">
      <mc:Choice Requires="x14">
        <control shapeId="8426" r:id="rId526" name="Check Box 1258">
          <controlPr defaultSize="0" autoFill="0" autoLine="0" autoPict="0" macro="[0]!ProcessChkBoxes">
            <anchor moveWithCells="1">
              <from>
                <xdr:col>4</xdr:col>
                <xdr:colOff>238125</xdr:colOff>
                <xdr:row>586</xdr:row>
                <xdr:rowOff>0</xdr:rowOff>
              </from>
              <to>
                <xdr:col>5</xdr:col>
                <xdr:colOff>133350</xdr:colOff>
                <xdr:row>586</xdr:row>
                <xdr:rowOff>104775</xdr:rowOff>
              </to>
            </anchor>
          </controlPr>
        </control>
      </mc:Choice>
    </mc:AlternateContent>
    <mc:AlternateContent xmlns:mc="http://schemas.openxmlformats.org/markup-compatibility/2006">
      <mc:Choice Requires="x14">
        <control shapeId="8427" r:id="rId527" name="Check Box 1259">
          <controlPr defaultSize="0" autoFill="0" autoLine="0" autoPict="0" macro="[0]!ProcessChkBoxes">
            <anchor moveWithCells="1">
              <from>
                <xdr:col>3</xdr:col>
                <xdr:colOff>0</xdr:colOff>
                <xdr:row>588</xdr:row>
                <xdr:rowOff>19050</xdr:rowOff>
              </from>
              <to>
                <xdr:col>3</xdr:col>
                <xdr:colOff>152400</xdr:colOff>
                <xdr:row>588</xdr:row>
                <xdr:rowOff>123825</xdr:rowOff>
              </to>
            </anchor>
          </controlPr>
        </control>
      </mc:Choice>
    </mc:AlternateContent>
    <mc:AlternateContent xmlns:mc="http://schemas.openxmlformats.org/markup-compatibility/2006">
      <mc:Choice Requires="x14">
        <control shapeId="8428" r:id="rId528" name="Check Box 1260">
          <controlPr defaultSize="0" autoFill="0" autoLine="0" autoPict="0" macro="[0]!ProcessChkBoxes">
            <anchor moveWithCells="1">
              <from>
                <xdr:col>3</xdr:col>
                <xdr:colOff>228600</xdr:colOff>
                <xdr:row>588</xdr:row>
                <xdr:rowOff>9525</xdr:rowOff>
              </from>
              <to>
                <xdr:col>4</xdr:col>
                <xdr:colOff>123825</xdr:colOff>
                <xdr:row>588</xdr:row>
                <xdr:rowOff>114300</xdr:rowOff>
              </to>
            </anchor>
          </controlPr>
        </control>
      </mc:Choice>
    </mc:AlternateContent>
    <mc:AlternateContent xmlns:mc="http://schemas.openxmlformats.org/markup-compatibility/2006">
      <mc:Choice Requires="x14">
        <control shapeId="8429" r:id="rId529" name="Check Box 1261">
          <controlPr defaultSize="0" autoFill="0" autoLine="0" autoPict="0" macro="[0]!ProcessChkBoxes">
            <anchor moveWithCells="1">
              <from>
                <xdr:col>4</xdr:col>
                <xdr:colOff>238125</xdr:colOff>
                <xdr:row>588</xdr:row>
                <xdr:rowOff>0</xdr:rowOff>
              </from>
              <to>
                <xdr:col>5</xdr:col>
                <xdr:colOff>133350</xdr:colOff>
                <xdr:row>588</xdr:row>
                <xdr:rowOff>104775</xdr:rowOff>
              </to>
            </anchor>
          </controlPr>
        </control>
      </mc:Choice>
    </mc:AlternateContent>
    <mc:AlternateContent xmlns:mc="http://schemas.openxmlformats.org/markup-compatibility/2006">
      <mc:Choice Requires="x14">
        <control shapeId="8430" r:id="rId530" name="Check Box 1262">
          <controlPr defaultSize="0" autoFill="0" autoLine="0" autoPict="0" macro="[0]!ProcessChkBoxes">
            <anchor moveWithCells="1">
              <from>
                <xdr:col>3</xdr:col>
                <xdr:colOff>0</xdr:colOff>
                <xdr:row>589</xdr:row>
                <xdr:rowOff>19050</xdr:rowOff>
              </from>
              <to>
                <xdr:col>3</xdr:col>
                <xdr:colOff>152400</xdr:colOff>
                <xdr:row>589</xdr:row>
                <xdr:rowOff>123825</xdr:rowOff>
              </to>
            </anchor>
          </controlPr>
        </control>
      </mc:Choice>
    </mc:AlternateContent>
    <mc:AlternateContent xmlns:mc="http://schemas.openxmlformats.org/markup-compatibility/2006">
      <mc:Choice Requires="x14">
        <control shapeId="8431" r:id="rId531" name="Check Box 1263">
          <controlPr defaultSize="0" autoFill="0" autoLine="0" autoPict="0" macro="[0]!ProcessChkBoxes">
            <anchor moveWithCells="1">
              <from>
                <xdr:col>3</xdr:col>
                <xdr:colOff>228600</xdr:colOff>
                <xdr:row>589</xdr:row>
                <xdr:rowOff>9525</xdr:rowOff>
              </from>
              <to>
                <xdr:col>4</xdr:col>
                <xdr:colOff>123825</xdr:colOff>
                <xdr:row>589</xdr:row>
                <xdr:rowOff>114300</xdr:rowOff>
              </to>
            </anchor>
          </controlPr>
        </control>
      </mc:Choice>
    </mc:AlternateContent>
    <mc:AlternateContent xmlns:mc="http://schemas.openxmlformats.org/markup-compatibility/2006">
      <mc:Choice Requires="x14">
        <control shapeId="8432" r:id="rId532" name="Check Box 1264">
          <controlPr defaultSize="0" autoFill="0" autoLine="0" autoPict="0" macro="[0]!ProcessChkBoxes">
            <anchor moveWithCells="1">
              <from>
                <xdr:col>4</xdr:col>
                <xdr:colOff>238125</xdr:colOff>
                <xdr:row>589</xdr:row>
                <xdr:rowOff>0</xdr:rowOff>
              </from>
              <to>
                <xdr:col>5</xdr:col>
                <xdr:colOff>133350</xdr:colOff>
                <xdr:row>589</xdr:row>
                <xdr:rowOff>104775</xdr:rowOff>
              </to>
            </anchor>
          </controlPr>
        </control>
      </mc:Choice>
    </mc:AlternateContent>
    <mc:AlternateContent xmlns:mc="http://schemas.openxmlformats.org/markup-compatibility/2006">
      <mc:Choice Requires="x14">
        <control shapeId="8433" r:id="rId533" name="Check Box 1265">
          <controlPr defaultSize="0" autoFill="0" autoLine="0" autoPict="0" macro="[0]!ProcessChkBoxes">
            <anchor moveWithCells="1">
              <from>
                <xdr:col>3</xdr:col>
                <xdr:colOff>0</xdr:colOff>
                <xdr:row>590</xdr:row>
                <xdr:rowOff>19050</xdr:rowOff>
              </from>
              <to>
                <xdr:col>3</xdr:col>
                <xdr:colOff>152400</xdr:colOff>
                <xdr:row>590</xdr:row>
                <xdr:rowOff>123825</xdr:rowOff>
              </to>
            </anchor>
          </controlPr>
        </control>
      </mc:Choice>
    </mc:AlternateContent>
    <mc:AlternateContent xmlns:mc="http://schemas.openxmlformats.org/markup-compatibility/2006">
      <mc:Choice Requires="x14">
        <control shapeId="8434" r:id="rId534" name="Check Box 1266">
          <controlPr defaultSize="0" autoFill="0" autoLine="0" autoPict="0" macro="[0]!ProcessChkBoxes">
            <anchor moveWithCells="1">
              <from>
                <xdr:col>3</xdr:col>
                <xdr:colOff>228600</xdr:colOff>
                <xdr:row>590</xdr:row>
                <xdr:rowOff>9525</xdr:rowOff>
              </from>
              <to>
                <xdr:col>4</xdr:col>
                <xdr:colOff>123825</xdr:colOff>
                <xdr:row>590</xdr:row>
                <xdr:rowOff>114300</xdr:rowOff>
              </to>
            </anchor>
          </controlPr>
        </control>
      </mc:Choice>
    </mc:AlternateContent>
    <mc:AlternateContent xmlns:mc="http://schemas.openxmlformats.org/markup-compatibility/2006">
      <mc:Choice Requires="x14">
        <control shapeId="8435" r:id="rId535" name="Check Box 1267">
          <controlPr defaultSize="0" autoFill="0" autoLine="0" autoPict="0" macro="[0]!ProcessChkBoxes">
            <anchor moveWithCells="1">
              <from>
                <xdr:col>4</xdr:col>
                <xdr:colOff>238125</xdr:colOff>
                <xdr:row>590</xdr:row>
                <xdr:rowOff>0</xdr:rowOff>
              </from>
              <to>
                <xdr:col>5</xdr:col>
                <xdr:colOff>133350</xdr:colOff>
                <xdr:row>590</xdr:row>
                <xdr:rowOff>104775</xdr:rowOff>
              </to>
            </anchor>
          </controlPr>
        </control>
      </mc:Choice>
    </mc:AlternateContent>
    <mc:AlternateContent xmlns:mc="http://schemas.openxmlformats.org/markup-compatibility/2006">
      <mc:Choice Requires="x14">
        <control shapeId="8436" r:id="rId536" name="Check Box 1268">
          <controlPr defaultSize="0" autoFill="0" autoLine="0" autoPict="0" macro="[0]!ProcessChkBoxes">
            <anchor moveWithCells="1">
              <from>
                <xdr:col>3</xdr:col>
                <xdr:colOff>0</xdr:colOff>
                <xdr:row>415</xdr:row>
                <xdr:rowOff>19050</xdr:rowOff>
              </from>
              <to>
                <xdr:col>3</xdr:col>
                <xdr:colOff>152400</xdr:colOff>
                <xdr:row>415</xdr:row>
                <xdr:rowOff>123825</xdr:rowOff>
              </to>
            </anchor>
          </controlPr>
        </control>
      </mc:Choice>
    </mc:AlternateContent>
    <mc:AlternateContent xmlns:mc="http://schemas.openxmlformats.org/markup-compatibility/2006">
      <mc:Choice Requires="x14">
        <control shapeId="8437" r:id="rId537" name="Check Box 1269">
          <controlPr defaultSize="0" autoFill="0" autoLine="0" autoPict="0" macro="[0]!ProcessChkBoxes">
            <anchor moveWithCells="1">
              <from>
                <xdr:col>3</xdr:col>
                <xdr:colOff>228600</xdr:colOff>
                <xdr:row>415</xdr:row>
                <xdr:rowOff>9525</xdr:rowOff>
              </from>
              <to>
                <xdr:col>4</xdr:col>
                <xdr:colOff>123825</xdr:colOff>
                <xdr:row>415</xdr:row>
                <xdr:rowOff>114300</xdr:rowOff>
              </to>
            </anchor>
          </controlPr>
        </control>
      </mc:Choice>
    </mc:AlternateContent>
    <mc:AlternateContent xmlns:mc="http://schemas.openxmlformats.org/markup-compatibility/2006">
      <mc:Choice Requires="x14">
        <control shapeId="8438" r:id="rId538" name="Check Box 1270">
          <controlPr defaultSize="0" autoFill="0" autoLine="0" autoPict="0" macro="[0]!ProcessChkBoxes">
            <anchor moveWithCells="1">
              <from>
                <xdr:col>4</xdr:col>
                <xdr:colOff>238125</xdr:colOff>
                <xdr:row>415</xdr:row>
                <xdr:rowOff>0</xdr:rowOff>
              </from>
              <to>
                <xdr:col>5</xdr:col>
                <xdr:colOff>133350</xdr:colOff>
                <xdr:row>415</xdr:row>
                <xdr:rowOff>104775</xdr:rowOff>
              </to>
            </anchor>
          </controlPr>
        </control>
      </mc:Choice>
    </mc:AlternateContent>
    <mc:AlternateContent xmlns:mc="http://schemas.openxmlformats.org/markup-compatibility/2006">
      <mc:Choice Requires="x14">
        <control shapeId="8439" r:id="rId539" name="Check Box 1271">
          <controlPr defaultSize="0" autoFill="0" autoLine="0" autoPict="0" macro="[0]!ProcessChkBoxes">
            <anchor moveWithCells="1">
              <from>
                <xdr:col>3</xdr:col>
                <xdr:colOff>0</xdr:colOff>
                <xdr:row>416</xdr:row>
                <xdr:rowOff>19050</xdr:rowOff>
              </from>
              <to>
                <xdr:col>3</xdr:col>
                <xdr:colOff>152400</xdr:colOff>
                <xdr:row>416</xdr:row>
                <xdr:rowOff>123825</xdr:rowOff>
              </to>
            </anchor>
          </controlPr>
        </control>
      </mc:Choice>
    </mc:AlternateContent>
    <mc:AlternateContent xmlns:mc="http://schemas.openxmlformats.org/markup-compatibility/2006">
      <mc:Choice Requires="x14">
        <control shapeId="8440" r:id="rId540" name="Check Box 1272">
          <controlPr defaultSize="0" autoFill="0" autoLine="0" autoPict="0" macro="[0]!ProcessChkBoxes">
            <anchor moveWithCells="1">
              <from>
                <xdr:col>3</xdr:col>
                <xdr:colOff>228600</xdr:colOff>
                <xdr:row>416</xdr:row>
                <xdr:rowOff>9525</xdr:rowOff>
              </from>
              <to>
                <xdr:col>4</xdr:col>
                <xdr:colOff>123825</xdr:colOff>
                <xdr:row>416</xdr:row>
                <xdr:rowOff>114300</xdr:rowOff>
              </to>
            </anchor>
          </controlPr>
        </control>
      </mc:Choice>
    </mc:AlternateContent>
    <mc:AlternateContent xmlns:mc="http://schemas.openxmlformats.org/markup-compatibility/2006">
      <mc:Choice Requires="x14">
        <control shapeId="8441" r:id="rId541" name="Check Box 1273">
          <controlPr defaultSize="0" autoFill="0" autoLine="0" autoPict="0" macro="[0]!ProcessChkBoxes">
            <anchor moveWithCells="1">
              <from>
                <xdr:col>4</xdr:col>
                <xdr:colOff>238125</xdr:colOff>
                <xdr:row>416</xdr:row>
                <xdr:rowOff>0</xdr:rowOff>
              </from>
              <to>
                <xdr:col>5</xdr:col>
                <xdr:colOff>133350</xdr:colOff>
                <xdr:row>416</xdr:row>
                <xdr:rowOff>104775</xdr:rowOff>
              </to>
            </anchor>
          </controlPr>
        </control>
      </mc:Choice>
    </mc:AlternateContent>
    <mc:AlternateContent xmlns:mc="http://schemas.openxmlformats.org/markup-compatibility/2006">
      <mc:Choice Requires="x14">
        <control shapeId="8442" r:id="rId542" name="Check Box 1274">
          <controlPr defaultSize="0" autoFill="0" autoLine="0" autoPict="0" macro="[0]!ProcessChkBoxes">
            <anchor moveWithCells="1">
              <from>
                <xdr:col>3</xdr:col>
                <xdr:colOff>0</xdr:colOff>
                <xdr:row>418</xdr:row>
                <xdr:rowOff>19050</xdr:rowOff>
              </from>
              <to>
                <xdr:col>3</xdr:col>
                <xdr:colOff>152400</xdr:colOff>
                <xdr:row>418</xdr:row>
                <xdr:rowOff>123825</xdr:rowOff>
              </to>
            </anchor>
          </controlPr>
        </control>
      </mc:Choice>
    </mc:AlternateContent>
    <mc:AlternateContent xmlns:mc="http://schemas.openxmlformats.org/markup-compatibility/2006">
      <mc:Choice Requires="x14">
        <control shapeId="8443" r:id="rId543" name="Check Box 1275">
          <controlPr defaultSize="0" autoFill="0" autoLine="0" autoPict="0" macro="[0]!ProcessChkBoxes">
            <anchor moveWithCells="1">
              <from>
                <xdr:col>3</xdr:col>
                <xdr:colOff>228600</xdr:colOff>
                <xdr:row>418</xdr:row>
                <xdr:rowOff>9525</xdr:rowOff>
              </from>
              <to>
                <xdr:col>4</xdr:col>
                <xdr:colOff>123825</xdr:colOff>
                <xdr:row>418</xdr:row>
                <xdr:rowOff>114300</xdr:rowOff>
              </to>
            </anchor>
          </controlPr>
        </control>
      </mc:Choice>
    </mc:AlternateContent>
    <mc:AlternateContent xmlns:mc="http://schemas.openxmlformats.org/markup-compatibility/2006">
      <mc:Choice Requires="x14">
        <control shapeId="8444" r:id="rId544" name="Check Box 1276">
          <controlPr defaultSize="0" autoFill="0" autoLine="0" autoPict="0" macro="[0]!ProcessChkBoxes">
            <anchor moveWithCells="1">
              <from>
                <xdr:col>4</xdr:col>
                <xdr:colOff>238125</xdr:colOff>
                <xdr:row>418</xdr:row>
                <xdr:rowOff>0</xdr:rowOff>
              </from>
              <to>
                <xdr:col>5</xdr:col>
                <xdr:colOff>133350</xdr:colOff>
                <xdr:row>418</xdr:row>
                <xdr:rowOff>104775</xdr:rowOff>
              </to>
            </anchor>
          </controlPr>
        </control>
      </mc:Choice>
    </mc:AlternateContent>
    <mc:AlternateContent xmlns:mc="http://schemas.openxmlformats.org/markup-compatibility/2006">
      <mc:Choice Requires="x14">
        <control shapeId="8445" r:id="rId545" name="Check Box 1277">
          <controlPr defaultSize="0" autoFill="0" autoLine="0" autoPict="0" macro="[0]!ProcessChkBoxes">
            <anchor moveWithCells="1">
              <from>
                <xdr:col>3</xdr:col>
                <xdr:colOff>0</xdr:colOff>
                <xdr:row>419</xdr:row>
                <xdr:rowOff>19050</xdr:rowOff>
              </from>
              <to>
                <xdr:col>3</xdr:col>
                <xdr:colOff>152400</xdr:colOff>
                <xdr:row>419</xdr:row>
                <xdr:rowOff>123825</xdr:rowOff>
              </to>
            </anchor>
          </controlPr>
        </control>
      </mc:Choice>
    </mc:AlternateContent>
    <mc:AlternateContent xmlns:mc="http://schemas.openxmlformats.org/markup-compatibility/2006">
      <mc:Choice Requires="x14">
        <control shapeId="8446" r:id="rId546" name="Check Box 1278">
          <controlPr defaultSize="0" autoFill="0" autoLine="0" autoPict="0" macro="[0]!ProcessChkBoxes">
            <anchor moveWithCells="1">
              <from>
                <xdr:col>3</xdr:col>
                <xdr:colOff>228600</xdr:colOff>
                <xdr:row>419</xdr:row>
                <xdr:rowOff>9525</xdr:rowOff>
              </from>
              <to>
                <xdr:col>4</xdr:col>
                <xdr:colOff>123825</xdr:colOff>
                <xdr:row>419</xdr:row>
                <xdr:rowOff>114300</xdr:rowOff>
              </to>
            </anchor>
          </controlPr>
        </control>
      </mc:Choice>
    </mc:AlternateContent>
    <mc:AlternateContent xmlns:mc="http://schemas.openxmlformats.org/markup-compatibility/2006">
      <mc:Choice Requires="x14">
        <control shapeId="8447" r:id="rId547" name="Check Box 1279">
          <controlPr defaultSize="0" autoFill="0" autoLine="0" autoPict="0" macro="[0]!ProcessChkBoxes">
            <anchor moveWithCells="1">
              <from>
                <xdr:col>4</xdr:col>
                <xdr:colOff>238125</xdr:colOff>
                <xdr:row>419</xdr:row>
                <xdr:rowOff>0</xdr:rowOff>
              </from>
              <to>
                <xdr:col>5</xdr:col>
                <xdr:colOff>133350</xdr:colOff>
                <xdr:row>419</xdr:row>
                <xdr:rowOff>104775</xdr:rowOff>
              </to>
            </anchor>
          </controlPr>
        </control>
      </mc:Choice>
    </mc:AlternateContent>
    <mc:AlternateContent xmlns:mc="http://schemas.openxmlformats.org/markup-compatibility/2006">
      <mc:Choice Requires="x14">
        <control shapeId="8451" r:id="rId548" name="Check Box 1283">
          <controlPr defaultSize="0" autoFill="0" autoLine="0" autoPict="0" macro="[0]!ProcessChkBoxes">
            <anchor moveWithCells="1">
              <from>
                <xdr:col>3</xdr:col>
                <xdr:colOff>0</xdr:colOff>
                <xdr:row>420</xdr:row>
                <xdr:rowOff>19050</xdr:rowOff>
              </from>
              <to>
                <xdr:col>3</xdr:col>
                <xdr:colOff>152400</xdr:colOff>
                <xdr:row>420</xdr:row>
                <xdr:rowOff>123825</xdr:rowOff>
              </to>
            </anchor>
          </controlPr>
        </control>
      </mc:Choice>
    </mc:AlternateContent>
    <mc:AlternateContent xmlns:mc="http://schemas.openxmlformats.org/markup-compatibility/2006">
      <mc:Choice Requires="x14">
        <control shapeId="8452" r:id="rId549" name="Check Box 1284">
          <controlPr defaultSize="0" autoFill="0" autoLine="0" autoPict="0" macro="[0]!ProcessChkBoxes">
            <anchor moveWithCells="1">
              <from>
                <xdr:col>3</xdr:col>
                <xdr:colOff>228600</xdr:colOff>
                <xdr:row>420</xdr:row>
                <xdr:rowOff>9525</xdr:rowOff>
              </from>
              <to>
                <xdr:col>4</xdr:col>
                <xdr:colOff>123825</xdr:colOff>
                <xdr:row>420</xdr:row>
                <xdr:rowOff>114300</xdr:rowOff>
              </to>
            </anchor>
          </controlPr>
        </control>
      </mc:Choice>
    </mc:AlternateContent>
    <mc:AlternateContent xmlns:mc="http://schemas.openxmlformats.org/markup-compatibility/2006">
      <mc:Choice Requires="x14">
        <control shapeId="8453" r:id="rId550" name="Check Box 1285">
          <controlPr defaultSize="0" autoFill="0" autoLine="0" autoPict="0" macro="[0]!ProcessChkBoxes">
            <anchor moveWithCells="1">
              <from>
                <xdr:col>4</xdr:col>
                <xdr:colOff>238125</xdr:colOff>
                <xdr:row>420</xdr:row>
                <xdr:rowOff>0</xdr:rowOff>
              </from>
              <to>
                <xdr:col>5</xdr:col>
                <xdr:colOff>133350</xdr:colOff>
                <xdr:row>420</xdr:row>
                <xdr:rowOff>104775</xdr:rowOff>
              </to>
            </anchor>
          </controlPr>
        </control>
      </mc:Choice>
    </mc:AlternateContent>
    <mc:AlternateContent xmlns:mc="http://schemas.openxmlformats.org/markup-compatibility/2006">
      <mc:Choice Requires="x14">
        <control shapeId="8454" r:id="rId551" name="Check Box 1286">
          <controlPr defaultSize="0" autoFill="0" autoLine="0" autoPict="0" macro="[0]!ProcessChkBoxes">
            <anchor moveWithCells="1">
              <from>
                <xdr:col>3</xdr:col>
                <xdr:colOff>0</xdr:colOff>
                <xdr:row>421</xdr:row>
                <xdr:rowOff>19050</xdr:rowOff>
              </from>
              <to>
                <xdr:col>3</xdr:col>
                <xdr:colOff>152400</xdr:colOff>
                <xdr:row>421</xdr:row>
                <xdr:rowOff>123825</xdr:rowOff>
              </to>
            </anchor>
          </controlPr>
        </control>
      </mc:Choice>
    </mc:AlternateContent>
    <mc:AlternateContent xmlns:mc="http://schemas.openxmlformats.org/markup-compatibility/2006">
      <mc:Choice Requires="x14">
        <control shapeId="8455" r:id="rId552" name="Check Box 1287">
          <controlPr defaultSize="0" autoFill="0" autoLine="0" autoPict="0" macro="[0]!ProcessChkBoxes">
            <anchor moveWithCells="1">
              <from>
                <xdr:col>3</xdr:col>
                <xdr:colOff>228600</xdr:colOff>
                <xdr:row>421</xdr:row>
                <xdr:rowOff>9525</xdr:rowOff>
              </from>
              <to>
                <xdr:col>4</xdr:col>
                <xdr:colOff>123825</xdr:colOff>
                <xdr:row>421</xdr:row>
                <xdr:rowOff>114300</xdr:rowOff>
              </to>
            </anchor>
          </controlPr>
        </control>
      </mc:Choice>
    </mc:AlternateContent>
    <mc:AlternateContent xmlns:mc="http://schemas.openxmlformats.org/markup-compatibility/2006">
      <mc:Choice Requires="x14">
        <control shapeId="8456" r:id="rId553" name="Check Box 1288">
          <controlPr defaultSize="0" autoFill="0" autoLine="0" autoPict="0" macro="[0]!ProcessChkBoxes">
            <anchor moveWithCells="1">
              <from>
                <xdr:col>4</xdr:col>
                <xdr:colOff>238125</xdr:colOff>
                <xdr:row>421</xdr:row>
                <xdr:rowOff>0</xdr:rowOff>
              </from>
              <to>
                <xdr:col>5</xdr:col>
                <xdr:colOff>133350</xdr:colOff>
                <xdr:row>421</xdr:row>
                <xdr:rowOff>104775</xdr:rowOff>
              </to>
            </anchor>
          </controlPr>
        </control>
      </mc:Choice>
    </mc:AlternateContent>
    <mc:AlternateContent xmlns:mc="http://schemas.openxmlformats.org/markup-compatibility/2006">
      <mc:Choice Requires="x14">
        <control shapeId="8457" r:id="rId554" name="Check Box 1289">
          <controlPr defaultSize="0" autoFill="0" autoLine="0" autoPict="0" macro="[0]!ProcessChkBoxes">
            <anchor moveWithCells="1">
              <from>
                <xdr:col>3</xdr:col>
                <xdr:colOff>0</xdr:colOff>
                <xdr:row>422</xdr:row>
                <xdr:rowOff>19050</xdr:rowOff>
              </from>
              <to>
                <xdr:col>3</xdr:col>
                <xdr:colOff>152400</xdr:colOff>
                <xdr:row>422</xdr:row>
                <xdr:rowOff>123825</xdr:rowOff>
              </to>
            </anchor>
          </controlPr>
        </control>
      </mc:Choice>
    </mc:AlternateContent>
    <mc:AlternateContent xmlns:mc="http://schemas.openxmlformats.org/markup-compatibility/2006">
      <mc:Choice Requires="x14">
        <control shapeId="8458" r:id="rId555" name="Check Box 1290">
          <controlPr defaultSize="0" autoFill="0" autoLine="0" autoPict="0" macro="[0]!ProcessChkBoxes">
            <anchor moveWithCells="1">
              <from>
                <xdr:col>3</xdr:col>
                <xdr:colOff>228600</xdr:colOff>
                <xdr:row>422</xdr:row>
                <xdr:rowOff>9525</xdr:rowOff>
              </from>
              <to>
                <xdr:col>4</xdr:col>
                <xdr:colOff>123825</xdr:colOff>
                <xdr:row>422</xdr:row>
                <xdr:rowOff>114300</xdr:rowOff>
              </to>
            </anchor>
          </controlPr>
        </control>
      </mc:Choice>
    </mc:AlternateContent>
    <mc:AlternateContent xmlns:mc="http://schemas.openxmlformats.org/markup-compatibility/2006">
      <mc:Choice Requires="x14">
        <control shapeId="8459" r:id="rId556" name="Check Box 1291">
          <controlPr defaultSize="0" autoFill="0" autoLine="0" autoPict="0" macro="[0]!ProcessChkBoxes">
            <anchor moveWithCells="1">
              <from>
                <xdr:col>4</xdr:col>
                <xdr:colOff>238125</xdr:colOff>
                <xdr:row>422</xdr:row>
                <xdr:rowOff>0</xdr:rowOff>
              </from>
              <to>
                <xdr:col>5</xdr:col>
                <xdr:colOff>133350</xdr:colOff>
                <xdr:row>422</xdr:row>
                <xdr:rowOff>104775</xdr:rowOff>
              </to>
            </anchor>
          </controlPr>
        </control>
      </mc:Choice>
    </mc:AlternateContent>
    <mc:AlternateContent xmlns:mc="http://schemas.openxmlformats.org/markup-compatibility/2006">
      <mc:Choice Requires="x14">
        <control shapeId="8460" r:id="rId557" name="Check Box 1292">
          <controlPr defaultSize="0" autoFill="0" autoLine="0" autoPict="0" macro="[0]!ProcessChkBoxes">
            <anchor moveWithCells="1">
              <from>
                <xdr:col>3</xdr:col>
                <xdr:colOff>0</xdr:colOff>
                <xdr:row>423</xdr:row>
                <xdr:rowOff>19050</xdr:rowOff>
              </from>
              <to>
                <xdr:col>3</xdr:col>
                <xdr:colOff>152400</xdr:colOff>
                <xdr:row>423</xdr:row>
                <xdr:rowOff>123825</xdr:rowOff>
              </to>
            </anchor>
          </controlPr>
        </control>
      </mc:Choice>
    </mc:AlternateContent>
    <mc:AlternateContent xmlns:mc="http://schemas.openxmlformats.org/markup-compatibility/2006">
      <mc:Choice Requires="x14">
        <control shapeId="8461" r:id="rId558" name="Check Box 1293">
          <controlPr defaultSize="0" autoFill="0" autoLine="0" autoPict="0" macro="[0]!ProcessChkBoxes">
            <anchor moveWithCells="1">
              <from>
                <xdr:col>3</xdr:col>
                <xdr:colOff>228600</xdr:colOff>
                <xdr:row>423</xdr:row>
                <xdr:rowOff>9525</xdr:rowOff>
              </from>
              <to>
                <xdr:col>4</xdr:col>
                <xdr:colOff>123825</xdr:colOff>
                <xdr:row>423</xdr:row>
                <xdr:rowOff>114300</xdr:rowOff>
              </to>
            </anchor>
          </controlPr>
        </control>
      </mc:Choice>
    </mc:AlternateContent>
    <mc:AlternateContent xmlns:mc="http://schemas.openxmlformats.org/markup-compatibility/2006">
      <mc:Choice Requires="x14">
        <control shapeId="8462" r:id="rId559" name="Check Box 1294">
          <controlPr defaultSize="0" autoFill="0" autoLine="0" autoPict="0" macro="[0]!ProcessChkBoxes">
            <anchor moveWithCells="1">
              <from>
                <xdr:col>4</xdr:col>
                <xdr:colOff>238125</xdr:colOff>
                <xdr:row>423</xdr:row>
                <xdr:rowOff>0</xdr:rowOff>
              </from>
              <to>
                <xdr:col>5</xdr:col>
                <xdr:colOff>133350</xdr:colOff>
                <xdr:row>423</xdr:row>
                <xdr:rowOff>104775</xdr:rowOff>
              </to>
            </anchor>
          </controlPr>
        </control>
      </mc:Choice>
    </mc:AlternateContent>
    <mc:AlternateContent xmlns:mc="http://schemas.openxmlformats.org/markup-compatibility/2006">
      <mc:Choice Requires="x14">
        <control shapeId="8463" r:id="rId560" name="Check Box 1295">
          <controlPr defaultSize="0" autoFill="0" autoLine="0" autoPict="0" macro="[0]!ProcessChkBoxes">
            <anchor moveWithCells="1">
              <from>
                <xdr:col>3</xdr:col>
                <xdr:colOff>0</xdr:colOff>
                <xdr:row>424</xdr:row>
                <xdr:rowOff>19050</xdr:rowOff>
              </from>
              <to>
                <xdr:col>3</xdr:col>
                <xdr:colOff>152400</xdr:colOff>
                <xdr:row>424</xdr:row>
                <xdr:rowOff>123825</xdr:rowOff>
              </to>
            </anchor>
          </controlPr>
        </control>
      </mc:Choice>
    </mc:AlternateContent>
    <mc:AlternateContent xmlns:mc="http://schemas.openxmlformats.org/markup-compatibility/2006">
      <mc:Choice Requires="x14">
        <control shapeId="8464" r:id="rId561" name="Check Box 1296">
          <controlPr defaultSize="0" autoFill="0" autoLine="0" autoPict="0" macro="[0]!ProcessChkBoxes">
            <anchor moveWithCells="1">
              <from>
                <xdr:col>3</xdr:col>
                <xdr:colOff>228600</xdr:colOff>
                <xdr:row>424</xdr:row>
                <xdr:rowOff>9525</xdr:rowOff>
              </from>
              <to>
                <xdr:col>4</xdr:col>
                <xdr:colOff>123825</xdr:colOff>
                <xdr:row>424</xdr:row>
                <xdr:rowOff>114300</xdr:rowOff>
              </to>
            </anchor>
          </controlPr>
        </control>
      </mc:Choice>
    </mc:AlternateContent>
    <mc:AlternateContent xmlns:mc="http://schemas.openxmlformats.org/markup-compatibility/2006">
      <mc:Choice Requires="x14">
        <control shapeId="8465" r:id="rId562" name="Check Box 1297">
          <controlPr defaultSize="0" autoFill="0" autoLine="0" autoPict="0" macro="[0]!ProcessChkBoxes">
            <anchor moveWithCells="1">
              <from>
                <xdr:col>4</xdr:col>
                <xdr:colOff>238125</xdr:colOff>
                <xdr:row>424</xdr:row>
                <xdr:rowOff>0</xdr:rowOff>
              </from>
              <to>
                <xdr:col>5</xdr:col>
                <xdr:colOff>133350</xdr:colOff>
                <xdr:row>424</xdr:row>
                <xdr:rowOff>104775</xdr:rowOff>
              </to>
            </anchor>
          </controlPr>
        </control>
      </mc:Choice>
    </mc:AlternateContent>
    <mc:AlternateContent xmlns:mc="http://schemas.openxmlformats.org/markup-compatibility/2006">
      <mc:Choice Requires="x14">
        <control shapeId="8466" r:id="rId563" name="Check Box 1298">
          <controlPr defaultSize="0" autoFill="0" autoLine="0" autoPict="0" macro="[0]!ProcessChkBoxes">
            <anchor moveWithCells="1">
              <from>
                <xdr:col>3</xdr:col>
                <xdr:colOff>0</xdr:colOff>
                <xdr:row>425</xdr:row>
                <xdr:rowOff>19050</xdr:rowOff>
              </from>
              <to>
                <xdr:col>3</xdr:col>
                <xdr:colOff>152400</xdr:colOff>
                <xdr:row>425</xdr:row>
                <xdr:rowOff>123825</xdr:rowOff>
              </to>
            </anchor>
          </controlPr>
        </control>
      </mc:Choice>
    </mc:AlternateContent>
    <mc:AlternateContent xmlns:mc="http://schemas.openxmlformats.org/markup-compatibility/2006">
      <mc:Choice Requires="x14">
        <control shapeId="8467" r:id="rId564" name="Check Box 1299">
          <controlPr defaultSize="0" autoFill="0" autoLine="0" autoPict="0" macro="[0]!ProcessChkBoxes">
            <anchor moveWithCells="1">
              <from>
                <xdr:col>3</xdr:col>
                <xdr:colOff>228600</xdr:colOff>
                <xdr:row>425</xdr:row>
                <xdr:rowOff>9525</xdr:rowOff>
              </from>
              <to>
                <xdr:col>4</xdr:col>
                <xdr:colOff>123825</xdr:colOff>
                <xdr:row>425</xdr:row>
                <xdr:rowOff>114300</xdr:rowOff>
              </to>
            </anchor>
          </controlPr>
        </control>
      </mc:Choice>
    </mc:AlternateContent>
    <mc:AlternateContent xmlns:mc="http://schemas.openxmlformats.org/markup-compatibility/2006">
      <mc:Choice Requires="x14">
        <control shapeId="8468" r:id="rId565" name="Check Box 1300">
          <controlPr defaultSize="0" autoFill="0" autoLine="0" autoPict="0" macro="[0]!ProcessChkBoxes">
            <anchor moveWithCells="1">
              <from>
                <xdr:col>4</xdr:col>
                <xdr:colOff>238125</xdr:colOff>
                <xdr:row>425</xdr:row>
                <xdr:rowOff>0</xdr:rowOff>
              </from>
              <to>
                <xdr:col>5</xdr:col>
                <xdr:colOff>133350</xdr:colOff>
                <xdr:row>425</xdr:row>
                <xdr:rowOff>104775</xdr:rowOff>
              </to>
            </anchor>
          </controlPr>
        </control>
      </mc:Choice>
    </mc:AlternateContent>
    <mc:AlternateContent xmlns:mc="http://schemas.openxmlformats.org/markup-compatibility/2006">
      <mc:Choice Requires="x14">
        <control shapeId="8469" r:id="rId566" name="Check Box 1301">
          <controlPr defaultSize="0" autoFill="0" autoLine="0" autoPict="0" macro="[0]!ProcessChkBoxes">
            <anchor moveWithCells="1">
              <from>
                <xdr:col>3</xdr:col>
                <xdr:colOff>0</xdr:colOff>
                <xdr:row>426</xdr:row>
                <xdr:rowOff>19050</xdr:rowOff>
              </from>
              <to>
                <xdr:col>3</xdr:col>
                <xdr:colOff>152400</xdr:colOff>
                <xdr:row>426</xdr:row>
                <xdr:rowOff>123825</xdr:rowOff>
              </to>
            </anchor>
          </controlPr>
        </control>
      </mc:Choice>
    </mc:AlternateContent>
    <mc:AlternateContent xmlns:mc="http://schemas.openxmlformats.org/markup-compatibility/2006">
      <mc:Choice Requires="x14">
        <control shapeId="8470" r:id="rId567" name="Check Box 1302">
          <controlPr defaultSize="0" autoFill="0" autoLine="0" autoPict="0" macro="[0]!ProcessChkBoxes">
            <anchor moveWithCells="1">
              <from>
                <xdr:col>3</xdr:col>
                <xdr:colOff>228600</xdr:colOff>
                <xdr:row>426</xdr:row>
                <xdr:rowOff>9525</xdr:rowOff>
              </from>
              <to>
                <xdr:col>4</xdr:col>
                <xdr:colOff>123825</xdr:colOff>
                <xdr:row>426</xdr:row>
                <xdr:rowOff>114300</xdr:rowOff>
              </to>
            </anchor>
          </controlPr>
        </control>
      </mc:Choice>
    </mc:AlternateContent>
    <mc:AlternateContent xmlns:mc="http://schemas.openxmlformats.org/markup-compatibility/2006">
      <mc:Choice Requires="x14">
        <control shapeId="8471" r:id="rId568" name="Check Box 1303">
          <controlPr defaultSize="0" autoFill="0" autoLine="0" autoPict="0" macro="[0]!ProcessChkBoxes">
            <anchor moveWithCells="1">
              <from>
                <xdr:col>4</xdr:col>
                <xdr:colOff>238125</xdr:colOff>
                <xdr:row>426</xdr:row>
                <xdr:rowOff>0</xdr:rowOff>
              </from>
              <to>
                <xdr:col>5</xdr:col>
                <xdr:colOff>133350</xdr:colOff>
                <xdr:row>426</xdr:row>
                <xdr:rowOff>104775</xdr:rowOff>
              </to>
            </anchor>
          </controlPr>
        </control>
      </mc:Choice>
    </mc:AlternateContent>
    <mc:AlternateContent xmlns:mc="http://schemas.openxmlformats.org/markup-compatibility/2006">
      <mc:Choice Requires="x14">
        <control shapeId="8472" r:id="rId569" name="Check Box 1304">
          <controlPr defaultSize="0" autoFill="0" autoLine="0" autoPict="0" macro="[0]!ProcessChkBoxes">
            <anchor moveWithCells="1">
              <from>
                <xdr:col>3</xdr:col>
                <xdr:colOff>0</xdr:colOff>
                <xdr:row>429</xdr:row>
                <xdr:rowOff>19050</xdr:rowOff>
              </from>
              <to>
                <xdr:col>3</xdr:col>
                <xdr:colOff>152400</xdr:colOff>
                <xdr:row>429</xdr:row>
                <xdr:rowOff>123825</xdr:rowOff>
              </to>
            </anchor>
          </controlPr>
        </control>
      </mc:Choice>
    </mc:AlternateContent>
    <mc:AlternateContent xmlns:mc="http://schemas.openxmlformats.org/markup-compatibility/2006">
      <mc:Choice Requires="x14">
        <control shapeId="8473" r:id="rId570" name="Check Box 1305">
          <controlPr defaultSize="0" autoFill="0" autoLine="0" autoPict="0" macro="[0]!ProcessChkBoxes">
            <anchor moveWithCells="1">
              <from>
                <xdr:col>3</xdr:col>
                <xdr:colOff>228600</xdr:colOff>
                <xdr:row>429</xdr:row>
                <xdr:rowOff>9525</xdr:rowOff>
              </from>
              <to>
                <xdr:col>4</xdr:col>
                <xdr:colOff>123825</xdr:colOff>
                <xdr:row>429</xdr:row>
                <xdr:rowOff>114300</xdr:rowOff>
              </to>
            </anchor>
          </controlPr>
        </control>
      </mc:Choice>
    </mc:AlternateContent>
    <mc:AlternateContent xmlns:mc="http://schemas.openxmlformats.org/markup-compatibility/2006">
      <mc:Choice Requires="x14">
        <control shapeId="8474" r:id="rId571" name="Check Box 1306">
          <controlPr defaultSize="0" autoFill="0" autoLine="0" autoPict="0" macro="[0]!ProcessChkBoxes">
            <anchor moveWithCells="1">
              <from>
                <xdr:col>4</xdr:col>
                <xdr:colOff>238125</xdr:colOff>
                <xdr:row>429</xdr:row>
                <xdr:rowOff>0</xdr:rowOff>
              </from>
              <to>
                <xdr:col>5</xdr:col>
                <xdr:colOff>133350</xdr:colOff>
                <xdr:row>429</xdr:row>
                <xdr:rowOff>104775</xdr:rowOff>
              </to>
            </anchor>
          </controlPr>
        </control>
      </mc:Choice>
    </mc:AlternateContent>
    <mc:AlternateContent xmlns:mc="http://schemas.openxmlformats.org/markup-compatibility/2006">
      <mc:Choice Requires="x14">
        <control shapeId="8475" r:id="rId572" name="Check Box 1307">
          <controlPr defaultSize="0" autoFill="0" autoLine="0" autoPict="0" macro="[0]!ProcessChkBoxes">
            <anchor moveWithCells="1">
              <from>
                <xdr:col>3</xdr:col>
                <xdr:colOff>0</xdr:colOff>
                <xdr:row>431</xdr:row>
                <xdr:rowOff>19050</xdr:rowOff>
              </from>
              <to>
                <xdr:col>3</xdr:col>
                <xdr:colOff>152400</xdr:colOff>
                <xdr:row>431</xdr:row>
                <xdr:rowOff>123825</xdr:rowOff>
              </to>
            </anchor>
          </controlPr>
        </control>
      </mc:Choice>
    </mc:AlternateContent>
    <mc:AlternateContent xmlns:mc="http://schemas.openxmlformats.org/markup-compatibility/2006">
      <mc:Choice Requires="x14">
        <control shapeId="8476" r:id="rId573" name="Check Box 1308">
          <controlPr defaultSize="0" autoFill="0" autoLine="0" autoPict="0" macro="[0]!ProcessChkBoxes">
            <anchor moveWithCells="1">
              <from>
                <xdr:col>3</xdr:col>
                <xdr:colOff>228600</xdr:colOff>
                <xdr:row>431</xdr:row>
                <xdr:rowOff>9525</xdr:rowOff>
              </from>
              <to>
                <xdr:col>4</xdr:col>
                <xdr:colOff>123825</xdr:colOff>
                <xdr:row>431</xdr:row>
                <xdr:rowOff>114300</xdr:rowOff>
              </to>
            </anchor>
          </controlPr>
        </control>
      </mc:Choice>
    </mc:AlternateContent>
    <mc:AlternateContent xmlns:mc="http://schemas.openxmlformats.org/markup-compatibility/2006">
      <mc:Choice Requires="x14">
        <control shapeId="8477" r:id="rId574" name="Check Box 1309">
          <controlPr defaultSize="0" autoFill="0" autoLine="0" autoPict="0" macro="[0]!ProcessChkBoxes">
            <anchor moveWithCells="1">
              <from>
                <xdr:col>4</xdr:col>
                <xdr:colOff>238125</xdr:colOff>
                <xdr:row>431</xdr:row>
                <xdr:rowOff>0</xdr:rowOff>
              </from>
              <to>
                <xdr:col>5</xdr:col>
                <xdr:colOff>133350</xdr:colOff>
                <xdr:row>431</xdr:row>
                <xdr:rowOff>104775</xdr:rowOff>
              </to>
            </anchor>
          </controlPr>
        </control>
      </mc:Choice>
    </mc:AlternateContent>
    <mc:AlternateContent xmlns:mc="http://schemas.openxmlformats.org/markup-compatibility/2006">
      <mc:Choice Requires="x14">
        <control shapeId="8481" r:id="rId575" name="Check Box 1313">
          <controlPr defaultSize="0" autoFill="0" autoLine="0" autoPict="0" macro="[0]!ProcessChkBoxes">
            <anchor moveWithCells="1">
              <from>
                <xdr:col>3</xdr:col>
                <xdr:colOff>0</xdr:colOff>
                <xdr:row>433</xdr:row>
                <xdr:rowOff>19050</xdr:rowOff>
              </from>
              <to>
                <xdr:col>3</xdr:col>
                <xdr:colOff>152400</xdr:colOff>
                <xdr:row>433</xdr:row>
                <xdr:rowOff>123825</xdr:rowOff>
              </to>
            </anchor>
          </controlPr>
        </control>
      </mc:Choice>
    </mc:AlternateContent>
    <mc:AlternateContent xmlns:mc="http://schemas.openxmlformats.org/markup-compatibility/2006">
      <mc:Choice Requires="x14">
        <control shapeId="8482" r:id="rId576" name="Check Box 1314">
          <controlPr defaultSize="0" autoFill="0" autoLine="0" autoPict="0" macro="[0]!ProcessChkBoxes">
            <anchor moveWithCells="1">
              <from>
                <xdr:col>3</xdr:col>
                <xdr:colOff>228600</xdr:colOff>
                <xdr:row>433</xdr:row>
                <xdr:rowOff>9525</xdr:rowOff>
              </from>
              <to>
                <xdr:col>4</xdr:col>
                <xdr:colOff>123825</xdr:colOff>
                <xdr:row>433</xdr:row>
                <xdr:rowOff>114300</xdr:rowOff>
              </to>
            </anchor>
          </controlPr>
        </control>
      </mc:Choice>
    </mc:AlternateContent>
    <mc:AlternateContent xmlns:mc="http://schemas.openxmlformats.org/markup-compatibility/2006">
      <mc:Choice Requires="x14">
        <control shapeId="8483" r:id="rId577" name="Check Box 1315">
          <controlPr defaultSize="0" autoFill="0" autoLine="0" autoPict="0" macro="[0]!ProcessChkBoxes">
            <anchor moveWithCells="1">
              <from>
                <xdr:col>4</xdr:col>
                <xdr:colOff>238125</xdr:colOff>
                <xdr:row>433</xdr:row>
                <xdr:rowOff>0</xdr:rowOff>
              </from>
              <to>
                <xdr:col>5</xdr:col>
                <xdr:colOff>133350</xdr:colOff>
                <xdr:row>433</xdr:row>
                <xdr:rowOff>104775</xdr:rowOff>
              </to>
            </anchor>
          </controlPr>
        </control>
      </mc:Choice>
    </mc:AlternateContent>
    <mc:AlternateContent xmlns:mc="http://schemas.openxmlformats.org/markup-compatibility/2006">
      <mc:Choice Requires="x14">
        <control shapeId="8484" r:id="rId578" name="Check Box 1316">
          <controlPr defaultSize="0" autoFill="0" autoLine="0" autoPict="0" macro="[0]!ProcessChkBoxes">
            <anchor moveWithCells="1">
              <from>
                <xdr:col>3</xdr:col>
                <xdr:colOff>0</xdr:colOff>
                <xdr:row>434</xdr:row>
                <xdr:rowOff>19050</xdr:rowOff>
              </from>
              <to>
                <xdr:col>3</xdr:col>
                <xdr:colOff>152400</xdr:colOff>
                <xdr:row>434</xdr:row>
                <xdr:rowOff>123825</xdr:rowOff>
              </to>
            </anchor>
          </controlPr>
        </control>
      </mc:Choice>
    </mc:AlternateContent>
    <mc:AlternateContent xmlns:mc="http://schemas.openxmlformats.org/markup-compatibility/2006">
      <mc:Choice Requires="x14">
        <control shapeId="8485" r:id="rId579" name="Check Box 1317">
          <controlPr defaultSize="0" autoFill="0" autoLine="0" autoPict="0" macro="[0]!ProcessChkBoxes">
            <anchor moveWithCells="1">
              <from>
                <xdr:col>3</xdr:col>
                <xdr:colOff>228600</xdr:colOff>
                <xdr:row>434</xdr:row>
                <xdr:rowOff>9525</xdr:rowOff>
              </from>
              <to>
                <xdr:col>4</xdr:col>
                <xdr:colOff>123825</xdr:colOff>
                <xdr:row>434</xdr:row>
                <xdr:rowOff>114300</xdr:rowOff>
              </to>
            </anchor>
          </controlPr>
        </control>
      </mc:Choice>
    </mc:AlternateContent>
    <mc:AlternateContent xmlns:mc="http://schemas.openxmlformats.org/markup-compatibility/2006">
      <mc:Choice Requires="x14">
        <control shapeId="8486" r:id="rId580" name="Check Box 1318">
          <controlPr defaultSize="0" autoFill="0" autoLine="0" autoPict="0" macro="[0]!ProcessChkBoxes">
            <anchor moveWithCells="1">
              <from>
                <xdr:col>4</xdr:col>
                <xdr:colOff>238125</xdr:colOff>
                <xdr:row>434</xdr:row>
                <xdr:rowOff>0</xdr:rowOff>
              </from>
              <to>
                <xdr:col>5</xdr:col>
                <xdr:colOff>133350</xdr:colOff>
                <xdr:row>434</xdr:row>
                <xdr:rowOff>104775</xdr:rowOff>
              </to>
            </anchor>
          </controlPr>
        </control>
      </mc:Choice>
    </mc:AlternateContent>
    <mc:AlternateContent xmlns:mc="http://schemas.openxmlformats.org/markup-compatibility/2006">
      <mc:Choice Requires="x14">
        <control shapeId="8490" r:id="rId581" name="Check Box 1322">
          <controlPr defaultSize="0" autoFill="0" autoLine="0" autoPict="0" macro="[0]!ProcessChkBoxes">
            <anchor moveWithCells="1">
              <from>
                <xdr:col>3</xdr:col>
                <xdr:colOff>0</xdr:colOff>
                <xdr:row>438</xdr:row>
                <xdr:rowOff>19050</xdr:rowOff>
              </from>
              <to>
                <xdr:col>3</xdr:col>
                <xdr:colOff>152400</xdr:colOff>
                <xdr:row>438</xdr:row>
                <xdr:rowOff>123825</xdr:rowOff>
              </to>
            </anchor>
          </controlPr>
        </control>
      </mc:Choice>
    </mc:AlternateContent>
    <mc:AlternateContent xmlns:mc="http://schemas.openxmlformats.org/markup-compatibility/2006">
      <mc:Choice Requires="x14">
        <control shapeId="8491" r:id="rId582" name="Check Box 1323">
          <controlPr defaultSize="0" autoFill="0" autoLine="0" autoPict="0" macro="[0]!ProcessChkBoxes">
            <anchor moveWithCells="1">
              <from>
                <xdr:col>3</xdr:col>
                <xdr:colOff>228600</xdr:colOff>
                <xdr:row>438</xdr:row>
                <xdr:rowOff>9525</xdr:rowOff>
              </from>
              <to>
                <xdr:col>4</xdr:col>
                <xdr:colOff>123825</xdr:colOff>
                <xdr:row>438</xdr:row>
                <xdr:rowOff>114300</xdr:rowOff>
              </to>
            </anchor>
          </controlPr>
        </control>
      </mc:Choice>
    </mc:AlternateContent>
    <mc:AlternateContent xmlns:mc="http://schemas.openxmlformats.org/markup-compatibility/2006">
      <mc:Choice Requires="x14">
        <control shapeId="8492" r:id="rId583" name="Check Box 1324">
          <controlPr defaultSize="0" autoFill="0" autoLine="0" autoPict="0" macro="[0]!ProcessChkBoxes">
            <anchor moveWithCells="1">
              <from>
                <xdr:col>4</xdr:col>
                <xdr:colOff>238125</xdr:colOff>
                <xdr:row>438</xdr:row>
                <xdr:rowOff>0</xdr:rowOff>
              </from>
              <to>
                <xdr:col>5</xdr:col>
                <xdr:colOff>133350</xdr:colOff>
                <xdr:row>438</xdr:row>
                <xdr:rowOff>104775</xdr:rowOff>
              </to>
            </anchor>
          </controlPr>
        </control>
      </mc:Choice>
    </mc:AlternateContent>
    <mc:AlternateContent xmlns:mc="http://schemas.openxmlformats.org/markup-compatibility/2006">
      <mc:Choice Requires="x14">
        <control shapeId="8493" r:id="rId584" name="Check Box 1325">
          <controlPr defaultSize="0" autoFill="0" autoLine="0" autoPict="0" macro="[0]!ProcessChkBoxes">
            <anchor moveWithCells="1">
              <from>
                <xdr:col>3</xdr:col>
                <xdr:colOff>0</xdr:colOff>
                <xdr:row>440</xdr:row>
                <xdr:rowOff>19050</xdr:rowOff>
              </from>
              <to>
                <xdr:col>3</xdr:col>
                <xdr:colOff>152400</xdr:colOff>
                <xdr:row>440</xdr:row>
                <xdr:rowOff>123825</xdr:rowOff>
              </to>
            </anchor>
          </controlPr>
        </control>
      </mc:Choice>
    </mc:AlternateContent>
    <mc:AlternateContent xmlns:mc="http://schemas.openxmlformats.org/markup-compatibility/2006">
      <mc:Choice Requires="x14">
        <control shapeId="8494" r:id="rId585" name="Check Box 1326">
          <controlPr defaultSize="0" autoFill="0" autoLine="0" autoPict="0" macro="[0]!ProcessChkBoxes">
            <anchor moveWithCells="1">
              <from>
                <xdr:col>3</xdr:col>
                <xdr:colOff>228600</xdr:colOff>
                <xdr:row>440</xdr:row>
                <xdr:rowOff>9525</xdr:rowOff>
              </from>
              <to>
                <xdr:col>4</xdr:col>
                <xdr:colOff>123825</xdr:colOff>
                <xdr:row>440</xdr:row>
                <xdr:rowOff>114300</xdr:rowOff>
              </to>
            </anchor>
          </controlPr>
        </control>
      </mc:Choice>
    </mc:AlternateContent>
    <mc:AlternateContent xmlns:mc="http://schemas.openxmlformats.org/markup-compatibility/2006">
      <mc:Choice Requires="x14">
        <control shapeId="8495" r:id="rId586" name="Check Box 1327">
          <controlPr defaultSize="0" autoFill="0" autoLine="0" autoPict="0" macro="[0]!ProcessChkBoxes">
            <anchor moveWithCells="1">
              <from>
                <xdr:col>4</xdr:col>
                <xdr:colOff>238125</xdr:colOff>
                <xdr:row>440</xdr:row>
                <xdr:rowOff>0</xdr:rowOff>
              </from>
              <to>
                <xdr:col>5</xdr:col>
                <xdr:colOff>133350</xdr:colOff>
                <xdr:row>440</xdr:row>
                <xdr:rowOff>104775</xdr:rowOff>
              </to>
            </anchor>
          </controlPr>
        </control>
      </mc:Choice>
    </mc:AlternateContent>
    <mc:AlternateContent xmlns:mc="http://schemas.openxmlformats.org/markup-compatibility/2006">
      <mc:Choice Requires="x14">
        <control shapeId="8496" r:id="rId587" name="Check Box 1328">
          <controlPr defaultSize="0" autoFill="0" autoLine="0" autoPict="0" macro="[0]!ProcessChkBoxes">
            <anchor moveWithCells="1">
              <from>
                <xdr:col>3</xdr:col>
                <xdr:colOff>0</xdr:colOff>
                <xdr:row>442</xdr:row>
                <xdr:rowOff>19050</xdr:rowOff>
              </from>
              <to>
                <xdr:col>3</xdr:col>
                <xdr:colOff>152400</xdr:colOff>
                <xdr:row>442</xdr:row>
                <xdr:rowOff>123825</xdr:rowOff>
              </to>
            </anchor>
          </controlPr>
        </control>
      </mc:Choice>
    </mc:AlternateContent>
    <mc:AlternateContent xmlns:mc="http://schemas.openxmlformats.org/markup-compatibility/2006">
      <mc:Choice Requires="x14">
        <control shapeId="8497" r:id="rId588" name="Check Box 1329">
          <controlPr defaultSize="0" autoFill="0" autoLine="0" autoPict="0" macro="[0]!ProcessChkBoxes">
            <anchor moveWithCells="1">
              <from>
                <xdr:col>3</xdr:col>
                <xdr:colOff>228600</xdr:colOff>
                <xdr:row>442</xdr:row>
                <xdr:rowOff>9525</xdr:rowOff>
              </from>
              <to>
                <xdr:col>4</xdr:col>
                <xdr:colOff>123825</xdr:colOff>
                <xdr:row>442</xdr:row>
                <xdr:rowOff>114300</xdr:rowOff>
              </to>
            </anchor>
          </controlPr>
        </control>
      </mc:Choice>
    </mc:AlternateContent>
    <mc:AlternateContent xmlns:mc="http://schemas.openxmlformats.org/markup-compatibility/2006">
      <mc:Choice Requires="x14">
        <control shapeId="8498" r:id="rId589" name="Check Box 1330">
          <controlPr defaultSize="0" autoFill="0" autoLine="0" autoPict="0" macro="[0]!ProcessChkBoxes">
            <anchor moveWithCells="1">
              <from>
                <xdr:col>4</xdr:col>
                <xdr:colOff>238125</xdr:colOff>
                <xdr:row>442</xdr:row>
                <xdr:rowOff>0</xdr:rowOff>
              </from>
              <to>
                <xdr:col>5</xdr:col>
                <xdr:colOff>133350</xdr:colOff>
                <xdr:row>442</xdr:row>
                <xdr:rowOff>104775</xdr:rowOff>
              </to>
            </anchor>
          </controlPr>
        </control>
      </mc:Choice>
    </mc:AlternateContent>
    <mc:AlternateContent xmlns:mc="http://schemas.openxmlformats.org/markup-compatibility/2006">
      <mc:Choice Requires="x14">
        <control shapeId="8499" r:id="rId590" name="Check Box 1331">
          <controlPr defaultSize="0" autoFill="0" autoLine="0" autoPict="0" macro="[0]!ProcessChkBoxes">
            <anchor moveWithCells="1">
              <from>
                <xdr:col>3</xdr:col>
                <xdr:colOff>0</xdr:colOff>
                <xdr:row>443</xdr:row>
                <xdr:rowOff>19050</xdr:rowOff>
              </from>
              <to>
                <xdr:col>3</xdr:col>
                <xdr:colOff>152400</xdr:colOff>
                <xdr:row>443</xdr:row>
                <xdr:rowOff>123825</xdr:rowOff>
              </to>
            </anchor>
          </controlPr>
        </control>
      </mc:Choice>
    </mc:AlternateContent>
    <mc:AlternateContent xmlns:mc="http://schemas.openxmlformats.org/markup-compatibility/2006">
      <mc:Choice Requires="x14">
        <control shapeId="8500" r:id="rId591" name="Check Box 1332">
          <controlPr defaultSize="0" autoFill="0" autoLine="0" autoPict="0" macro="[0]!ProcessChkBoxes">
            <anchor moveWithCells="1">
              <from>
                <xdr:col>3</xdr:col>
                <xdr:colOff>228600</xdr:colOff>
                <xdr:row>443</xdr:row>
                <xdr:rowOff>9525</xdr:rowOff>
              </from>
              <to>
                <xdr:col>4</xdr:col>
                <xdr:colOff>123825</xdr:colOff>
                <xdr:row>443</xdr:row>
                <xdr:rowOff>114300</xdr:rowOff>
              </to>
            </anchor>
          </controlPr>
        </control>
      </mc:Choice>
    </mc:AlternateContent>
    <mc:AlternateContent xmlns:mc="http://schemas.openxmlformats.org/markup-compatibility/2006">
      <mc:Choice Requires="x14">
        <control shapeId="8501" r:id="rId592" name="Check Box 1333">
          <controlPr defaultSize="0" autoFill="0" autoLine="0" autoPict="0" macro="[0]!ProcessChkBoxes">
            <anchor moveWithCells="1">
              <from>
                <xdr:col>4</xdr:col>
                <xdr:colOff>238125</xdr:colOff>
                <xdr:row>443</xdr:row>
                <xdr:rowOff>0</xdr:rowOff>
              </from>
              <to>
                <xdr:col>5</xdr:col>
                <xdr:colOff>133350</xdr:colOff>
                <xdr:row>443</xdr:row>
                <xdr:rowOff>104775</xdr:rowOff>
              </to>
            </anchor>
          </controlPr>
        </control>
      </mc:Choice>
    </mc:AlternateContent>
    <mc:AlternateContent xmlns:mc="http://schemas.openxmlformats.org/markup-compatibility/2006">
      <mc:Choice Requires="x14">
        <control shapeId="8502" r:id="rId593" name="Check Box 1334">
          <controlPr defaultSize="0" autoFill="0" autoLine="0" autoPict="0" macro="[0]!ProcessChkBoxes">
            <anchor moveWithCells="1">
              <from>
                <xdr:col>3</xdr:col>
                <xdr:colOff>0</xdr:colOff>
                <xdr:row>444</xdr:row>
                <xdr:rowOff>19050</xdr:rowOff>
              </from>
              <to>
                <xdr:col>3</xdr:col>
                <xdr:colOff>152400</xdr:colOff>
                <xdr:row>444</xdr:row>
                <xdr:rowOff>123825</xdr:rowOff>
              </to>
            </anchor>
          </controlPr>
        </control>
      </mc:Choice>
    </mc:AlternateContent>
    <mc:AlternateContent xmlns:mc="http://schemas.openxmlformats.org/markup-compatibility/2006">
      <mc:Choice Requires="x14">
        <control shapeId="8503" r:id="rId594" name="Check Box 1335">
          <controlPr defaultSize="0" autoFill="0" autoLine="0" autoPict="0" macro="[0]!ProcessChkBoxes">
            <anchor moveWithCells="1">
              <from>
                <xdr:col>3</xdr:col>
                <xdr:colOff>228600</xdr:colOff>
                <xdr:row>444</xdr:row>
                <xdr:rowOff>9525</xdr:rowOff>
              </from>
              <to>
                <xdr:col>4</xdr:col>
                <xdr:colOff>123825</xdr:colOff>
                <xdr:row>444</xdr:row>
                <xdr:rowOff>114300</xdr:rowOff>
              </to>
            </anchor>
          </controlPr>
        </control>
      </mc:Choice>
    </mc:AlternateContent>
    <mc:AlternateContent xmlns:mc="http://schemas.openxmlformats.org/markup-compatibility/2006">
      <mc:Choice Requires="x14">
        <control shapeId="8504" r:id="rId595" name="Check Box 1336">
          <controlPr defaultSize="0" autoFill="0" autoLine="0" autoPict="0" macro="[0]!ProcessChkBoxes">
            <anchor moveWithCells="1">
              <from>
                <xdr:col>4</xdr:col>
                <xdr:colOff>238125</xdr:colOff>
                <xdr:row>444</xdr:row>
                <xdr:rowOff>0</xdr:rowOff>
              </from>
              <to>
                <xdr:col>5</xdr:col>
                <xdr:colOff>133350</xdr:colOff>
                <xdr:row>444</xdr:row>
                <xdr:rowOff>104775</xdr:rowOff>
              </to>
            </anchor>
          </controlPr>
        </control>
      </mc:Choice>
    </mc:AlternateContent>
    <mc:AlternateContent xmlns:mc="http://schemas.openxmlformats.org/markup-compatibility/2006">
      <mc:Choice Requires="x14">
        <control shapeId="8511" r:id="rId596" name="Check Box 1343">
          <controlPr defaultSize="0" autoFill="0" autoLine="0" autoPict="0" macro="[0]!ProcessChkBoxes">
            <anchor moveWithCells="1">
              <from>
                <xdr:col>3</xdr:col>
                <xdr:colOff>0</xdr:colOff>
                <xdr:row>447</xdr:row>
                <xdr:rowOff>19050</xdr:rowOff>
              </from>
              <to>
                <xdr:col>3</xdr:col>
                <xdr:colOff>152400</xdr:colOff>
                <xdr:row>447</xdr:row>
                <xdr:rowOff>123825</xdr:rowOff>
              </to>
            </anchor>
          </controlPr>
        </control>
      </mc:Choice>
    </mc:AlternateContent>
    <mc:AlternateContent xmlns:mc="http://schemas.openxmlformats.org/markup-compatibility/2006">
      <mc:Choice Requires="x14">
        <control shapeId="8512" r:id="rId597" name="Check Box 1344">
          <controlPr defaultSize="0" autoFill="0" autoLine="0" autoPict="0" macro="[0]!ProcessChkBoxes">
            <anchor moveWithCells="1">
              <from>
                <xdr:col>3</xdr:col>
                <xdr:colOff>228600</xdr:colOff>
                <xdr:row>447</xdr:row>
                <xdr:rowOff>9525</xdr:rowOff>
              </from>
              <to>
                <xdr:col>4</xdr:col>
                <xdr:colOff>123825</xdr:colOff>
                <xdr:row>447</xdr:row>
                <xdr:rowOff>114300</xdr:rowOff>
              </to>
            </anchor>
          </controlPr>
        </control>
      </mc:Choice>
    </mc:AlternateContent>
    <mc:AlternateContent xmlns:mc="http://schemas.openxmlformats.org/markup-compatibility/2006">
      <mc:Choice Requires="x14">
        <control shapeId="8513" r:id="rId598" name="Check Box 1345">
          <controlPr defaultSize="0" autoFill="0" autoLine="0" autoPict="0" macro="[0]!ProcessChkBoxes">
            <anchor moveWithCells="1">
              <from>
                <xdr:col>4</xdr:col>
                <xdr:colOff>238125</xdr:colOff>
                <xdr:row>447</xdr:row>
                <xdr:rowOff>0</xdr:rowOff>
              </from>
              <to>
                <xdr:col>5</xdr:col>
                <xdr:colOff>133350</xdr:colOff>
                <xdr:row>447</xdr:row>
                <xdr:rowOff>104775</xdr:rowOff>
              </to>
            </anchor>
          </controlPr>
        </control>
      </mc:Choice>
    </mc:AlternateContent>
    <mc:AlternateContent xmlns:mc="http://schemas.openxmlformats.org/markup-compatibility/2006">
      <mc:Choice Requires="x14">
        <control shapeId="8517" r:id="rId599" name="Check Box 1349">
          <controlPr defaultSize="0" autoFill="0" autoLine="0" autoPict="0" macro="[0]!ProcessChkBoxes">
            <anchor moveWithCells="1">
              <from>
                <xdr:col>3</xdr:col>
                <xdr:colOff>0</xdr:colOff>
                <xdr:row>540</xdr:row>
                <xdr:rowOff>19050</xdr:rowOff>
              </from>
              <to>
                <xdr:col>3</xdr:col>
                <xdr:colOff>152400</xdr:colOff>
                <xdr:row>540</xdr:row>
                <xdr:rowOff>123825</xdr:rowOff>
              </to>
            </anchor>
          </controlPr>
        </control>
      </mc:Choice>
    </mc:AlternateContent>
    <mc:AlternateContent xmlns:mc="http://schemas.openxmlformats.org/markup-compatibility/2006">
      <mc:Choice Requires="x14">
        <control shapeId="8518" r:id="rId600" name="Check Box 1350">
          <controlPr defaultSize="0" autoFill="0" autoLine="0" autoPict="0" macro="[0]!ProcessChkBoxes">
            <anchor moveWithCells="1">
              <from>
                <xdr:col>3</xdr:col>
                <xdr:colOff>228600</xdr:colOff>
                <xdr:row>540</xdr:row>
                <xdr:rowOff>9525</xdr:rowOff>
              </from>
              <to>
                <xdr:col>4</xdr:col>
                <xdr:colOff>123825</xdr:colOff>
                <xdr:row>540</xdr:row>
                <xdr:rowOff>114300</xdr:rowOff>
              </to>
            </anchor>
          </controlPr>
        </control>
      </mc:Choice>
    </mc:AlternateContent>
    <mc:AlternateContent xmlns:mc="http://schemas.openxmlformats.org/markup-compatibility/2006">
      <mc:Choice Requires="x14">
        <control shapeId="8519" r:id="rId601" name="Check Box 1351">
          <controlPr defaultSize="0" autoFill="0" autoLine="0" autoPict="0" macro="[0]!ProcessChkBoxes">
            <anchor moveWithCells="1">
              <from>
                <xdr:col>4</xdr:col>
                <xdr:colOff>238125</xdr:colOff>
                <xdr:row>540</xdr:row>
                <xdr:rowOff>0</xdr:rowOff>
              </from>
              <to>
                <xdr:col>5</xdr:col>
                <xdr:colOff>133350</xdr:colOff>
                <xdr:row>540</xdr:row>
                <xdr:rowOff>104775</xdr:rowOff>
              </to>
            </anchor>
          </controlPr>
        </control>
      </mc:Choice>
    </mc:AlternateContent>
    <mc:AlternateContent xmlns:mc="http://schemas.openxmlformats.org/markup-compatibility/2006">
      <mc:Choice Requires="x14">
        <control shapeId="8520" r:id="rId602" name="Check Box 1352">
          <controlPr defaultSize="0" autoFill="0" autoLine="0" autoPict="0" macro="[0]!ProcessChkBoxes">
            <anchor moveWithCells="1">
              <from>
                <xdr:col>3</xdr:col>
                <xdr:colOff>0</xdr:colOff>
                <xdr:row>541</xdr:row>
                <xdr:rowOff>19050</xdr:rowOff>
              </from>
              <to>
                <xdr:col>3</xdr:col>
                <xdr:colOff>152400</xdr:colOff>
                <xdr:row>541</xdr:row>
                <xdr:rowOff>123825</xdr:rowOff>
              </to>
            </anchor>
          </controlPr>
        </control>
      </mc:Choice>
    </mc:AlternateContent>
    <mc:AlternateContent xmlns:mc="http://schemas.openxmlformats.org/markup-compatibility/2006">
      <mc:Choice Requires="x14">
        <control shapeId="8521" r:id="rId603" name="Check Box 1353">
          <controlPr defaultSize="0" autoFill="0" autoLine="0" autoPict="0" macro="[0]!ProcessChkBoxes">
            <anchor moveWithCells="1">
              <from>
                <xdr:col>3</xdr:col>
                <xdr:colOff>228600</xdr:colOff>
                <xdr:row>541</xdr:row>
                <xdr:rowOff>9525</xdr:rowOff>
              </from>
              <to>
                <xdr:col>4</xdr:col>
                <xdr:colOff>123825</xdr:colOff>
                <xdr:row>541</xdr:row>
                <xdr:rowOff>114300</xdr:rowOff>
              </to>
            </anchor>
          </controlPr>
        </control>
      </mc:Choice>
    </mc:AlternateContent>
    <mc:AlternateContent xmlns:mc="http://schemas.openxmlformats.org/markup-compatibility/2006">
      <mc:Choice Requires="x14">
        <control shapeId="8522" r:id="rId604" name="Check Box 1354">
          <controlPr defaultSize="0" autoFill="0" autoLine="0" autoPict="0" macro="[0]!ProcessChkBoxes">
            <anchor moveWithCells="1">
              <from>
                <xdr:col>4</xdr:col>
                <xdr:colOff>238125</xdr:colOff>
                <xdr:row>541</xdr:row>
                <xdr:rowOff>0</xdr:rowOff>
              </from>
              <to>
                <xdr:col>5</xdr:col>
                <xdr:colOff>133350</xdr:colOff>
                <xdr:row>541</xdr:row>
                <xdr:rowOff>104775</xdr:rowOff>
              </to>
            </anchor>
          </controlPr>
        </control>
      </mc:Choice>
    </mc:AlternateContent>
    <mc:AlternateContent xmlns:mc="http://schemas.openxmlformats.org/markup-compatibility/2006">
      <mc:Choice Requires="x14">
        <control shapeId="8523" r:id="rId605" name="Check Box 1355">
          <controlPr defaultSize="0" autoFill="0" autoLine="0" autoPict="0" macro="[0]!ProcessChkBoxes">
            <anchor moveWithCells="1">
              <from>
                <xdr:col>3</xdr:col>
                <xdr:colOff>0</xdr:colOff>
                <xdr:row>542</xdr:row>
                <xdr:rowOff>19050</xdr:rowOff>
              </from>
              <to>
                <xdr:col>3</xdr:col>
                <xdr:colOff>152400</xdr:colOff>
                <xdr:row>542</xdr:row>
                <xdr:rowOff>123825</xdr:rowOff>
              </to>
            </anchor>
          </controlPr>
        </control>
      </mc:Choice>
    </mc:AlternateContent>
    <mc:AlternateContent xmlns:mc="http://schemas.openxmlformats.org/markup-compatibility/2006">
      <mc:Choice Requires="x14">
        <control shapeId="8524" r:id="rId606" name="Check Box 1356">
          <controlPr defaultSize="0" autoFill="0" autoLine="0" autoPict="0" macro="[0]!ProcessChkBoxes">
            <anchor moveWithCells="1">
              <from>
                <xdr:col>3</xdr:col>
                <xdr:colOff>228600</xdr:colOff>
                <xdr:row>542</xdr:row>
                <xdr:rowOff>9525</xdr:rowOff>
              </from>
              <to>
                <xdr:col>4</xdr:col>
                <xdr:colOff>123825</xdr:colOff>
                <xdr:row>542</xdr:row>
                <xdr:rowOff>114300</xdr:rowOff>
              </to>
            </anchor>
          </controlPr>
        </control>
      </mc:Choice>
    </mc:AlternateContent>
    <mc:AlternateContent xmlns:mc="http://schemas.openxmlformats.org/markup-compatibility/2006">
      <mc:Choice Requires="x14">
        <control shapeId="8525" r:id="rId607" name="Check Box 1357">
          <controlPr defaultSize="0" autoFill="0" autoLine="0" autoPict="0" macro="[0]!ProcessChkBoxes">
            <anchor moveWithCells="1">
              <from>
                <xdr:col>4</xdr:col>
                <xdr:colOff>238125</xdr:colOff>
                <xdr:row>542</xdr:row>
                <xdr:rowOff>0</xdr:rowOff>
              </from>
              <to>
                <xdr:col>5</xdr:col>
                <xdr:colOff>133350</xdr:colOff>
                <xdr:row>542</xdr:row>
                <xdr:rowOff>104775</xdr:rowOff>
              </to>
            </anchor>
          </controlPr>
        </control>
      </mc:Choice>
    </mc:AlternateContent>
    <mc:AlternateContent xmlns:mc="http://schemas.openxmlformats.org/markup-compatibility/2006">
      <mc:Choice Requires="x14">
        <control shapeId="8526" r:id="rId608" name="Check Box 1358">
          <controlPr defaultSize="0" autoFill="0" autoLine="0" autoPict="0" macro="[0]!ProcessChkBoxes">
            <anchor moveWithCells="1">
              <from>
                <xdr:col>3</xdr:col>
                <xdr:colOff>0</xdr:colOff>
                <xdr:row>543</xdr:row>
                <xdr:rowOff>19050</xdr:rowOff>
              </from>
              <to>
                <xdr:col>3</xdr:col>
                <xdr:colOff>152400</xdr:colOff>
                <xdr:row>543</xdr:row>
                <xdr:rowOff>123825</xdr:rowOff>
              </to>
            </anchor>
          </controlPr>
        </control>
      </mc:Choice>
    </mc:AlternateContent>
    <mc:AlternateContent xmlns:mc="http://schemas.openxmlformats.org/markup-compatibility/2006">
      <mc:Choice Requires="x14">
        <control shapeId="8527" r:id="rId609" name="Check Box 1359">
          <controlPr defaultSize="0" autoFill="0" autoLine="0" autoPict="0" macro="[0]!ProcessChkBoxes">
            <anchor moveWithCells="1">
              <from>
                <xdr:col>3</xdr:col>
                <xdr:colOff>228600</xdr:colOff>
                <xdr:row>543</xdr:row>
                <xdr:rowOff>9525</xdr:rowOff>
              </from>
              <to>
                <xdr:col>4</xdr:col>
                <xdr:colOff>123825</xdr:colOff>
                <xdr:row>543</xdr:row>
                <xdr:rowOff>114300</xdr:rowOff>
              </to>
            </anchor>
          </controlPr>
        </control>
      </mc:Choice>
    </mc:AlternateContent>
    <mc:AlternateContent xmlns:mc="http://schemas.openxmlformats.org/markup-compatibility/2006">
      <mc:Choice Requires="x14">
        <control shapeId="8528" r:id="rId610" name="Check Box 1360">
          <controlPr defaultSize="0" autoFill="0" autoLine="0" autoPict="0" macro="[0]!ProcessChkBoxes">
            <anchor moveWithCells="1">
              <from>
                <xdr:col>4</xdr:col>
                <xdr:colOff>238125</xdr:colOff>
                <xdr:row>543</xdr:row>
                <xdr:rowOff>0</xdr:rowOff>
              </from>
              <to>
                <xdr:col>5</xdr:col>
                <xdr:colOff>133350</xdr:colOff>
                <xdr:row>543</xdr:row>
                <xdr:rowOff>104775</xdr:rowOff>
              </to>
            </anchor>
          </controlPr>
        </control>
      </mc:Choice>
    </mc:AlternateContent>
    <mc:AlternateContent xmlns:mc="http://schemas.openxmlformats.org/markup-compatibility/2006">
      <mc:Choice Requires="x14">
        <control shapeId="8529" r:id="rId611" name="Check Box 1361">
          <controlPr defaultSize="0" autoFill="0" autoLine="0" autoPict="0" macro="[0]!ProcessChkBoxes">
            <anchor moveWithCells="1">
              <from>
                <xdr:col>3</xdr:col>
                <xdr:colOff>0</xdr:colOff>
                <xdr:row>551</xdr:row>
                <xdr:rowOff>19050</xdr:rowOff>
              </from>
              <to>
                <xdr:col>3</xdr:col>
                <xdr:colOff>152400</xdr:colOff>
                <xdr:row>551</xdr:row>
                <xdr:rowOff>123825</xdr:rowOff>
              </to>
            </anchor>
          </controlPr>
        </control>
      </mc:Choice>
    </mc:AlternateContent>
    <mc:AlternateContent xmlns:mc="http://schemas.openxmlformats.org/markup-compatibility/2006">
      <mc:Choice Requires="x14">
        <control shapeId="8530" r:id="rId612" name="Check Box 1362">
          <controlPr defaultSize="0" autoFill="0" autoLine="0" autoPict="0" macro="[0]!ProcessChkBoxes">
            <anchor moveWithCells="1">
              <from>
                <xdr:col>3</xdr:col>
                <xdr:colOff>228600</xdr:colOff>
                <xdr:row>551</xdr:row>
                <xdr:rowOff>9525</xdr:rowOff>
              </from>
              <to>
                <xdr:col>4</xdr:col>
                <xdr:colOff>123825</xdr:colOff>
                <xdr:row>551</xdr:row>
                <xdr:rowOff>114300</xdr:rowOff>
              </to>
            </anchor>
          </controlPr>
        </control>
      </mc:Choice>
    </mc:AlternateContent>
    <mc:AlternateContent xmlns:mc="http://schemas.openxmlformats.org/markup-compatibility/2006">
      <mc:Choice Requires="x14">
        <control shapeId="8531" r:id="rId613" name="Check Box 1363">
          <controlPr defaultSize="0" autoFill="0" autoLine="0" autoPict="0" macro="[0]!ProcessChkBoxes">
            <anchor moveWithCells="1">
              <from>
                <xdr:col>4</xdr:col>
                <xdr:colOff>238125</xdr:colOff>
                <xdr:row>551</xdr:row>
                <xdr:rowOff>0</xdr:rowOff>
              </from>
              <to>
                <xdr:col>5</xdr:col>
                <xdr:colOff>133350</xdr:colOff>
                <xdr:row>551</xdr:row>
                <xdr:rowOff>104775</xdr:rowOff>
              </to>
            </anchor>
          </controlPr>
        </control>
      </mc:Choice>
    </mc:AlternateContent>
    <mc:AlternateContent xmlns:mc="http://schemas.openxmlformats.org/markup-compatibility/2006">
      <mc:Choice Requires="x14">
        <control shapeId="8532" r:id="rId614" name="Check Box 1364">
          <controlPr defaultSize="0" autoFill="0" autoLine="0" autoPict="0" macro="[0]!ProcessChkBoxes">
            <anchor moveWithCells="1">
              <from>
                <xdr:col>2</xdr:col>
                <xdr:colOff>2876550</xdr:colOff>
                <xdr:row>553</xdr:row>
                <xdr:rowOff>85725</xdr:rowOff>
              </from>
              <to>
                <xdr:col>3</xdr:col>
                <xdr:colOff>142875</xdr:colOff>
                <xdr:row>554</xdr:row>
                <xdr:rowOff>28575</xdr:rowOff>
              </to>
            </anchor>
          </controlPr>
        </control>
      </mc:Choice>
    </mc:AlternateContent>
    <mc:AlternateContent xmlns:mc="http://schemas.openxmlformats.org/markup-compatibility/2006">
      <mc:Choice Requires="x14">
        <control shapeId="8533" r:id="rId615" name="Check Box 1365">
          <controlPr defaultSize="0" autoFill="0" autoLine="0" autoPict="0" macro="[0]!ProcessChkBoxes">
            <anchor moveWithCells="1">
              <from>
                <xdr:col>3</xdr:col>
                <xdr:colOff>219075</xdr:colOff>
                <xdr:row>553</xdr:row>
                <xdr:rowOff>76200</xdr:rowOff>
              </from>
              <to>
                <xdr:col>4</xdr:col>
                <xdr:colOff>114300</xdr:colOff>
                <xdr:row>554</xdr:row>
                <xdr:rowOff>19050</xdr:rowOff>
              </to>
            </anchor>
          </controlPr>
        </control>
      </mc:Choice>
    </mc:AlternateContent>
    <mc:AlternateContent xmlns:mc="http://schemas.openxmlformats.org/markup-compatibility/2006">
      <mc:Choice Requires="x14">
        <control shapeId="8534" r:id="rId616" name="Check Box 1366">
          <controlPr defaultSize="0" autoFill="0" autoLine="0" autoPict="0" macro="[0]!ProcessChkBoxes">
            <anchor moveWithCells="1">
              <from>
                <xdr:col>4</xdr:col>
                <xdr:colOff>228600</xdr:colOff>
                <xdr:row>553</xdr:row>
                <xdr:rowOff>66675</xdr:rowOff>
              </from>
              <to>
                <xdr:col>5</xdr:col>
                <xdr:colOff>123825</xdr:colOff>
                <xdr:row>554</xdr:row>
                <xdr:rowOff>9525</xdr:rowOff>
              </to>
            </anchor>
          </controlPr>
        </control>
      </mc:Choice>
    </mc:AlternateContent>
    <mc:AlternateContent xmlns:mc="http://schemas.openxmlformats.org/markup-compatibility/2006">
      <mc:Choice Requires="x14">
        <control shapeId="8538" r:id="rId617" name="Check Box 1370">
          <controlPr defaultSize="0" autoFill="0" autoLine="0" autoPict="0" macro="[0]!ProcessChkBoxes">
            <anchor moveWithCells="1">
              <from>
                <xdr:col>3</xdr:col>
                <xdr:colOff>0</xdr:colOff>
                <xdr:row>556</xdr:row>
                <xdr:rowOff>19050</xdr:rowOff>
              </from>
              <to>
                <xdr:col>3</xdr:col>
                <xdr:colOff>152400</xdr:colOff>
                <xdr:row>556</xdr:row>
                <xdr:rowOff>123825</xdr:rowOff>
              </to>
            </anchor>
          </controlPr>
        </control>
      </mc:Choice>
    </mc:AlternateContent>
    <mc:AlternateContent xmlns:mc="http://schemas.openxmlformats.org/markup-compatibility/2006">
      <mc:Choice Requires="x14">
        <control shapeId="8539" r:id="rId618" name="Check Box 1371">
          <controlPr defaultSize="0" autoFill="0" autoLine="0" autoPict="0" macro="[0]!ProcessChkBoxes">
            <anchor moveWithCells="1">
              <from>
                <xdr:col>3</xdr:col>
                <xdr:colOff>228600</xdr:colOff>
                <xdr:row>556</xdr:row>
                <xdr:rowOff>9525</xdr:rowOff>
              </from>
              <to>
                <xdr:col>4</xdr:col>
                <xdr:colOff>123825</xdr:colOff>
                <xdr:row>556</xdr:row>
                <xdr:rowOff>114300</xdr:rowOff>
              </to>
            </anchor>
          </controlPr>
        </control>
      </mc:Choice>
    </mc:AlternateContent>
    <mc:AlternateContent xmlns:mc="http://schemas.openxmlformats.org/markup-compatibility/2006">
      <mc:Choice Requires="x14">
        <control shapeId="8540" r:id="rId619" name="Check Box 1372">
          <controlPr defaultSize="0" autoFill="0" autoLine="0" autoPict="0" macro="[0]!ProcessChkBoxes">
            <anchor moveWithCells="1">
              <from>
                <xdr:col>4</xdr:col>
                <xdr:colOff>238125</xdr:colOff>
                <xdr:row>556</xdr:row>
                <xdr:rowOff>0</xdr:rowOff>
              </from>
              <to>
                <xdr:col>5</xdr:col>
                <xdr:colOff>133350</xdr:colOff>
                <xdr:row>556</xdr:row>
                <xdr:rowOff>104775</xdr:rowOff>
              </to>
            </anchor>
          </controlPr>
        </control>
      </mc:Choice>
    </mc:AlternateContent>
    <mc:AlternateContent xmlns:mc="http://schemas.openxmlformats.org/markup-compatibility/2006">
      <mc:Choice Requires="x14">
        <control shapeId="8541" r:id="rId620" name="Check Box 1373">
          <controlPr defaultSize="0" autoFill="0" autoLine="0" autoPict="0" macro="[0]!ProcessChkBoxes">
            <anchor moveWithCells="1">
              <from>
                <xdr:col>3</xdr:col>
                <xdr:colOff>0</xdr:colOff>
                <xdr:row>558</xdr:row>
                <xdr:rowOff>19050</xdr:rowOff>
              </from>
              <to>
                <xdr:col>3</xdr:col>
                <xdr:colOff>152400</xdr:colOff>
                <xdr:row>558</xdr:row>
                <xdr:rowOff>123825</xdr:rowOff>
              </to>
            </anchor>
          </controlPr>
        </control>
      </mc:Choice>
    </mc:AlternateContent>
    <mc:AlternateContent xmlns:mc="http://schemas.openxmlformats.org/markup-compatibility/2006">
      <mc:Choice Requires="x14">
        <control shapeId="8542" r:id="rId621" name="Check Box 1374">
          <controlPr defaultSize="0" autoFill="0" autoLine="0" autoPict="0" macro="[0]!ProcessChkBoxes">
            <anchor moveWithCells="1">
              <from>
                <xdr:col>3</xdr:col>
                <xdr:colOff>228600</xdr:colOff>
                <xdr:row>558</xdr:row>
                <xdr:rowOff>9525</xdr:rowOff>
              </from>
              <to>
                <xdr:col>4</xdr:col>
                <xdr:colOff>123825</xdr:colOff>
                <xdr:row>558</xdr:row>
                <xdr:rowOff>114300</xdr:rowOff>
              </to>
            </anchor>
          </controlPr>
        </control>
      </mc:Choice>
    </mc:AlternateContent>
    <mc:AlternateContent xmlns:mc="http://schemas.openxmlformats.org/markup-compatibility/2006">
      <mc:Choice Requires="x14">
        <control shapeId="8543" r:id="rId622" name="Check Box 1375">
          <controlPr defaultSize="0" autoFill="0" autoLine="0" autoPict="0" macro="[0]!ProcessChkBoxes">
            <anchor moveWithCells="1">
              <from>
                <xdr:col>4</xdr:col>
                <xdr:colOff>238125</xdr:colOff>
                <xdr:row>558</xdr:row>
                <xdr:rowOff>0</xdr:rowOff>
              </from>
              <to>
                <xdr:col>5</xdr:col>
                <xdr:colOff>133350</xdr:colOff>
                <xdr:row>558</xdr:row>
                <xdr:rowOff>104775</xdr:rowOff>
              </to>
            </anchor>
          </controlPr>
        </control>
      </mc:Choice>
    </mc:AlternateContent>
    <mc:AlternateContent xmlns:mc="http://schemas.openxmlformats.org/markup-compatibility/2006">
      <mc:Choice Requires="x14">
        <control shapeId="8544" r:id="rId623" name="Check Box 1376">
          <controlPr defaultSize="0" autoFill="0" autoLine="0" autoPict="0" macro="[0]!ProcessChkBoxes">
            <anchor moveWithCells="1">
              <from>
                <xdr:col>3</xdr:col>
                <xdr:colOff>0</xdr:colOff>
                <xdr:row>560</xdr:row>
                <xdr:rowOff>19050</xdr:rowOff>
              </from>
              <to>
                <xdr:col>3</xdr:col>
                <xdr:colOff>152400</xdr:colOff>
                <xdr:row>560</xdr:row>
                <xdr:rowOff>123825</xdr:rowOff>
              </to>
            </anchor>
          </controlPr>
        </control>
      </mc:Choice>
    </mc:AlternateContent>
    <mc:AlternateContent xmlns:mc="http://schemas.openxmlformats.org/markup-compatibility/2006">
      <mc:Choice Requires="x14">
        <control shapeId="8545" r:id="rId624" name="Check Box 1377">
          <controlPr defaultSize="0" autoFill="0" autoLine="0" autoPict="0" macro="[0]!ProcessChkBoxes">
            <anchor moveWithCells="1">
              <from>
                <xdr:col>3</xdr:col>
                <xdr:colOff>228600</xdr:colOff>
                <xdr:row>560</xdr:row>
                <xdr:rowOff>9525</xdr:rowOff>
              </from>
              <to>
                <xdr:col>4</xdr:col>
                <xdr:colOff>123825</xdr:colOff>
                <xdr:row>560</xdr:row>
                <xdr:rowOff>114300</xdr:rowOff>
              </to>
            </anchor>
          </controlPr>
        </control>
      </mc:Choice>
    </mc:AlternateContent>
    <mc:AlternateContent xmlns:mc="http://schemas.openxmlformats.org/markup-compatibility/2006">
      <mc:Choice Requires="x14">
        <control shapeId="8546" r:id="rId625" name="Check Box 1378">
          <controlPr defaultSize="0" autoFill="0" autoLine="0" autoPict="0" macro="[0]!ProcessChkBoxes">
            <anchor moveWithCells="1">
              <from>
                <xdr:col>4</xdr:col>
                <xdr:colOff>238125</xdr:colOff>
                <xdr:row>560</xdr:row>
                <xdr:rowOff>0</xdr:rowOff>
              </from>
              <to>
                <xdr:col>5</xdr:col>
                <xdr:colOff>133350</xdr:colOff>
                <xdr:row>560</xdr:row>
                <xdr:rowOff>104775</xdr:rowOff>
              </to>
            </anchor>
          </controlPr>
        </control>
      </mc:Choice>
    </mc:AlternateContent>
    <mc:AlternateContent xmlns:mc="http://schemas.openxmlformats.org/markup-compatibility/2006">
      <mc:Choice Requires="x14">
        <control shapeId="8547" r:id="rId626" name="Check Box 1379">
          <controlPr defaultSize="0" autoFill="0" autoLine="0" autoPict="0" macro="[0]!ProcessChkBoxes">
            <anchor moveWithCells="1">
              <from>
                <xdr:col>3</xdr:col>
                <xdr:colOff>0</xdr:colOff>
                <xdr:row>563</xdr:row>
                <xdr:rowOff>19050</xdr:rowOff>
              </from>
              <to>
                <xdr:col>3</xdr:col>
                <xdr:colOff>152400</xdr:colOff>
                <xdr:row>563</xdr:row>
                <xdr:rowOff>123825</xdr:rowOff>
              </to>
            </anchor>
          </controlPr>
        </control>
      </mc:Choice>
    </mc:AlternateContent>
    <mc:AlternateContent xmlns:mc="http://schemas.openxmlformats.org/markup-compatibility/2006">
      <mc:Choice Requires="x14">
        <control shapeId="8548" r:id="rId627" name="Check Box 1380">
          <controlPr defaultSize="0" autoFill="0" autoLine="0" autoPict="0" macro="[0]!ProcessChkBoxes">
            <anchor moveWithCells="1">
              <from>
                <xdr:col>3</xdr:col>
                <xdr:colOff>228600</xdr:colOff>
                <xdr:row>563</xdr:row>
                <xdr:rowOff>9525</xdr:rowOff>
              </from>
              <to>
                <xdr:col>4</xdr:col>
                <xdr:colOff>123825</xdr:colOff>
                <xdr:row>563</xdr:row>
                <xdr:rowOff>114300</xdr:rowOff>
              </to>
            </anchor>
          </controlPr>
        </control>
      </mc:Choice>
    </mc:AlternateContent>
    <mc:AlternateContent xmlns:mc="http://schemas.openxmlformats.org/markup-compatibility/2006">
      <mc:Choice Requires="x14">
        <control shapeId="8549" r:id="rId628" name="Check Box 1381">
          <controlPr defaultSize="0" autoFill="0" autoLine="0" autoPict="0" macro="[0]!ProcessChkBoxes">
            <anchor moveWithCells="1">
              <from>
                <xdr:col>4</xdr:col>
                <xdr:colOff>238125</xdr:colOff>
                <xdr:row>563</xdr:row>
                <xdr:rowOff>0</xdr:rowOff>
              </from>
              <to>
                <xdr:col>5</xdr:col>
                <xdr:colOff>133350</xdr:colOff>
                <xdr:row>563</xdr:row>
                <xdr:rowOff>104775</xdr:rowOff>
              </to>
            </anchor>
          </controlPr>
        </control>
      </mc:Choice>
    </mc:AlternateContent>
    <mc:AlternateContent xmlns:mc="http://schemas.openxmlformats.org/markup-compatibility/2006">
      <mc:Choice Requires="x14">
        <control shapeId="8550" r:id="rId629" name="Check Box 1382">
          <controlPr defaultSize="0" autoFill="0" autoLine="0" autoPict="0" macro="[0]!ProcessChkBoxes">
            <anchor moveWithCells="1">
              <from>
                <xdr:col>3</xdr:col>
                <xdr:colOff>0</xdr:colOff>
                <xdr:row>564</xdr:row>
                <xdr:rowOff>19050</xdr:rowOff>
              </from>
              <to>
                <xdr:col>3</xdr:col>
                <xdr:colOff>152400</xdr:colOff>
                <xdr:row>564</xdr:row>
                <xdr:rowOff>123825</xdr:rowOff>
              </to>
            </anchor>
          </controlPr>
        </control>
      </mc:Choice>
    </mc:AlternateContent>
    <mc:AlternateContent xmlns:mc="http://schemas.openxmlformats.org/markup-compatibility/2006">
      <mc:Choice Requires="x14">
        <control shapeId="8551" r:id="rId630" name="Check Box 1383">
          <controlPr defaultSize="0" autoFill="0" autoLine="0" autoPict="0" macro="[0]!ProcessChkBoxes">
            <anchor moveWithCells="1">
              <from>
                <xdr:col>3</xdr:col>
                <xdr:colOff>228600</xdr:colOff>
                <xdr:row>564</xdr:row>
                <xdr:rowOff>9525</xdr:rowOff>
              </from>
              <to>
                <xdr:col>4</xdr:col>
                <xdr:colOff>123825</xdr:colOff>
                <xdr:row>564</xdr:row>
                <xdr:rowOff>114300</xdr:rowOff>
              </to>
            </anchor>
          </controlPr>
        </control>
      </mc:Choice>
    </mc:AlternateContent>
    <mc:AlternateContent xmlns:mc="http://schemas.openxmlformats.org/markup-compatibility/2006">
      <mc:Choice Requires="x14">
        <control shapeId="8552" r:id="rId631" name="Check Box 1384">
          <controlPr defaultSize="0" autoFill="0" autoLine="0" autoPict="0" macro="[0]!ProcessChkBoxes">
            <anchor moveWithCells="1">
              <from>
                <xdr:col>4</xdr:col>
                <xdr:colOff>238125</xdr:colOff>
                <xdr:row>564</xdr:row>
                <xdr:rowOff>0</xdr:rowOff>
              </from>
              <to>
                <xdr:col>5</xdr:col>
                <xdr:colOff>133350</xdr:colOff>
                <xdr:row>564</xdr:row>
                <xdr:rowOff>104775</xdr:rowOff>
              </to>
            </anchor>
          </controlPr>
        </control>
      </mc:Choice>
    </mc:AlternateContent>
    <mc:AlternateContent xmlns:mc="http://schemas.openxmlformats.org/markup-compatibility/2006">
      <mc:Choice Requires="x14">
        <control shapeId="8553" r:id="rId632" name="Check Box 1385">
          <controlPr defaultSize="0" autoFill="0" autoLine="0" autoPict="0" macro="[0]!ProcessChkBoxes">
            <anchor moveWithCells="1">
              <from>
                <xdr:col>3</xdr:col>
                <xdr:colOff>0</xdr:colOff>
                <xdr:row>565</xdr:row>
                <xdr:rowOff>19050</xdr:rowOff>
              </from>
              <to>
                <xdr:col>3</xdr:col>
                <xdr:colOff>152400</xdr:colOff>
                <xdr:row>565</xdr:row>
                <xdr:rowOff>123825</xdr:rowOff>
              </to>
            </anchor>
          </controlPr>
        </control>
      </mc:Choice>
    </mc:AlternateContent>
    <mc:AlternateContent xmlns:mc="http://schemas.openxmlformats.org/markup-compatibility/2006">
      <mc:Choice Requires="x14">
        <control shapeId="8554" r:id="rId633" name="Check Box 1386">
          <controlPr defaultSize="0" autoFill="0" autoLine="0" autoPict="0" macro="[0]!ProcessChkBoxes">
            <anchor moveWithCells="1">
              <from>
                <xdr:col>3</xdr:col>
                <xdr:colOff>228600</xdr:colOff>
                <xdr:row>565</xdr:row>
                <xdr:rowOff>9525</xdr:rowOff>
              </from>
              <to>
                <xdr:col>4</xdr:col>
                <xdr:colOff>123825</xdr:colOff>
                <xdr:row>565</xdr:row>
                <xdr:rowOff>114300</xdr:rowOff>
              </to>
            </anchor>
          </controlPr>
        </control>
      </mc:Choice>
    </mc:AlternateContent>
    <mc:AlternateContent xmlns:mc="http://schemas.openxmlformats.org/markup-compatibility/2006">
      <mc:Choice Requires="x14">
        <control shapeId="8555" r:id="rId634" name="Check Box 1387">
          <controlPr defaultSize="0" autoFill="0" autoLine="0" autoPict="0" macro="[0]!ProcessChkBoxes">
            <anchor moveWithCells="1">
              <from>
                <xdr:col>4</xdr:col>
                <xdr:colOff>238125</xdr:colOff>
                <xdr:row>565</xdr:row>
                <xdr:rowOff>0</xdr:rowOff>
              </from>
              <to>
                <xdr:col>5</xdr:col>
                <xdr:colOff>133350</xdr:colOff>
                <xdr:row>565</xdr:row>
                <xdr:rowOff>104775</xdr:rowOff>
              </to>
            </anchor>
          </controlPr>
        </control>
      </mc:Choice>
    </mc:AlternateContent>
    <mc:AlternateContent xmlns:mc="http://schemas.openxmlformats.org/markup-compatibility/2006">
      <mc:Choice Requires="x14">
        <control shapeId="8559" r:id="rId635" name="Check Box 1391">
          <controlPr defaultSize="0" autoFill="0" autoLine="0" autoPict="0" macro="[0]!ProcessChkBoxes">
            <anchor moveWithCells="1">
              <from>
                <xdr:col>3</xdr:col>
                <xdr:colOff>0</xdr:colOff>
                <xdr:row>566</xdr:row>
                <xdr:rowOff>19050</xdr:rowOff>
              </from>
              <to>
                <xdr:col>3</xdr:col>
                <xdr:colOff>152400</xdr:colOff>
                <xdr:row>566</xdr:row>
                <xdr:rowOff>123825</xdr:rowOff>
              </to>
            </anchor>
          </controlPr>
        </control>
      </mc:Choice>
    </mc:AlternateContent>
    <mc:AlternateContent xmlns:mc="http://schemas.openxmlformats.org/markup-compatibility/2006">
      <mc:Choice Requires="x14">
        <control shapeId="8560" r:id="rId636" name="Check Box 1392">
          <controlPr defaultSize="0" autoFill="0" autoLine="0" autoPict="0" macro="[0]!ProcessChkBoxes">
            <anchor moveWithCells="1">
              <from>
                <xdr:col>3</xdr:col>
                <xdr:colOff>228600</xdr:colOff>
                <xdr:row>566</xdr:row>
                <xdr:rowOff>9525</xdr:rowOff>
              </from>
              <to>
                <xdr:col>4</xdr:col>
                <xdr:colOff>123825</xdr:colOff>
                <xdr:row>566</xdr:row>
                <xdr:rowOff>114300</xdr:rowOff>
              </to>
            </anchor>
          </controlPr>
        </control>
      </mc:Choice>
    </mc:AlternateContent>
    <mc:AlternateContent xmlns:mc="http://schemas.openxmlformats.org/markup-compatibility/2006">
      <mc:Choice Requires="x14">
        <control shapeId="8561" r:id="rId637" name="Check Box 1393">
          <controlPr defaultSize="0" autoFill="0" autoLine="0" autoPict="0" macro="[0]!ProcessChkBoxes">
            <anchor moveWithCells="1">
              <from>
                <xdr:col>4</xdr:col>
                <xdr:colOff>238125</xdr:colOff>
                <xdr:row>566</xdr:row>
                <xdr:rowOff>0</xdr:rowOff>
              </from>
              <to>
                <xdr:col>5</xdr:col>
                <xdr:colOff>133350</xdr:colOff>
                <xdr:row>566</xdr:row>
                <xdr:rowOff>104775</xdr:rowOff>
              </to>
            </anchor>
          </controlPr>
        </control>
      </mc:Choice>
    </mc:AlternateContent>
    <mc:AlternateContent xmlns:mc="http://schemas.openxmlformats.org/markup-compatibility/2006">
      <mc:Choice Requires="x14">
        <control shapeId="8562" r:id="rId638" name="Check Box 1394">
          <controlPr defaultSize="0" autoFill="0" autoLine="0" autoPict="0" macro="[0]!ProcessChkBoxes">
            <anchor moveWithCells="1">
              <from>
                <xdr:col>3</xdr:col>
                <xdr:colOff>0</xdr:colOff>
                <xdr:row>568</xdr:row>
                <xdr:rowOff>19050</xdr:rowOff>
              </from>
              <to>
                <xdr:col>3</xdr:col>
                <xdr:colOff>152400</xdr:colOff>
                <xdr:row>568</xdr:row>
                <xdr:rowOff>123825</xdr:rowOff>
              </to>
            </anchor>
          </controlPr>
        </control>
      </mc:Choice>
    </mc:AlternateContent>
    <mc:AlternateContent xmlns:mc="http://schemas.openxmlformats.org/markup-compatibility/2006">
      <mc:Choice Requires="x14">
        <control shapeId="8563" r:id="rId639" name="Check Box 1395">
          <controlPr defaultSize="0" autoFill="0" autoLine="0" autoPict="0" macro="[0]!ProcessChkBoxes">
            <anchor moveWithCells="1">
              <from>
                <xdr:col>3</xdr:col>
                <xdr:colOff>228600</xdr:colOff>
                <xdr:row>568</xdr:row>
                <xdr:rowOff>9525</xdr:rowOff>
              </from>
              <to>
                <xdr:col>4</xdr:col>
                <xdr:colOff>123825</xdr:colOff>
                <xdr:row>568</xdr:row>
                <xdr:rowOff>114300</xdr:rowOff>
              </to>
            </anchor>
          </controlPr>
        </control>
      </mc:Choice>
    </mc:AlternateContent>
    <mc:AlternateContent xmlns:mc="http://schemas.openxmlformats.org/markup-compatibility/2006">
      <mc:Choice Requires="x14">
        <control shapeId="8564" r:id="rId640" name="Check Box 1396">
          <controlPr defaultSize="0" autoFill="0" autoLine="0" autoPict="0" macro="[0]!ProcessChkBoxes">
            <anchor moveWithCells="1">
              <from>
                <xdr:col>4</xdr:col>
                <xdr:colOff>238125</xdr:colOff>
                <xdr:row>568</xdr:row>
                <xdr:rowOff>0</xdr:rowOff>
              </from>
              <to>
                <xdr:col>5</xdr:col>
                <xdr:colOff>133350</xdr:colOff>
                <xdr:row>568</xdr:row>
                <xdr:rowOff>104775</xdr:rowOff>
              </to>
            </anchor>
          </controlPr>
        </control>
      </mc:Choice>
    </mc:AlternateContent>
    <mc:AlternateContent xmlns:mc="http://schemas.openxmlformats.org/markup-compatibility/2006">
      <mc:Choice Requires="x14">
        <control shapeId="8565" r:id="rId641" name="Check Box 1397">
          <controlPr defaultSize="0" autoFill="0" autoLine="0" autoPict="0" macro="[0]!ProcessChkBoxes">
            <anchor moveWithCells="1">
              <from>
                <xdr:col>3</xdr:col>
                <xdr:colOff>0</xdr:colOff>
                <xdr:row>569</xdr:row>
                <xdr:rowOff>19050</xdr:rowOff>
              </from>
              <to>
                <xdr:col>3</xdr:col>
                <xdr:colOff>152400</xdr:colOff>
                <xdr:row>569</xdr:row>
                <xdr:rowOff>123825</xdr:rowOff>
              </to>
            </anchor>
          </controlPr>
        </control>
      </mc:Choice>
    </mc:AlternateContent>
    <mc:AlternateContent xmlns:mc="http://schemas.openxmlformats.org/markup-compatibility/2006">
      <mc:Choice Requires="x14">
        <control shapeId="8566" r:id="rId642" name="Check Box 1398">
          <controlPr defaultSize="0" autoFill="0" autoLine="0" autoPict="0" macro="[0]!ProcessChkBoxes">
            <anchor moveWithCells="1">
              <from>
                <xdr:col>3</xdr:col>
                <xdr:colOff>228600</xdr:colOff>
                <xdr:row>569</xdr:row>
                <xdr:rowOff>9525</xdr:rowOff>
              </from>
              <to>
                <xdr:col>4</xdr:col>
                <xdr:colOff>123825</xdr:colOff>
                <xdr:row>569</xdr:row>
                <xdr:rowOff>114300</xdr:rowOff>
              </to>
            </anchor>
          </controlPr>
        </control>
      </mc:Choice>
    </mc:AlternateContent>
    <mc:AlternateContent xmlns:mc="http://schemas.openxmlformats.org/markup-compatibility/2006">
      <mc:Choice Requires="x14">
        <control shapeId="8567" r:id="rId643" name="Check Box 1399">
          <controlPr defaultSize="0" autoFill="0" autoLine="0" autoPict="0" macro="[0]!ProcessChkBoxes">
            <anchor moveWithCells="1">
              <from>
                <xdr:col>4</xdr:col>
                <xdr:colOff>238125</xdr:colOff>
                <xdr:row>569</xdr:row>
                <xdr:rowOff>0</xdr:rowOff>
              </from>
              <to>
                <xdr:col>5</xdr:col>
                <xdr:colOff>133350</xdr:colOff>
                <xdr:row>569</xdr:row>
                <xdr:rowOff>104775</xdr:rowOff>
              </to>
            </anchor>
          </controlPr>
        </control>
      </mc:Choice>
    </mc:AlternateContent>
    <mc:AlternateContent xmlns:mc="http://schemas.openxmlformats.org/markup-compatibility/2006">
      <mc:Choice Requires="x14">
        <control shapeId="8568" r:id="rId644" name="Check Box 1400">
          <controlPr defaultSize="0" autoFill="0" autoLine="0" autoPict="0" macro="[0]!ProcessChkBoxes">
            <anchor moveWithCells="1">
              <from>
                <xdr:col>3</xdr:col>
                <xdr:colOff>0</xdr:colOff>
                <xdr:row>570</xdr:row>
                <xdr:rowOff>19050</xdr:rowOff>
              </from>
              <to>
                <xdr:col>3</xdr:col>
                <xdr:colOff>152400</xdr:colOff>
                <xdr:row>570</xdr:row>
                <xdr:rowOff>123825</xdr:rowOff>
              </to>
            </anchor>
          </controlPr>
        </control>
      </mc:Choice>
    </mc:AlternateContent>
    <mc:AlternateContent xmlns:mc="http://schemas.openxmlformats.org/markup-compatibility/2006">
      <mc:Choice Requires="x14">
        <control shapeId="8569" r:id="rId645" name="Check Box 1401">
          <controlPr defaultSize="0" autoFill="0" autoLine="0" autoPict="0" macro="[0]!ProcessChkBoxes">
            <anchor moveWithCells="1">
              <from>
                <xdr:col>3</xdr:col>
                <xdr:colOff>228600</xdr:colOff>
                <xdr:row>570</xdr:row>
                <xdr:rowOff>9525</xdr:rowOff>
              </from>
              <to>
                <xdr:col>4</xdr:col>
                <xdr:colOff>123825</xdr:colOff>
                <xdr:row>570</xdr:row>
                <xdr:rowOff>114300</xdr:rowOff>
              </to>
            </anchor>
          </controlPr>
        </control>
      </mc:Choice>
    </mc:AlternateContent>
    <mc:AlternateContent xmlns:mc="http://schemas.openxmlformats.org/markup-compatibility/2006">
      <mc:Choice Requires="x14">
        <control shapeId="8570" r:id="rId646" name="Check Box 1402">
          <controlPr defaultSize="0" autoFill="0" autoLine="0" autoPict="0" macro="[0]!ProcessChkBoxes">
            <anchor moveWithCells="1">
              <from>
                <xdr:col>4</xdr:col>
                <xdr:colOff>238125</xdr:colOff>
                <xdr:row>570</xdr:row>
                <xdr:rowOff>0</xdr:rowOff>
              </from>
              <to>
                <xdr:col>5</xdr:col>
                <xdr:colOff>133350</xdr:colOff>
                <xdr:row>570</xdr:row>
                <xdr:rowOff>104775</xdr:rowOff>
              </to>
            </anchor>
          </controlPr>
        </control>
      </mc:Choice>
    </mc:AlternateContent>
    <mc:AlternateContent xmlns:mc="http://schemas.openxmlformats.org/markup-compatibility/2006">
      <mc:Choice Requires="x14">
        <control shapeId="8571" r:id="rId647" name="Check Box 1403">
          <controlPr defaultSize="0" autoFill="0" autoLine="0" autoPict="0" macro="[0]!ProcessChkBoxes">
            <anchor moveWithCells="1">
              <from>
                <xdr:col>3</xdr:col>
                <xdr:colOff>0</xdr:colOff>
                <xdr:row>459</xdr:row>
                <xdr:rowOff>19050</xdr:rowOff>
              </from>
              <to>
                <xdr:col>3</xdr:col>
                <xdr:colOff>152400</xdr:colOff>
                <xdr:row>459</xdr:row>
                <xdr:rowOff>123825</xdr:rowOff>
              </to>
            </anchor>
          </controlPr>
        </control>
      </mc:Choice>
    </mc:AlternateContent>
    <mc:AlternateContent xmlns:mc="http://schemas.openxmlformats.org/markup-compatibility/2006">
      <mc:Choice Requires="x14">
        <control shapeId="8572" r:id="rId648" name="Check Box 1404">
          <controlPr defaultSize="0" autoFill="0" autoLine="0" autoPict="0" macro="[0]!ProcessChkBoxes">
            <anchor moveWithCells="1">
              <from>
                <xdr:col>3</xdr:col>
                <xdr:colOff>228600</xdr:colOff>
                <xdr:row>459</xdr:row>
                <xdr:rowOff>9525</xdr:rowOff>
              </from>
              <to>
                <xdr:col>4</xdr:col>
                <xdr:colOff>123825</xdr:colOff>
                <xdr:row>459</xdr:row>
                <xdr:rowOff>114300</xdr:rowOff>
              </to>
            </anchor>
          </controlPr>
        </control>
      </mc:Choice>
    </mc:AlternateContent>
    <mc:AlternateContent xmlns:mc="http://schemas.openxmlformats.org/markup-compatibility/2006">
      <mc:Choice Requires="x14">
        <control shapeId="8573" r:id="rId649" name="Check Box 1405">
          <controlPr defaultSize="0" autoFill="0" autoLine="0" autoPict="0" macro="[0]!ProcessChkBoxes">
            <anchor moveWithCells="1">
              <from>
                <xdr:col>4</xdr:col>
                <xdr:colOff>238125</xdr:colOff>
                <xdr:row>459</xdr:row>
                <xdr:rowOff>0</xdr:rowOff>
              </from>
              <to>
                <xdr:col>5</xdr:col>
                <xdr:colOff>133350</xdr:colOff>
                <xdr:row>459</xdr:row>
                <xdr:rowOff>104775</xdr:rowOff>
              </to>
            </anchor>
          </controlPr>
        </control>
      </mc:Choice>
    </mc:AlternateContent>
    <mc:AlternateContent xmlns:mc="http://schemas.openxmlformats.org/markup-compatibility/2006">
      <mc:Choice Requires="x14">
        <control shapeId="8574" r:id="rId650" name="Check Box 1406">
          <controlPr defaultSize="0" autoFill="0" autoLine="0" autoPict="0" macro="[0]!ProcessChkBoxes">
            <anchor moveWithCells="1">
              <from>
                <xdr:col>3</xdr:col>
                <xdr:colOff>0</xdr:colOff>
                <xdr:row>462</xdr:row>
                <xdr:rowOff>19050</xdr:rowOff>
              </from>
              <to>
                <xdr:col>3</xdr:col>
                <xdr:colOff>152400</xdr:colOff>
                <xdr:row>462</xdr:row>
                <xdr:rowOff>123825</xdr:rowOff>
              </to>
            </anchor>
          </controlPr>
        </control>
      </mc:Choice>
    </mc:AlternateContent>
    <mc:AlternateContent xmlns:mc="http://schemas.openxmlformats.org/markup-compatibility/2006">
      <mc:Choice Requires="x14">
        <control shapeId="8575" r:id="rId651" name="Check Box 1407">
          <controlPr defaultSize="0" autoFill="0" autoLine="0" autoPict="0" macro="[0]!ProcessChkBoxes">
            <anchor moveWithCells="1">
              <from>
                <xdr:col>3</xdr:col>
                <xdr:colOff>228600</xdr:colOff>
                <xdr:row>462</xdr:row>
                <xdr:rowOff>9525</xdr:rowOff>
              </from>
              <to>
                <xdr:col>4</xdr:col>
                <xdr:colOff>123825</xdr:colOff>
                <xdr:row>462</xdr:row>
                <xdr:rowOff>114300</xdr:rowOff>
              </to>
            </anchor>
          </controlPr>
        </control>
      </mc:Choice>
    </mc:AlternateContent>
    <mc:AlternateContent xmlns:mc="http://schemas.openxmlformats.org/markup-compatibility/2006">
      <mc:Choice Requires="x14">
        <control shapeId="8576" r:id="rId652" name="Check Box 1408">
          <controlPr defaultSize="0" autoFill="0" autoLine="0" autoPict="0" macro="[0]!ProcessChkBoxes">
            <anchor moveWithCells="1">
              <from>
                <xdr:col>4</xdr:col>
                <xdr:colOff>238125</xdr:colOff>
                <xdr:row>462</xdr:row>
                <xdr:rowOff>0</xdr:rowOff>
              </from>
              <to>
                <xdr:col>5</xdr:col>
                <xdr:colOff>133350</xdr:colOff>
                <xdr:row>462</xdr:row>
                <xdr:rowOff>104775</xdr:rowOff>
              </to>
            </anchor>
          </controlPr>
        </control>
      </mc:Choice>
    </mc:AlternateContent>
    <mc:AlternateContent xmlns:mc="http://schemas.openxmlformats.org/markup-compatibility/2006">
      <mc:Choice Requires="x14">
        <control shapeId="8577" r:id="rId653" name="Check Box 1409">
          <controlPr defaultSize="0" autoFill="0" autoLine="0" autoPict="0" macro="[0]!ProcessChkBoxes">
            <anchor moveWithCells="1">
              <from>
                <xdr:col>3</xdr:col>
                <xdr:colOff>0</xdr:colOff>
                <xdr:row>463</xdr:row>
                <xdr:rowOff>19050</xdr:rowOff>
              </from>
              <to>
                <xdr:col>3</xdr:col>
                <xdr:colOff>152400</xdr:colOff>
                <xdr:row>463</xdr:row>
                <xdr:rowOff>123825</xdr:rowOff>
              </to>
            </anchor>
          </controlPr>
        </control>
      </mc:Choice>
    </mc:AlternateContent>
    <mc:AlternateContent xmlns:mc="http://schemas.openxmlformats.org/markup-compatibility/2006">
      <mc:Choice Requires="x14">
        <control shapeId="8578" r:id="rId654" name="Check Box 1410">
          <controlPr defaultSize="0" autoFill="0" autoLine="0" autoPict="0" macro="[0]!ProcessChkBoxes">
            <anchor moveWithCells="1">
              <from>
                <xdr:col>3</xdr:col>
                <xdr:colOff>228600</xdr:colOff>
                <xdr:row>463</xdr:row>
                <xdr:rowOff>9525</xdr:rowOff>
              </from>
              <to>
                <xdr:col>4</xdr:col>
                <xdr:colOff>123825</xdr:colOff>
                <xdr:row>463</xdr:row>
                <xdr:rowOff>114300</xdr:rowOff>
              </to>
            </anchor>
          </controlPr>
        </control>
      </mc:Choice>
    </mc:AlternateContent>
    <mc:AlternateContent xmlns:mc="http://schemas.openxmlformats.org/markup-compatibility/2006">
      <mc:Choice Requires="x14">
        <control shapeId="8579" r:id="rId655" name="Check Box 1411">
          <controlPr defaultSize="0" autoFill="0" autoLine="0" autoPict="0" macro="[0]!ProcessChkBoxes">
            <anchor moveWithCells="1">
              <from>
                <xdr:col>4</xdr:col>
                <xdr:colOff>238125</xdr:colOff>
                <xdr:row>463</xdr:row>
                <xdr:rowOff>0</xdr:rowOff>
              </from>
              <to>
                <xdr:col>5</xdr:col>
                <xdr:colOff>133350</xdr:colOff>
                <xdr:row>463</xdr:row>
                <xdr:rowOff>104775</xdr:rowOff>
              </to>
            </anchor>
          </controlPr>
        </control>
      </mc:Choice>
    </mc:AlternateContent>
    <mc:AlternateContent xmlns:mc="http://schemas.openxmlformats.org/markup-compatibility/2006">
      <mc:Choice Requires="x14">
        <control shapeId="8580" r:id="rId656" name="Check Box 1412">
          <controlPr defaultSize="0" autoFill="0" autoLine="0" autoPict="0" macro="[0]!ProcessChkBoxes">
            <anchor moveWithCells="1">
              <from>
                <xdr:col>3</xdr:col>
                <xdr:colOff>0</xdr:colOff>
                <xdr:row>464</xdr:row>
                <xdr:rowOff>19050</xdr:rowOff>
              </from>
              <to>
                <xdr:col>3</xdr:col>
                <xdr:colOff>152400</xdr:colOff>
                <xdr:row>464</xdr:row>
                <xdr:rowOff>123825</xdr:rowOff>
              </to>
            </anchor>
          </controlPr>
        </control>
      </mc:Choice>
    </mc:AlternateContent>
    <mc:AlternateContent xmlns:mc="http://schemas.openxmlformats.org/markup-compatibility/2006">
      <mc:Choice Requires="x14">
        <control shapeId="8581" r:id="rId657" name="Check Box 1413">
          <controlPr defaultSize="0" autoFill="0" autoLine="0" autoPict="0" macro="[0]!ProcessChkBoxes">
            <anchor moveWithCells="1">
              <from>
                <xdr:col>3</xdr:col>
                <xdr:colOff>228600</xdr:colOff>
                <xdr:row>464</xdr:row>
                <xdr:rowOff>9525</xdr:rowOff>
              </from>
              <to>
                <xdr:col>4</xdr:col>
                <xdr:colOff>123825</xdr:colOff>
                <xdr:row>464</xdr:row>
                <xdr:rowOff>114300</xdr:rowOff>
              </to>
            </anchor>
          </controlPr>
        </control>
      </mc:Choice>
    </mc:AlternateContent>
    <mc:AlternateContent xmlns:mc="http://schemas.openxmlformats.org/markup-compatibility/2006">
      <mc:Choice Requires="x14">
        <control shapeId="8582" r:id="rId658" name="Check Box 1414">
          <controlPr defaultSize="0" autoFill="0" autoLine="0" autoPict="0" macro="[0]!ProcessChkBoxes">
            <anchor moveWithCells="1">
              <from>
                <xdr:col>4</xdr:col>
                <xdr:colOff>238125</xdr:colOff>
                <xdr:row>464</xdr:row>
                <xdr:rowOff>0</xdr:rowOff>
              </from>
              <to>
                <xdr:col>5</xdr:col>
                <xdr:colOff>133350</xdr:colOff>
                <xdr:row>464</xdr:row>
                <xdr:rowOff>104775</xdr:rowOff>
              </to>
            </anchor>
          </controlPr>
        </control>
      </mc:Choice>
    </mc:AlternateContent>
    <mc:AlternateContent xmlns:mc="http://schemas.openxmlformats.org/markup-compatibility/2006">
      <mc:Choice Requires="x14">
        <control shapeId="8586" r:id="rId659" name="Check Box 1418">
          <controlPr defaultSize="0" autoFill="0" autoLine="0" autoPict="0" macro="[0]!ProcessChkBoxes">
            <anchor moveWithCells="1">
              <from>
                <xdr:col>3</xdr:col>
                <xdr:colOff>0</xdr:colOff>
                <xdr:row>465</xdr:row>
                <xdr:rowOff>19050</xdr:rowOff>
              </from>
              <to>
                <xdr:col>3</xdr:col>
                <xdr:colOff>152400</xdr:colOff>
                <xdr:row>465</xdr:row>
                <xdr:rowOff>123825</xdr:rowOff>
              </to>
            </anchor>
          </controlPr>
        </control>
      </mc:Choice>
    </mc:AlternateContent>
    <mc:AlternateContent xmlns:mc="http://schemas.openxmlformats.org/markup-compatibility/2006">
      <mc:Choice Requires="x14">
        <control shapeId="8587" r:id="rId660" name="Check Box 1419">
          <controlPr defaultSize="0" autoFill="0" autoLine="0" autoPict="0" macro="[0]!ProcessChkBoxes">
            <anchor moveWithCells="1">
              <from>
                <xdr:col>3</xdr:col>
                <xdr:colOff>228600</xdr:colOff>
                <xdr:row>465</xdr:row>
                <xdr:rowOff>9525</xdr:rowOff>
              </from>
              <to>
                <xdr:col>4</xdr:col>
                <xdr:colOff>123825</xdr:colOff>
                <xdr:row>465</xdr:row>
                <xdr:rowOff>114300</xdr:rowOff>
              </to>
            </anchor>
          </controlPr>
        </control>
      </mc:Choice>
    </mc:AlternateContent>
    <mc:AlternateContent xmlns:mc="http://schemas.openxmlformats.org/markup-compatibility/2006">
      <mc:Choice Requires="x14">
        <control shapeId="8588" r:id="rId661" name="Check Box 1420">
          <controlPr defaultSize="0" autoFill="0" autoLine="0" autoPict="0" macro="[0]!ProcessChkBoxes">
            <anchor moveWithCells="1">
              <from>
                <xdr:col>4</xdr:col>
                <xdr:colOff>238125</xdr:colOff>
                <xdr:row>465</xdr:row>
                <xdr:rowOff>0</xdr:rowOff>
              </from>
              <to>
                <xdr:col>5</xdr:col>
                <xdr:colOff>133350</xdr:colOff>
                <xdr:row>465</xdr:row>
                <xdr:rowOff>104775</xdr:rowOff>
              </to>
            </anchor>
          </controlPr>
        </control>
      </mc:Choice>
    </mc:AlternateContent>
    <mc:AlternateContent xmlns:mc="http://schemas.openxmlformats.org/markup-compatibility/2006">
      <mc:Choice Requires="x14">
        <control shapeId="8589" r:id="rId662" name="Check Box 1421">
          <controlPr defaultSize="0" autoFill="0" autoLine="0" autoPict="0" macro="[0]!ProcessChkBoxes">
            <anchor moveWithCells="1">
              <from>
                <xdr:col>3</xdr:col>
                <xdr:colOff>0</xdr:colOff>
                <xdr:row>466</xdr:row>
                <xdr:rowOff>19050</xdr:rowOff>
              </from>
              <to>
                <xdr:col>3</xdr:col>
                <xdr:colOff>152400</xdr:colOff>
                <xdr:row>466</xdr:row>
                <xdr:rowOff>123825</xdr:rowOff>
              </to>
            </anchor>
          </controlPr>
        </control>
      </mc:Choice>
    </mc:AlternateContent>
    <mc:AlternateContent xmlns:mc="http://schemas.openxmlformats.org/markup-compatibility/2006">
      <mc:Choice Requires="x14">
        <control shapeId="8590" r:id="rId663" name="Check Box 1422">
          <controlPr defaultSize="0" autoFill="0" autoLine="0" autoPict="0" macro="[0]!ProcessChkBoxes">
            <anchor moveWithCells="1">
              <from>
                <xdr:col>3</xdr:col>
                <xdr:colOff>228600</xdr:colOff>
                <xdr:row>466</xdr:row>
                <xdr:rowOff>9525</xdr:rowOff>
              </from>
              <to>
                <xdr:col>4</xdr:col>
                <xdr:colOff>123825</xdr:colOff>
                <xdr:row>466</xdr:row>
                <xdr:rowOff>114300</xdr:rowOff>
              </to>
            </anchor>
          </controlPr>
        </control>
      </mc:Choice>
    </mc:AlternateContent>
    <mc:AlternateContent xmlns:mc="http://schemas.openxmlformats.org/markup-compatibility/2006">
      <mc:Choice Requires="x14">
        <control shapeId="8591" r:id="rId664" name="Check Box 1423">
          <controlPr defaultSize="0" autoFill="0" autoLine="0" autoPict="0" macro="[0]!ProcessChkBoxes">
            <anchor moveWithCells="1">
              <from>
                <xdr:col>4</xdr:col>
                <xdr:colOff>238125</xdr:colOff>
                <xdr:row>466</xdr:row>
                <xdr:rowOff>0</xdr:rowOff>
              </from>
              <to>
                <xdr:col>5</xdr:col>
                <xdr:colOff>133350</xdr:colOff>
                <xdr:row>466</xdr:row>
                <xdr:rowOff>104775</xdr:rowOff>
              </to>
            </anchor>
          </controlPr>
        </control>
      </mc:Choice>
    </mc:AlternateContent>
    <mc:AlternateContent xmlns:mc="http://schemas.openxmlformats.org/markup-compatibility/2006">
      <mc:Choice Requires="x14">
        <control shapeId="8592" r:id="rId665" name="Check Box 1424">
          <controlPr defaultSize="0" autoFill="0" autoLine="0" autoPict="0" macro="[0]!ProcessChkBoxes">
            <anchor moveWithCells="1">
              <from>
                <xdr:col>3</xdr:col>
                <xdr:colOff>0</xdr:colOff>
                <xdr:row>487</xdr:row>
                <xdr:rowOff>19050</xdr:rowOff>
              </from>
              <to>
                <xdr:col>3</xdr:col>
                <xdr:colOff>152400</xdr:colOff>
                <xdr:row>487</xdr:row>
                <xdr:rowOff>123825</xdr:rowOff>
              </to>
            </anchor>
          </controlPr>
        </control>
      </mc:Choice>
    </mc:AlternateContent>
    <mc:AlternateContent xmlns:mc="http://schemas.openxmlformats.org/markup-compatibility/2006">
      <mc:Choice Requires="x14">
        <control shapeId="8593" r:id="rId666" name="Check Box 1425">
          <controlPr defaultSize="0" autoFill="0" autoLine="0" autoPict="0" macro="[0]!ProcessChkBoxes">
            <anchor moveWithCells="1">
              <from>
                <xdr:col>3</xdr:col>
                <xdr:colOff>228600</xdr:colOff>
                <xdr:row>487</xdr:row>
                <xdr:rowOff>9525</xdr:rowOff>
              </from>
              <to>
                <xdr:col>4</xdr:col>
                <xdr:colOff>123825</xdr:colOff>
                <xdr:row>487</xdr:row>
                <xdr:rowOff>114300</xdr:rowOff>
              </to>
            </anchor>
          </controlPr>
        </control>
      </mc:Choice>
    </mc:AlternateContent>
    <mc:AlternateContent xmlns:mc="http://schemas.openxmlformats.org/markup-compatibility/2006">
      <mc:Choice Requires="x14">
        <control shapeId="8594" r:id="rId667" name="Check Box 1426">
          <controlPr defaultSize="0" autoFill="0" autoLine="0" autoPict="0" macro="[0]!ProcessChkBoxes">
            <anchor moveWithCells="1">
              <from>
                <xdr:col>4</xdr:col>
                <xdr:colOff>238125</xdr:colOff>
                <xdr:row>487</xdr:row>
                <xdr:rowOff>0</xdr:rowOff>
              </from>
              <to>
                <xdr:col>5</xdr:col>
                <xdr:colOff>133350</xdr:colOff>
                <xdr:row>487</xdr:row>
                <xdr:rowOff>104775</xdr:rowOff>
              </to>
            </anchor>
          </controlPr>
        </control>
      </mc:Choice>
    </mc:AlternateContent>
    <mc:AlternateContent xmlns:mc="http://schemas.openxmlformats.org/markup-compatibility/2006">
      <mc:Choice Requires="x14">
        <control shapeId="8595" r:id="rId668" name="Check Box 1427">
          <controlPr defaultSize="0" autoFill="0" autoLine="0" autoPict="0" macro="[0]!ProcessChkBoxes">
            <anchor moveWithCells="1">
              <from>
                <xdr:col>3</xdr:col>
                <xdr:colOff>0</xdr:colOff>
                <xdr:row>488</xdr:row>
                <xdr:rowOff>19050</xdr:rowOff>
              </from>
              <to>
                <xdr:col>3</xdr:col>
                <xdr:colOff>152400</xdr:colOff>
                <xdr:row>488</xdr:row>
                <xdr:rowOff>123825</xdr:rowOff>
              </to>
            </anchor>
          </controlPr>
        </control>
      </mc:Choice>
    </mc:AlternateContent>
    <mc:AlternateContent xmlns:mc="http://schemas.openxmlformats.org/markup-compatibility/2006">
      <mc:Choice Requires="x14">
        <control shapeId="8596" r:id="rId669" name="Check Box 1428">
          <controlPr defaultSize="0" autoFill="0" autoLine="0" autoPict="0" macro="[0]!ProcessChkBoxes">
            <anchor moveWithCells="1">
              <from>
                <xdr:col>3</xdr:col>
                <xdr:colOff>228600</xdr:colOff>
                <xdr:row>488</xdr:row>
                <xdr:rowOff>9525</xdr:rowOff>
              </from>
              <to>
                <xdr:col>4</xdr:col>
                <xdr:colOff>123825</xdr:colOff>
                <xdr:row>488</xdr:row>
                <xdr:rowOff>114300</xdr:rowOff>
              </to>
            </anchor>
          </controlPr>
        </control>
      </mc:Choice>
    </mc:AlternateContent>
    <mc:AlternateContent xmlns:mc="http://schemas.openxmlformats.org/markup-compatibility/2006">
      <mc:Choice Requires="x14">
        <control shapeId="8597" r:id="rId670" name="Check Box 1429">
          <controlPr defaultSize="0" autoFill="0" autoLine="0" autoPict="0" macro="[0]!ProcessChkBoxes">
            <anchor moveWithCells="1">
              <from>
                <xdr:col>4</xdr:col>
                <xdr:colOff>238125</xdr:colOff>
                <xdr:row>488</xdr:row>
                <xdr:rowOff>0</xdr:rowOff>
              </from>
              <to>
                <xdr:col>5</xdr:col>
                <xdr:colOff>133350</xdr:colOff>
                <xdr:row>488</xdr:row>
                <xdr:rowOff>104775</xdr:rowOff>
              </to>
            </anchor>
          </controlPr>
        </control>
      </mc:Choice>
    </mc:AlternateContent>
    <mc:AlternateContent xmlns:mc="http://schemas.openxmlformats.org/markup-compatibility/2006">
      <mc:Choice Requires="x14">
        <control shapeId="8598" r:id="rId671" name="Check Box 1430">
          <controlPr defaultSize="0" autoFill="0" autoLine="0" autoPict="0" macro="[0]!ProcessChkBoxes">
            <anchor moveWithCells="1">
              <from>
                <xdr:col>3</xdr:col>
                <xdr:colOff>0</xdr:colOff>
                <xdr:row>489</xdr:row>
                <xdr:rowOff>19050</xdr:rowOff>
              </from>
              <to>
                <xdr:col>3</xdr:col>
                <xdr:colOff>152400</xdr:colOff>
                <xdr:row>489</xdr:row>
                <xdr:rowOff>123825</xdr:rowOff>
              </to>
            </anchor>
          </controlPr>
        </control>
      </mc:Choice>
    </mc:AlternateContent>
    <mc:AlternateContent xmlns:mc="http://schemas.openxmlformats.org/markup-compatibility/2006">
      <mc:Choice Requires="x14">
        <control shapeId="8599" r:id="rId672" name="Check Box 1431">
          <controlPr defaultSize="0" autoFill="0" autoLine="0" autoPict="0" macro="[0]!ProcessChkBoxes">
            <anchor moveWithCells="1">
              <from>
                <xdr:col>3</xdr:col>
                <xdr:colOff>228600</xdr:colOff>
                <xdr:row>489</xdr:row>
                <xdr:rowOff>9525</xdr:rowOff>
              </from>
              <to>
                <xdr:col>4</xdr:col>
                <xdr:colOff>123825</xdr:colOff>
                <xdr:row>489</xdr:row>
                <xdr:rowOff>114300</xdr:rowOff>
              </to>
            </anchor>
          </controlPr>
        </control>
      </mc:Choice>
    </mc:AlternateContent>
    <mc:AlternateContent xmlns:mc="http://schemas.openxmlformats.org/markup-compatibility/2006">
      <mc:Choice Requires="x14">
        <control shapeId="8600" r:id="rId673" name="Check Box 1432">
          <controlPr defaultSize="0" autoFill="0" autoLine="0" autoPict="0" macro="[0]!ProcessChkBoxes">
            <anchor moveWithCells="1">
              <from>
                <xdr:col>4</xdr:col>
                <xdr:colOff>238125</xdr:colOff>
                <xdr:row>489</xdr:row>
                <xdr:rowOff>0</xdr:rowOff>
              </from>
              <to>
                <xdr:col>5</xdr:col>
                <xdr:colOff>133350</xdr:colOff>
                <xdr:row>489</xdr:row>
                <xdr:rowOff>104775</xdr:rowOff>
              </to>
            </anchor>
          </controlPr>
        </control>
      </mc:Choice>
    </mc:AlternateContent>
    <mc:AlternateContent xmlns:mc="http://schemas.openxmlformats.org/markup-compatibility/2006">
      <mc:Choice Requires="x14">
        <control shapeId="8601" r:id="rId674" name="Check Box 1433">
          <controlPr defaultSize="0" autoFill="0" autoLine="0" autoPict="0" macro="[0]!ProcessChkBoxes">
            <anchor moveWithCells="1">
              <from>
                <xdr:col>3</xdr:col>
                <xdr:colOff>0</xdr:colOff>
                <xdr:row>471</xdr:row>
                <xdr:rowOff>19050</xdr:rowOff>
              </from>
              <to>
                <xdr:col>3</xdr:col>
                <xdr:colOff>152400</xdr:colOff>
                <xdr:row>471</xdr:row>
                <xdr:rowOff>123825</xdr:rowOff>
              </to>
            </anchor>
          </controlPr>
        </control>
      </mc:Choice>
    </mc:AlternateContent>
    <mc:AlternateContent xmlns:mc="http://schemas.openxmlformats.org/markup-compatibility/2006">
      <mc:Choice Requires="x14">
        <control shapeId="8602" r:id="rId675" name="Check Box 1434">
          <controlPr defaultSize="0" autoFill="0" autoLine="0" autoPict="0" macro="[0]!ProcessChkBoxes">
            <anchor moveWithCells="1">
              <from>
                <xdr:col>3</xdr:col>
                <xdr:colOff>228600</xdr:colOff>
                <xdr:row>471</xdr:row>
                <xdr:rowOff>9525</xdr:rowOff>
              </from>
              <to>
                <xdr:col>4</xdr:col>
                <xdr:colOff>123825</xdr:colOff>
                <xdr:row>471</xdr:row>
                <xdr:rowOff>114300</xdr:rowOff>
              </to>
            </anchor>
          </controlPr>
        </control>
      </mc:Choice>
    </mc:AlternateContent>
    <mc:AlternateContent xmlns:mc="http://schemas.openxmlformats.org/markup-compatibility/2006">
      <mc:Choice Requires="x14">
        <control shapeId="8603" r:id="rId676" name="Check Box 1435">
          <controlPr defaultSize="0" autoFill="0" autoLine="0" autoPict="0" macro="[0]!ProcessChkBoxes">
            <anchor moveWithCells="1">
              <from>
                <xdr:col>4</xdr:col>
                <xdr:colOff>238125</xdr:colOff>
                <xdr:row>471</xdr:row>
                <xdr:rowOff>0</xdr:rowOff>
              </from>
              <to>
                <xdr:col>5</xdr:col>
                <xdr:colOff>133350</xdr:colOff>
                <xdr:row>471</xdr:row>
                <xdr:rowOff>104775</xdr:rowOff>
              </to>
            </anchor>
          </controlPr>
        </control>
      </mc:Choice>
    </mc:AlternateContent>
    <mc:AlternateContent xmlns:mc="http://schemas.openxmlformats.org/markup-compatibility/2006">
      <mc:Choice Requires="x14">
        <control shapeId="8604" r:id="rId677" name="Check Box 1436">
          <controlPr defaultSize="0" autoFill="0" autoLine="0" autoPict="0" macro="[0]!ProcessChkBoxes">
            <anchor moveWithCells="1">
              <from>
                <xdr:col>3</xdr:col>
                <xdr:colOff>0</xdr:colOff>
                <xdr:row>472</xdr:row>
                <xdr:rowOff>19050</xdr:rowOff>
              </from>
              <to>
                <xdr:col>3</xdr:col>
                <xdr:colOff>152400</xdr:colOff>
                <xdr:row>472</xdr:row>
                <xdr:rowOff>123825</xdr:rowOff>
              </to>
            </anchor>
          </controlPr>
        </control>
      </mc:Choice>
    </mc:AlternateContent>
    <mc:AlternateContent xmlns:mc="http://schemas.openxmlformats.org/markup-compatibility/2006">
      <mc:Choice Requires="x14">
        <control shapeId="8605" r:id="rId678" name="Check Box 1437">
          <controlPr defaultSize="0" autoFill="0" autoLine="0" autoPict="0" macro="[0]!ProcessChkBoxes">
            <anchor moveWithCells="1">
              <from>
                <xdr:col>3</xdr:col>
                <xdr:colOff>228600</xdr:colOff>
                <xdr:row>472</xdr:row>
                <xdr:rowOff>9525</xdr:rowOff>
              </from>
              <to>
                <xdr:col>4</xdr:col>
                <xdr:colOff>123825</xdr:colOff>
                <xdr:row>472</xdr:row>
                <xdr:rowOff>114300</xdr:rowOff>
              </to>
            </anchor>
          </controlPr>
        </control>
      </mc:Choice>
    </mc:AlternateContent>
    <mc:AlternateContent xmlns:mc="http://schemas.openxmlformats.org/markup-compatibility/2006">
      <mc:Choice Requires="x14">
        <control shapeId="8606" r:id="rId679" name="Check Box 1438">
          <controlPr defaultSize="0" autoFill="0" autoLine="0" autoPict="0" macro="[0]!ProcessChkBoxes">
            <anchor moveWithCells="1">
              <from>
                <xdr:col>4</xdr:col>
                <xdr:colOff>238125</xdr:colOff>
                <xdr:row>472</xdr:row>
                <xdr:rowOff>0</xdr:rowOff>
              </from>
              <to>
                <xdr:col>5</xdr:col>
                <xdr:colOff>133350</xdr:colOff>
                <xdr:row>472</xdr:row>
                <xdr:rowOff>104775</xdr:rowOff>
              </to>
            </anchor>
          </controlPr>
        </control>
      </mc:Choice>
    </mc:AlternateContent>
    <mc:AlternateContent xmlns:mc="http://schemas.openxmlformats.org/markup-compatibility/2006">
      <mc:Choice Requires="x14">
        <control shapeId="8607" r:id="rId680" name="Check Box 1439">
          <controlPr defaultSize="0" autoFill="0" autoLine="0" autoPict="0" macro="[0]!ProcessChkBoxes">
            <anchor moveWithCells="1">
              <from>
                <xdr:col>3</xdr:col>
                <xdr:colOff>0</xdr:colOff>
                <xdr:row>473</xdr:row>
                <xdr:rowOff>19050</xdr:rowOff>
              </from>
              <to>
                <xdr:col>3</xdr:col>
                <xdr:colOff>152400</xdr:colOff>
                <xdr:row>473</xdr:row>
                <xdr:rowOff>123825</xdr:rowOff>
              </to>
            </anchor>
          </controlPr>
        </control>
      </mc:Choice>
    </mc:AlternateContent>
    <mc:AlternateContent xmlns:mc="http://schemas.openxmlformats.org/markup-compatibility/2006">
      <mc:Choice Requires="x14">
        <control shapeId="8608" r:id="rId681" name="Check Box 1440">
          <controlPr defaultSize="0" autoFill="0" autoLine="0" autoPict="0" macro="[0]!ProcessChkBoxes">
            <anchor moveWithCells="1">
              <from>
                <xdr:col>3</xdr:col>
                <xdr:colOff>228600</xdr:colOff>
                <xdr:row>473</xdr:row>
                <xdr:rowOff>9525</xdr:rowOff>
              </from>
              <to>
                <xdr:col>4</xdr:col>
                <xdr:colOff>123825</xdr:colOff>
                <xdr:row>473</xdr:row>
                <xdr:rowOff>114300</xdr:rowOff>
              </to>
            </anchor>
          </controlPr>
        </control>
      </mc:Choice>
    </mc:AlternateContent>
    <mc:AlternateContent xmlns:mc="http://schemas.openxmlformats.org/markup-compatibility/2006">
      <mc:Choice Requires="x14">
        <control shapeId="8609" r:id="rId682" name="Check Box 1441">
          <controlPr defaultSize="0" autoFill="0" autoLine="0" autoPict="0" macro="[0]!ProcessChkBoxes">
            <anchor moveWithCells="1">
              <from>
                <xdr:col>4</xdr:col>
                <xdr:colOff>238125</xdr:colOff>
                <xdr:row>473</xdr:row>
                <xdr:rowOff>0</xdr:rowOff>
              </from>
              <to>
                <xdr:col>5</xdr:col>
                <xdr:colOff>133350</xdr:colOff>
                <xdr:row>473</xdr:row>
                <xdr:rowOff>104775</xdr:rowOff>
              </to>
            </anchor>
          </controlPr>
        </control>
      </mc:Choice>
    </mc:AlternateContent>
    <mc:AlternateContent xmlns:mc="http://schemas.openxmlformats.org/markup-compatibility/2006">
      <mc:Choice Requires="x14">
        <control shapeId="8610" r:id="rId683" name="Check Box 1442">
          <controlPr defaultSize="0" autoFill="0" autoLine="0" autoPict="0" macro="[0]!ProcessChkBoxes">
            <anchor moveWithCells="1">
              <from>
                <xdr:col>3</xdr:col>
                <xdr:colOff>0</xdr:colOff>
                <xdr:row>474</xdr:row>
                <xdr:rowOff>19050</xdr:rowOff>
              </from>
              <to>
                <xdr:col>3</xdr:col>
                <xdr:colOff>152400</xdr:colOff>
                <xdr:row>474</xdr:row>
                <xdr:rowOff>123825</xdr:rowOff>
              </to>
            </anchor>
          </controlPr>
        </control>
      </mc:Choice>
    </mc:AlternateContent>
    <mc:AlternateContent xmlns:mc="http://schemas.openxmlformats.org/markup-compatibility/2006">
      <mc:Choice Requires="x14">
        <control shapeId="8611" r:id="rId684" name="Check Box 1443">
          <controlPr defaultSize="0" autoFill="0" autoLine="0" autoPict="0" macro="[0]!ProcessChkBoxes">
            <anchor moveWithCells="1">
              <from>
                <xdr:col>3</xdr:col>
                <xdr:colOff>228600</xdr:colOff>
                <xdr:row>474</xdr:row>
                <xdr:rowOff>9525</xdr:rowOff>
              </from>
              <to>
                <xdr:col>4</xdr:col>
                <xdr:colOff>123825</xdr:colOff>
                <xdr:row>474</xdr:row>
                <xdr:rowOff>114300</xdr:rowOff>
              </to>
            </anchor>
          </controlPr>
        </control>
      </mc:Choice>
    </mc:AlternateContent>
    <mc:AlternateContent xmlns:mc="http://schemas.openxmlformats.org/markup-compatibility/2006">
      <mc:Choice Requires="x14">
        <control shapeId="8612" r:id="rId685" name="Check Box 1444">
          <controlPr defaultSize="0" autoFill="0" autoLine="0" autoPict="0" macro="[0]!ProcessChkBoxes">
            <anchor moveWithCells="1">
              <from>
                <xdr:col>4</xdr:col>
                <xdr:colOff>238125</xdr:colOff>
                <xdr:row>474</xdr:row>
                <xdr:rowOff>0</xdr:rowOff>
              </from>
              <to>
                <xdr:col>5</xdr:col>
                <xdr:colOff>133350</xdr:colOff>
                <xdr:row>474</xdr:row>
                <xdr:rowOff>104775</xdr:rowOff>
              </to>
            </anchor>
          </controlPr>
        </control>
      </mc:Choice>
    </mc:AlternateContent>
    <mc:AlternateContent xmlns:mc="http://schemas.openxmlformats.org/markup-compatibility/2006">
      <mc:Choice Requires="x14">
        <control shapeId="8613" r:id="rId686" name="Check Box 1445">
          <controlPr defaultSize="0" autoFill="0" autoLine="0" autoPict="0" macro="[0]!ProcessChkBoxes">
            <anchor moveWithCells="1">
              <from>
                <xdr:col>3</xdr:col>
                <xdr:colOff>0</xdr:colOff>
                <xdr:row>476</xdr:row>
                <xdr:rowOff>19050</xdr:rowOff>
              </from>
              <to>
                <xdr:col>3</xdr:col>
                <xdr:colOff>152400</xdr:colOff>
                <xdr:row>476</xdr:row>
                <xdr:rowOff>123825</xdr:rowOff>
              </to>
            </anchor>
          </controlPr>
        </control>
      </mc:Choice>
    </mc:AlternateContent>
    <mc:AlternateContent xmlns:mc="http://schemas.openxmlformats.org/markup-compatibility/2006">
      <mc:Choice Requires="x14">
        <control shapeId="8614" r:id="rId687" name="Check Box 1446">
          <controlPr defaultSize="0" autoFill="0" autoLine="0" autoPict="0" macro="[0]!ProcessChkBoxes">
            <anchor moveWithCells="1">
              <from>
                <xdr:col>3</xdr:col>
                <xdr:colOff>228600</xdr:colOff>
                <xdr:row>476</xdr:row>
                <xdr:rowOff>9525</xdr:rowOff>
              </from>
              <to>
                <xdr:col>4</xdr:col>
                <xdr:colOff>123825</xdr:colOff>
                <xdr:row>476</xdr:row>
                <xdr:rowOff>114300</xdr:rowOff>
              </to>
            </anchor>
          </controlPr>
        </control>
      </mc:Choice>
    </mc:AlternateContent>
    <mc:AlternateContent xmlns:mc="http://schemas.openxmlformats.org/markup-compatibility/2006">
      <mc:Choice Requires="x14">
        <control shapeId="8615" r:id="rId688" name="Check Box 1447">
          <controlPr defaultSize="0" autoFill="0" autoLine="0" autoPict="0" macro="[0]!ProcessChkBoxes">
            <anchor moveWithCells="1">
              <from>
                <xdr:col>4</xdr:col>
                <xdr:colOff>238125</xdr:colOff>
                <xdr:row>476</xdr:row>
                <xdr:rowOff>0</xdr:rowOff>
              </from>
              <to>
                <xdr:col>5</xdr:col>
                <xdr:colOff>133350</xdr:colOff>
                <xdr:row>476</xdr:row>
                <xdr:rowOff>104775</xdr:rowOff>
              </to>
            </anchor>
          </controlPr>
        </control>
      </mc:Choice>
    </mc:AlternateContent>
    <mc:AlternateContent xmlns:mc="http://schemas.openxmlformats.org/markup-compatibility/2006">
      <mc:Choice Requires="x14">
        <control shapeId="8616" r:id="rId689" name="Check Box 1448">
          <controlPr defaultSize="0" autoFill="0" autoLine="0" autoPict="0" macro="[0]!ProcessChkBoxes">
            <anchor moveWithCells="1">
              <from>
                <xdr:col>3</xdr:col>
                <xdr:colOff>0</xdr:colOff>
                <xdr:row>479</xdr:row>
                <xdr:rowOff>19050</xdr:rowOff>
              </from>
              <to>
                <xdr:col>3</xdr:col>
                <xdr:colOff>152400</xdr:colOff>
                <xdr:row>479</xdr:row>
                <xdr:rowOff>123825</xdr:rowOff>
              </to>
            </anchor>
          </controlPr>
        </control>
      </mc:Choice>
    </mc:AlternateContent>
    <mc:AlternateContent xmlns:mc="http://schemas.openxmlformats.org/markup-compatibility/2006">
      <mc:Choice Requires="x14">
        <control shapeId="8617" r:id="rId690" name="Check Box 1449">
          <controlPr defaultSize="0" autoFill="0" autoLine="0" autoPict="0" macro="[0]!ProcessChkBoxes">
            <anchor moveWithCells="1">
              <from>
                <xdr:col>3</xdr:col>
                <xdr:colOff>228600</xdr:colOff>
                <xdr:row>479</xdr:row>
                <xdr:rowOff>9525</xdr:rowOff>
              </from>
              <to>
                <xdr:col>4</xdr:col>
                <xdr:colOff>123825</xdr:colOff>
                <xdr:row>479</xdr:row>
                <xdr:rowOff>114300</xdr:rowOff>
              </to>
            </anchor>
          </controlPr>
        </control>
      </mc:Choice>
    </mc:AlternateContent>
    <mc:AlternateContent xmlns:mc="http://schemas.openxmlformats.org/markup-compatibility/2006">
      <mc:Choice Requires="x14">
        <control shapeId="8618" r:id="rId691" name="Check Box 1450">
          <controlPr defaultSize="0" autoFill="0" autoLine="0" autoPict="0" macro="[0]!ProcessChkBoxes">
            <anchor moveWithCells="1">
              <from>
                <xdr:col>4</xdr:col>
                <xdr:colOff>238125</xdr:colOff>
                <xdr:row>479</xdr:row>
                <xdr:rowOff>0</xdr:rowOff>
              </from>
              <to>
                <xdr:col>5</xdr:col>
                <xdr:colOff>133350</xdr:colOff>
                <xdr:row>479</xdr:row>
                <xdr:rowOff>104775</xdr:rowOff>
              </to>
            </anchor>
          </controlPr>
        </control>
      </mc:Choice>
    </mc:AlternateContent>
    <mc:AlternateContent xmlns:mc="http://schemas.openxmlformats.org/markup-compatibility/2006">
      <mc:Choice Requires="x14">
        <control shapeId="8619" r:id="rId692" name="Check Box 1451">
          <controlPr defaultSize="0" autoFill="0" autoLine="0" autoPict="0" macro="[0]!ProcessChkBoxes">
            <anchor moveWithCells="1">
              <from>
                <xdr:col>3</xdr:col>
                <xdr:colOff>0</xdr:colOff>
                <xdr:row>480</xdr:row>
                <xdr:rowOff>19050</xdr:rowOff>
              </from>
              <to>
                <xdr:col>3</xdr:col>
                <xdr:colOff>152400</xdr:colOff>
                <xdr:row>480</xdr:row>
                <xdr:rowOff>123825</xdr:rowOff>
              </to>
            </anchor>
          </controlPr>
        </control>
      </mc:Choice>
    </mc:AlternateContent>
    <mc:AlternateContent xmlns:mc="http://schemas.openxmlformats.org/markup-compatibility/2006">
      <mc:Choice Requires="x14">
        <control shapeId="8620" r:id="rId693" name="Check Box 1452">
          <controlPr defaultSize="0" autoFill="0" autoLine="0" autoPict="0" macro="[0]!ProcessChkBoxes">
            <anchor moveWithCells="1">
              <from>
                <xdr:col>3</xdr:col>
                <xdr:colOff>228600</xdr:colOff>
                <xdr:row>480</xdr:row>
                <xdr:rowOff>9525</xdr:rowOff>
              </from>
              <to>
                <xdr:col>4</xdr:col>
                <xdr:colOff>123825</xdr:colOff>
                <xdr:row>480</xdr:row>
                <xdr:rowOff>114300</xdr:rowOff>
              </to>
            </anchor>
          </controlPr>
        </control>
      </mc:Choice>
    </mc:AlternateContent>
    <mc:AlternateContent xmlns:mc="http://schemas.openxmlformats.org/markup-compatibility/2006">
      <mc:Choice Requires="x14">
        <control shapeId="8621" r:id="rId694" name="Check Box 1453">
          <controlPr defaultSize="0" autoFill="0" autoLine="0" autoPict="0" macro="[0]!ProcessChkBoxes">
            <anchor moveWithCells="1">
              <from>
                <xdr:col>4</xdr:col>
                <xdr:colOff>238125</xdr:colOff>
                <xdr:row>480</xdr:row>
                <xdr:rowOff>0</xdr:rowOff>
              </from>
              <to>
                <xdr:col>5</xdr:col>
                <xdr:colOff>133350</xdr:colOff>
                <xdr:row>480</xdr:row>
                <xdr:rowOff>104775</xdr:rowOff>
              </to>
            </anchor>
          </controlPr>
        </control>
      </mc:Choice>
    </mc:AlternateContent>
    <mc:AlternateContent xmlns:mc="http://schemas.openxmlformats.org/markup-compatibility/2006">
      <mc:Choice Requires="x14">
        <control shapeId="8625" r:id="rId695" name="Check Box 1457">
          <controlPr defaultSize="0" autoFill="0" autoLine="0" autoPict="0" macro="[0]!ProcessChkBoxes">
            <anchor moveWithCells="1">
              <from>
                <xdr:col>3</xdr:col>
                <xdr:colOff>0</xdr:colOff>
                <xdr:row>481</xdr:row>
                <xdr:rowOff>19050</xdr:rowOff>
              </from>
              <to>
                <xdr:col>3</xdr:col>
                <xdr:colOff>152400</xdr:colOff>
                <xdr:row>481</xdr:row>
                <xdr:rowOff>123825</xdr:rowOff>
              </to>
            </anchor>
          </controlPr>
        </control>
      </mc:Choice>
    </mc:AlternateContent>
    <mc:AlternateContent xmlns:mc="http://schemas.openxmlformats.org/markup-compatibility/2006">
      <mc:Choice Requires="x14">
        <control shapeId="8626" r:id="rId696" name="Check Box 1458">
          <controlPr defaultSize="0" autoFill="0" autoLine="0" autoPict="0" macro="[0]!ProcessChkBoxes">
            <anchor moveWithCells="1">
              <from>
                <xdr:col>3</xdr:col>
                <xdr:colOff>228600</xdr:colOff>
                <xdr:row>481</xdr:row>
                <xdr:rowOff>9525</xdr:rowOff>
              </from>
              <to>
                <xdr:col>4</xdr:col>
                <xdr:colOff>123825</xdr:colOff>
                <xdr:row>481</xdr:row>
                <xdr:rowOff>114300</xdr:rowOff>
              </to>
            </anchor>
          </controlPr>
        </control>
      </mc:Choice>
    </mc:AlternateContent>
    <mc:AlternateContent xmlns:mc="http://schemas.openxmlformats.org/markup-compatibility/2006">
      <mc:Choice Requires="x14">
        <control shapeId="8627" r:id="rId697" name="Check Box 1459">
          <controlPr defaultSize="0" autoFill="0" autoLine="0" autoPict="0" macro="[0]!ProcessChkBoxes">
            <anchor moveWithCells="1">
              <from>
                <xdr:col>4</xdr:col>
                <xdr:colOff>238125</xdr:colOff>
                <xdr:row>481</xdr:row>
                <xdr:rowOff>0</xdr:rowOff>
              </from>
              <to>
                <xdr:col>5</xdr:col>
                <xdr:colOff>133350</xdr:colOff>
                <xdr:row>481</xdr:row>
                <xdr:rowOff>104775</xdr:rowOff>
              </to>
            </anchor>
          </controlPr>
        </control>
      </mc:Choice>
    </mc:AlternateContent>
    <mc:AlternateContent xmlns:mc="http://schemas.openxmlformats.org/markup-compatibility/2006">
      <mc:Choice Requires="x14">
        <control shapeId="8628" r:id="rId698" name="Check Box 1460">
          <controlPr defaultSize="0" autoFill="0" autoLine="0" autoPict="0" macro="[0]!ProcessChkBoxes">
            <anchor moveWithCells="1">
              <from>
                <xdr:col>3</xdr:col>
                <xdr:colOff>0</xdr:colOff>
                <xdr:row>482</xdr:row>
                <xdr:rowOff>19050</xdr:rowOff>
              </from>
              <to>
                <xdr:col>3</xdr:col>
                <xdr:colOff>152400</xdr:colOff>
                <xdr:row>482</xdr:row>
                <xdr:rowOff>123825</xdr:rowOff>
              </to>
            </anchor>
          </controlPr>
        </control>
      </mc:Choice>
    </mc:AlternateContent>
    <mc:AlternateContent xmlns:mc="http://schemas.openxmlformats.org/markup-compatibility/2006">
      <mc:Choice Requires="x14">
        <control shapeId="8629" r:id="rId699" name="Check Box 1461">
          <controlPr defaultSize="0" autoFill="0" autoLine="0" autoPict="0" macro="[0]!ProcessChkBoxes">
            <anchor moveWithCells="1">
              <from>
                <xdr:col>3</xdr:col>
                <xdr:colOff>228600</xdr:colOff>
                <xdr:row>482</xdr:row>
                <xdr:rowOff>9525</xdr:rowOff>
              </from>
              <to>
                <xdr:col>4</xdr:col>
                <xdr:colOff>123825</xdr:colOff>
                <xdr:row>482</xdr:row>
                <xdr:rowOff>114300</xdr:rowOff>
              </to>
            </anchor>
          </controlPr>
        </control>
      </mc:Choice>
    </mc:AlternateContent>
    <mc:AlternateContent xmlns:mc="http://schemas.openxmlformats.org/markup-compatibility/2006">
      <mc:Choice Requires="x14">
        <control shapeId="8630" r:id="rId700" name="Check Box 1462">
          <controlPr defaultSize="0" autoFill="0" autoLine="0" autoPict="0" macro="[0]!ProcessChkBoxes">
            <anchor moveWithCells="1">
              <from>
                <xdr:col>4</xdr:col>
                <xdr:colOff>238125</xdr:colOff>
                <xdr:row>482</xdr:row>
                <xdr:rowOff>0</xdr:rowOff>
              </from>
              <to>
                <xdr:col>5</xdr:col>
                <xdr:colOff>133350</xdr:colOff>
                <xdr:row>482</xdr:row>
                <xdr:rowOff>104775</xdr:rowOff>
              </to>
            </anchor>
          </controlPr>
        </control>
      </mc:Choice>
    </mc:AlternateContent>
    <mc:AlternateContent xmlns:mc="http://schemas.openxmlformats.org/markup-compatibility/2006">
      <mc:Choice Requires="x14">
        <control shapeId="8631" r:id="rId701" name="Check Box 1463">
          <controlPr defaultSize="0" autoFill="0" autoLine="0" autoPict="0" macro="[0]!ProcessChkBoxes">
            <anchor moveWithCells="1">
              <from>
                <xdr:col>3</xdr:col>
                <xdr:colOff>0</xdr:colOff>
                <xdr:row>483</xdr:row>
                <xdr:rowOff>19050</xdr:rowOff>
              </from>
              <to>
                <xdr:col>3</xdr:col>
                <xdr:colOff>152400</xdr:colOff>
                <xdr:row>483</xdr:row>
                <xdr:rowOff>123825</xdr:rowOff>
              </to>
            </anchor>
          </controlPr>
        </control>
      </mc:Choice>
    </mc:AlternateContent>
    <mc:AlternateContent xmlns:mc="http://schemas.openxmlformats.org/markup-compatibility/2006">
      <mc:Choice Requires="x14">
        <control shapeId="8632" r:id="rId702" name="Check Box 1464">
          <controlPr defaultSize="0" autoFill="0" autoLine="0" autoPict="0" macro="[0]!ProcessChkBoxes">
            <anchor moveWithCells="1">
              <from>
                <xdr:col>3</xdr:col>
                <xdr:colOff>228600</xdr:colOff>
                <xdr:row>483</xdr:row>
                <xdr:rowOff>9525</xdr:rowOff>
              </from>
              <to>
                <xdr:col>4</xdr:col>
                <xdr:colOff>123825</xdr:colOff>
                <xdr:row>483</xdr:row>
                <xdr:rowOff>114300</xdr:rowOff>
              </to>
            </anchor>
          </controlPr>
        </control>
      </mc:Choice>
    </mc:AlternateContent>
    <mc:AlternateContent xmlns:mc="http://schemas.openxmlformats.org/markup-compatibility/2006">
      <mc:Choice Requires="x14">
        <control shapeId="8633" r:id="rId703" name="Check Box 1465">
          <controlPr defaultSize="0" autoFill="0" autoLine="0" autoPict="0" macro="[0]!ProcessChkBoxes">
            <anchor moveWithCells="1">
              <from>
                <xdr:col>4</xdr:col>
                <xdr:colOff>238125</xdr:colOff>
                <xdr:row>483</xdr:row>
                <xdr:rowOff>0</xdr:rowOff>
              </from>
              <to>
                <xdr:col>5</xdr:col>
                <xdr:colOff>133350</xdr:colOff>
                <xdr:row>483</xdr:row>
                <xdr:rowOff>104775</xdr:rowOff>
              </to>
            </anchor>
          </controlPr>
        </control>
      </mc:Choice>
    </mc:AlternateContent>
    <mc:AlternateContent xmlns:mc="http://schemas.openxmlformats.org/markup-compatibility/2006">
      <mc:Choice Requires="x14">
        <control shapeId="8634" r:id="rId704" name="Check Box 1466">
          <controlPr defaultSize="0" autoFill="0" autoLine="0" autoPict="0" macro="[0]!ProcessChkBoxes">
            <anchor moveWithCells="1">
              <from>
                <xdr:col>3</xdr:col>
                <xdr:colOff>0</xdr:colOff>
                <xdr:row>484</xdr:row>
                <xdr:rowOff>19050</xdr:rowOff>
              </from>
              <to>
                <xdr:col>3</xdr:col>
                <xdr:colOff>152400</xdr:colOff>
                <xdr:row>484</xdr:row>
                <xdr:rowOff>123825</xdr:rowOff>
              </to>
            </anchor>
          </controlPr>
        </control>
      </mc:Choice>
    </mc:AlternateContent>
    <mc:AlternateContent xmlns:mc="http://schemas.openxmlformats.org/markup-compatibility/2006">
      <mc:Choice Requires="x14">
        <control shapeId="8635" r:id="rId705" name="Check Box 1467">
          <controlPr defaultSize="0" autoFill="0" autoLine="0" autoPict="0" macro="[0]!ProcessChkBoxes">
            <anchor moveWithCells="1">
              <from>
                <xdr:col>3</xdr:col>
                <xdr:colOff>228600</xdr:colOff>
                <xdr:row>484</xdr:row>
                <xdr:rowOff>9525</xdr:rowOff>
              </from>
              <to>
                <xdr:col>4</xdr:col>
                <xdr:colOff>123825</xdr:colOff>
                <xdr:row>484</xdr:row>
                <xdr:rowOff>114300</xdr:rowOff>
              </to>
            </anchor>
          </controlPr>
        </control>
      </mc:Choice>
    </mc:AlternateContent>
    <mc:AlternateContent xmlns:mc="http://schemas.openxmlformats.org/markup-compatibility/2006">
      <mc:Choice Requires="x14">
        <control shapeId="8636" r:id="rId706" name="Check Box 1468">
          <controlPr defaultSize="0" autoFill="0" autoLine="0" autoPict="0" macro="[0]!ProcessChkBoxes">
            <anchor moveWithCells="1">
              <from>
                <xdr:col>4</xdr:col>
                <xdr:colOff>238125</xdr:colOff>
                <xdr:row>484</xdr:row>
                <xdr:rowOff>0</xdr:rowOff>
              </from>
              <to>
                <xdr:col>5</xdr:col>
                <xdr:colOff>133350</xdr:colOff>
                <xdr:row>484</xdr:row>
                <xdr:rowOff>104775</xdr:rowOff>
              </to>
            </anchor>
          </controlPr>
        </control>
      </mc:Choice>
    </mc:AlternateContent>
    <mc:AlternateContent xmlns:mc="http://schemas.openxmlformats.org/markup-compatibility/2006">
      <mc:Choice Requires="x14">
        <control shapeId="8637" r:id="rId707" name="Check Box 1469">
          <controlPr defaultSize="0" autoFill="0" autoLine="0" autoPict="0" macro="[0]!ProcessChkBoxes">
            <anchor moveWithCells="1">
              <from>
                <xdr:col>3</xdr:col>
                <xdr:colOff>0</xdr:colOff>
                <xdr:row>499</xdr:row>
                <xdr:rowOff>19050</xdr:rowOff>
              </from>
              <to>
                <xdr:col>3</xdr:col>
                <xdr:colOff>152400</xdr:colOff>
                <xdr:row>499</xdr:row>
                <xdr:rowOff>123825</xdr:rowOff>
              </to>
            </anchor>
          </controlPr>
        </control>
      </mc:Choice>
    </mc:AlternateContent>
    <mc:AlternateContent xmlns:mc="http://schemas.openxmlformats.org/markup-compatibility/2006">
      <mc:Choice Requires="x14">
        <control shapeId="8638" r:id="rId708" name="Check Box 1470">
          <controlPr defaultSize="0" autoFill="0" autoLine="0" autoPict="0" macro="[0]!ProcessChkBoxes">
            <anchor moveWithCells="1">
              <from>
                <xdr:col>3</xdr:col>
                <xdr:colOff>228600</xdr:colOff>
                <xdr:row>499</xdr:row>
                <xdr:rowOff>9525</xdr:rowOff>
              </from>
              <to>
                <xdr:col>4</xdr:col>
                <xdr:colOff>123825</xdr:colOff>
                <xdr:row>499</xdr:row>
                <xdr:rowOff>114300</xdr:rowOff>
              </to>
            </anchor>
          </controlPr>
        </control>
      </mc:Choice>
    </mc:AlternateContent>
    <mc:AlternateContent xmlns:mc="http://schemas.openxmlformats.org/markup-compatibility/2006">
      <mc:Choice Requires="x14">
        <control shapeId="8639" r:id="rId709" name="Check Box 1471">
          <controlPr defaultSize="0" autoFill="0" autoLine="0" autoPict="0" macro="[0]!ProcessChkBoxes">
            <anchor moveWithCells="1">
              <from>
                <xdr:col>4</xdr:col>
                <xdr:colOff>238125</xdr:colOff>
                <xdr:row>499</xdr:row>
                <xdr:rowOff>0</xdr:rowOff>
              </from>
              <to>
                <xdr:col>5</xdr:col>
                <xdr:colOff>133350</xdr:colOff>
                <xdr:row>499</xdr:row>
                <xdr:rowOff>104775</xdr:rowOff>
              </to>
            </anchor>
          </controlPr>
        </control>
      </mc:Choice>
    </mc:AlternateContent>
    <mc:AlternateContent xmlns:mc="http://schemas.openxmlformats.org/markup-compatibility/2006">
      <mc:Choice Requires="x14">
        <control shapeId="8640" r:id="rId710" name="Check Box 1472">
          <controlPr defaultSize="0" autoFill="0" autoLine="0" autoPict="0" macro="[0]!ProcessChkBoxes">
            <anchor moveWithCells="1">
              <from>
                <xdr:col>3</xdr:col>
                <xdr:colOff>0</xdr:colOff>
                <xdr:row>502</xdr:row>
                <xdr:rowOff>19050</xdr:rowOff>
              </from>
              <to>
                <xdr:col>3</xdr:col>
                <xdr:colOff>152400</xdr:colOff>
                <xdr:row>502</xdr:row>
                <xdr:rowOff>123825</xdr:rowOff>
              </to>
            </anchor>
          </controlPr>
        </control>
      </mc:Choice>
    </mc:AlternateContent>
    <mc:AlternateContent xmlns:mc="http://schemas.openxmlformats.org/markup-compatibility/2006">
      <mc:Choice Requires="x14">
        <control shapeId="8641" r:id="rId711" name="Check Box 1473">
          <controlPr defaultSize="0" autoFill="0" autoLine="0" autoPict="0" macro="[0]!ProcessChkBoxes">
            <anchor moveWithCells="1">
              <from>
                <xdr:col>3</xdr:col>
                <xdr:colOff>228600</xdr:colOff>
                <xdr:row>502</xdr:row>
                <xdr:rowOff>9525</xdr:rowOff>
              </from>
              <to>
                <xdr:col>4</xdr:col>
                <xdr:colOff>123825</xdr:colOff>
                <xdr:row>502</xdr:row>
                <xdr:rowOff>114300</xdr:rowOff>
              </to>
            </anchor>
          </controlPr>
        </control>
      </mc:Choice>
    </mc:AlternateContent>
    <mc:AlternateContent xmlns:mc="http://schemas.openxmlformats.org/markup-compatibility/2006">
      <mc:Choice Requires="x14">
        <control shapeId="8642" r:id="rId712" name="Check Box 1474">
          <controlPr defaultSize="0" autoFill="0" autoLine="0" autoPict="0" macro="[0]!ProcessChkBoxes">
            <anchor moveWithCells="1">
              <from>
                <xdr:col>4</xdr:col>
                <xdr:colOff>238125</xdr:colOff>
                <xdr:row>502</xdr:row>
                <xdr:rowOff>0</xdr:rowOff>
              </from>
              <to>
                <xdr:col>5</xdr:col>
                <xdr:colOff>133350</xdr:colOff>
                <xdr:row>502</xdr:row>
                <xdr:rowOff>104775</xdr:rowOff>
              </to>
            </anchor>
          </controlPr>
        </control>
      </mc:Choice>
    </mc:AlternateContent>
    <mc:AlternateContent xmlns:mc="http://schemas.openxmlformats.org/markup-compatibility/2006">
      <mc:Choice Requires="x14">
        <control shapeId="8643" r:id="rId713" name="Check Box 1475">
          <controlPr defaultSize="0" autoFill="0" autoLine="0" autoPict="0" macro="[0]!ProcessChkBoxes">
            <anchor moveWithCells="1">
              <from>
                <xdr:col>3</xdr:col>
                <xdr:colOff>0</xdr:colOff>
                <xdr:row>505</xdr:row>
                <xdr:rowOff>19050</xdr:rowOff>
              </from>
              <to>
                <xdr:col>3</xdr:col>
                <xdr:colOff>152400</xdr:colOff>
                <xdr:row>505</xdr:row>
                <xdr:rowOff>123825</xdr:rowOff>
              </to>
            </anchor>
          </controlPr>
        </control>
      </mc:Choice>
    </mc:AlternateContent>
    <mc:AlternateContent xmlns:mc="http://schemas.openxmlformats.org/markup-compatibility/2006">
      <mc:Choice Requires="x14">
        <control shapeId="8644" r:id="rId714" name="Check Box 1476">
          <controlPr defaultSize="0" autoFill="0" autoLine="0" autoPict="0" macro="[0]!ProcessChkBoxes">
            <anchor moveWithCells="1">
              <from>
                <xdr:col>3</xdr:col>
                <xdr:colOff>228600</xdr:colOff>
                <xdr:row>505</xdr:row>
                <xdr:rowOff>9525</xdr:rowOff>
              </from>
              <to>
                <xdr:col>4</xdr:col>
                <xdr:colOff>123825</xdr:colOff>
                <xdr:row>505</xdr:row>
                <xdr:rowOff>114300</xdr:rowOff>
              </to>
            </anchor>
          </controlPr>
        </control>
      </mc:Choice>
    </mc:AlternateContent>
    <mc:AlternateContent xmlns:mc="http://schemas.openxmlformats.org/markup-compatibility/2006">
      <mc:Choice Requires="x14">
        <control shapeId="8645" r:id="rId715" name="Check Box 1477">
          <controlPr defaultSize="0" autoFill="0" autoLine="0" autoPict="0" macro="[0]!ProcessChkBoxes">
            <anchor moveWithCells="1">
              <from>
                <xdr:col>4</xdr:col>
                <xdr:colOff>238125</xdr:colOff>
                <xdr:row>505</xdr:row>
                <xdr:rowOff>0</xdr:rowOff>
              </from>
              <to>
                <xdr:col>5</xdr:col>
                <xdr:colOff>133350</xdr:colOff>
                <xdr:row>505</xdr:row>
                <xdr:rowOff>104775</xdr:rowOff>
              </to>
            </anchor>
          </controlPr>
        </control>
      </mc:Choice>
    </mc:AlternateContent>
    <mc:AlternateContent xmlns:mc="http://schemas.openxmlformats.org/markup-compatibility/2006">
      <mc:Choice Requires="x14">
        <control shapeId="8646" r:id="rId716" name="Check Box 1478">
          <controlPr defaultSize="0" autoFill="0" autoLine="0" autoPict="0" macro="[0]!ProcessChkBoxes">
            <anchor moveWithCells="1">
              <from>
                <xdr:col>3</xdr:col>
                <xdr:colOff>0</xdr:colOff>
                <xdr:row>506</xdr:row>
                <xdr:rowOff>19050</xdr:rowOff>
              </from>
              <to>
                <xdr:col>3</xdr:col>
                <xdr:colOff>152400</xdr:colOff>
                <xdr:row>506</xdr:row>
                <xdr:rowOff>123825</xdr:rowOff>
              </to>
            </anchor>
          </controlPr>
        </control>
      </mc:Choice>
    </mc:AlternateContent>
    <mc:AlternateContent xmlns:mc="http://schemas.openxmlformats.org/markup-compatibility/2006">
      <mc:Choice Requires="x14">
        <control shapeId="8647" r:id="rId717" name="Check Box 1479">
          <controlPr defaultSize="0" autoFill="0" autoLine="0" autoPict="0" macro="[0]!ProcessChkBoxes">
            <anchor moveWithCells="1">
              <from>
                <xdr:col>3</xdr:col>
                <xdr:colOff>228600</xdr:colOff>
                <xdr:row>506</xdr:row>
                <xdr:rowOff>9525</xdr:rowOff>
              </from>
              <to>
                <xdr:col>4</xdr:col>
                <xdr:colOff>123825</xdr:colOff>
                <xdr:row>506</xdr:row>
                <xdr:rowOff>114300</xdr:rowOff>
              </to>
            </anchor>
          </controlPr>
        </control>
      </mc:Choice>
    </mc:AlternateContent>
    <mc:AlternateContent xmlns:mc="http://schemas.openxmlformats.org/markup-compatibility/2006">
      <mc:Choice Requires="x14">
        <control shapeId="8648" r:id="rId718" name="Check Box 1480">
          <controlPr defaultSize="0" autoFill="0" autoLine="0" autoPict="0" macro="[0]!ProcessChkBoxes">
            <anchor moveWithCells="1">
              <from>
                <xdr:col>4</xdr:col>
                <xdr:colOff>238125</xdr:colOff>
                <xdr:row>506</xdr:row>
                <xdr:rowOff>0</xdr:rowOff>
              </from>
              <to>
                <xdr:col>5</xdr:col>
                <xdr:colOff>133350</xdr:colOff>
                <xdr:row>506</xdr:row>
                <xdr:rowOff>104775</xdr:rowOff>
              </to>
            </anchor>
          </controlPr>
        </control>
      </mc:Choice>
    </mc:AlternateContent>
    <mc:AlternateContent xmlns:mc="http://schemas.openxmlformats.org/markup-compatibility/2006">
      <mc:Choice Requires="x14">
        <control shapeId="8649" r:id="rId719" name="Check Box 1481">
          <controlPr defaultSize="0" autoFill="0" autoLine="0" autoPict="0" macro="[0]!ProcessChkBoxes">
            <anchor moveWithCells="1">
              <from>
                <xdr:col>3</xdr:col>
                <xdr:colOff>0</xdr:colOff>
                <xdr:row>526</xdr:row>
                <xdr:rowOff>19050</xdr:rowOff>
              </from>
              <to>
                <xdr:col>3</xdr:col>
                <xdr:colOff>152400</xdr:colOff>
                <xdr:row>526</xdr:row>
                <xdr:rowOff>123825</xdr:rowOff>
              </to>
            </anchor>
          </controlPr>
        </control>
      </mc:Choice>
    </mc:AlternateContent>
    <mc:AlternateContent xmlns:mc="http://schemas.openxmlformats.org/markup-compatibility/2006">
      <mc:Choice Requires="x14">
        <control shapeId="8650" r:id="rId720" name="Check Box 1482">
          <controlPr defaultSize="0" autoFill="0" autoLine="0" autoPict="0" macro="[0]!ProcessChkBoxes">
            <anchor moveWithCells="1">
              <from>
                <xdr:col>3</xdr:col>
                <xdr:colOff>228600</xdr:colOff>
                <xdr:row>526</xdr:row>
                <xdr:rowOff>9525</xdr:rowOff>
              </from>
              <to>
                <xdr:col>4</xdr:col>
                <xdr:colOff>123825</xdr:colOff>
                <xdr:row>526</xdr:row>
                <xdr:rowOff>114300</xdr:rowOff>
              </to>
            </anchor>
          </controlPr>
        </control>
      </mc:Choice>
    </mc:AlternateContent>
    <mc:AlternateContent xmlns:mc="http://schemas.openxmlformats.org/markup-compatibility/2006">
      <mc:Choice Requires="x14">
        <control shapeId="8651" r:id="rId721" name="Check Box 1483">
          <controlPr defaultSize="0" autoFill="0" autoLine="0" autoPict="0" macro="[0]!ProcessChkBoxes">
            <anchor moveWithCells="1">
              <from>
                <xdr:col>4</xdr:col>
                <xdr:colOff>238125</xdr:colOff>
                <xdr:row>526</xdr:row>
                <xdr:rowOff>0</xdr:rowOff>
              </from>
              <to>
                <xdr:col>5</xdr:col>
                <xdr:colOff>133350</xdr:colOff>
                <xdr:row>526</xdr:row>
                <xdr:rowOff>104775</xdr:rowOff>
              </to>
            </anchor>
          </controlPr>
        </control>
      </mc:Choice>
    </mc:AlternateContent>
    <mc:AlternateContent xmlns:mc="http://schemas.openxmlformats.org/markup-compatibility/2006">
      <mc:Choice Requires="x14">
        <control shapeId="8655" r:id="rId722" name="Check Box 1487">
          <controlPr defaultSize="0" autoFill="0" autoLine="0" autoPict="0" macro="[0]!ProcessChkBoxes">
            <anchor moveWithCells="1">
              <from>
                <xdr:col>3</xdr:col>
                <xdr:colOff>0</xdr:colOff>
                <xdr:row>508</xdr:row>
                <xdr:rowOff>19050</xdr:rowOff>
              </from>
              <to>
                <xdr:col>3</xdr:col>
                <xdr:colOff>152400</xdr:colOff>
                <xdr:row>508</xdr:row>
                <xdr:rowOff>123825</xdr:rowOff>
              </to>
            </anchor>
          </controlPr>
        </control>
      </mc:Choice>
    </mc:AlternateContent>
    <mc:AlternateContent xmlns:mc="http://schemas.openxmlformats.org/markup-compatibility/2006">
      <mc:Choice Requires="x14">
        <control shapeId="8656" r:id="rId723" name="Check Box 1488">
          <controlPr defaultSize="0" autoFill="0" autoLine="0" autoPict="0" macro="[0]!ProcessChkBoxes">
            <anchor moveWithCells="1">
              <from>
                <xdr:col>3</xdr:col>
                <xdr:colOff>228600</xdr:colOff>
                <xdr:row>508</xdr:row>
                <xdr:rowOff>9525</xdr:rowOff>
              </from>
              <to>
                <xdr:col>4</xdr:col>
                <xdr:colOff>123825</xdr:colOff>
                <xdr:row>508</xdr:row>
                <xdr:rowOff>114300</xdr:rowOff>
              </to>
            </anchor>
          </controlPr>
        </control>
      </mc:Choice>
    </mc:AlternateContent>
    <mc:AlternateContent xmlns:mc="http://schemas.openxmlformats.org/markup-compatibility/2006">
      <mc:Choice Requires="x14">
        <control shapeId="8657" r:id="rId724" name="Check Box 1489">
          <controlPr defaultSize="0" autoFill="0" autoLine="0" autoPict="0" macro="[0]!ProcessChkBoxes">
            <anchor moveWithCells="1">
              <from>
                <xdr:col>4</xdr:col>
                <xdr:colOff>238125</xdr:colOff>
                <xdr:row>508</xdr:row>
                <xdr:rowOff>0</xdr:rowOff>
              </from>
              <to>
                <xdr:col>5</xdr:col>
                <xdr:colOff>133350</xdr:colOff>
                <xdr:row>508</xdr:row>
                <xdr:rowOff>104775</xdr:rowOff>
              </to>
            </anchor>
          </controlPr>
        </control>
      </mc:Choice>
    </mc:AlternateContent>
    <mc:AlternateContent xmlns:mc="http://schemas.openxmlformats.org/markup-compatibility/2006">
      <mc:Choice Requires="x14">
        <control shapeId="8658" r:id="rId725" name="Check Box 1490">
          <controlPr defaultSize="0" autoFill="0" autoLine="0" autoPict="0" macro="[0]!ProcessChkBoxes">
            <anchor moveWithCells="1">
              <from>
                <xdr:col>3</xdr:col>
                <xdr:colOff>0</xdr:colOff>
                <xdr:row>510</xdr:row>
                <xdr:rowOff>19050</xdr:rowOff>
              </from>
              <to>
                <xdr:col>3</xdr:col>
                <xdr:colOff>152400</xdr:colOff>
                <xdr:row>510</xdr:row>
                <xdr:rowOff>123825</xdr:rowOff>
              </to>
            </anchor>
          </controlPr>
        </control>
      </mc:Choice>
    </mc:AlternateContent>
    <mc:AlternateContent xmlns:mc="http://schemas.openxmlformats.org/markup-compatibility/2006">
      <mc:Choice Requires="x14">
        <control shapeId="8659" r:id="rId726" name="Check Box 1491">
          <controlPr defaultSize="0" autoFill="0" autoLine="0" autoPict="0" macro="[0]!ProcessChkBoxes">
            <anchor moveWithCells="1">
              <from>
                <xdr:col>3</xdr:col>
                <xdr:colOff>228600</xdr:colOff>
                <xdr:row>510</xdr:row>
                <xdr:rowOff>9525</xdr:rowOff>
              </from>
              <to>
                <xdr:col>4</xdr:col>
                <xdr:colOff>123825</xdr:colOff>
                <xdr:row>510</xdr:row>
                <xdr:rowOff>114300</xdr:rowOff>
              </to>
            </anchor>
          </controlPr>
        </control>
      </mc:Choice>
    </mc:AlternateContent>
    <mc:AlternateContent xmlns:mc="http://schemas.openxmlformats.org/markup-compatibility/2006">
      <mc:Choice Requires="x14">
        <control shapeId="8660" r:id="rId727" name="Check Box 1492">
          <controlPr defaultSize="0" autoFill="0" autoLine="0" autoPict="0" macro="[0]!ProcessChkBoxes">
            <anchor moveWithCells="1">
              <from>
                <xdr:col>4</xdr:col>
                <xdr:colOff>238125</xdr:colOff>
                <xdr:row>510</xdr:row>
                <xdr:rowOff>0</xdr:rowOff>
              </from>
              <to>
                <xdr:col>5</xdr:col>
                <xdr:colOff>133350</xdr:colOff>
                <xdr:row>510</xdr:row>
                <xdr:rowOff>104775</xdr:rowOff>
              </to>
            </anchor>
          </controlPr>
        </control>
      </mc:Choice>
    </mc:AlternateContent>
    <mc:AlternateContent xmlns:mc="http://schemas.openxmlformats.org/markup-compatibility/2006">
      <mc:Choice Requires="x14">
        <control shapeId="8661" r:id="rId728" name="Check Box 1493">
          <controlPr defaultSize="0" autoFill="0" autoLine="0" autoPict="0" macro="[0]!ProcessChkBoxes">
            <anchor moveWithCells="1">
              <from>
                <xdr:col>3</xdr:col>
                <xdr:colOff>0</xdr:colOff>
                <xdr:row>511</xdr:row>
                <xdr:rowOff>19050</xdr:rowOff>
              </from>
              <to>
                <xdr:col>3</xdr:col>
                <xdr:colOff>152400</xdr:colOff>
                <xdr:row>511</xdr:row>
                <xdr:rowOff>123825</xdr:rowOff>
              </to>
            </anchor>
          </controlPr>
        </control>
      </mc:Choice>
    </mc:AlternateContent>
    <mc:AlternateContent xmlns:mc="http://schemas.openxmlformats.org/markup-compatibility/2006">
      <mc:Choice Requires="x14">
        <control shapeId="8662" r:id="rId729" name="Check Box 1494">
          <controlPr defaultSize="0" autoFill="0" autoLine="0" autoPict="0" macro="[0]!ProcessChkBoxes">
            <anchor moveWithCells="1">
              <from>
                <xdr:col>3</xdr:col>
                <xdr:colOff>228600</xdr:colOff>
                <xdr:row>511</xdr:row>
                <xdr:rowOff>9525</xdr:rowOff>
              </from>
              <to>
                <xdr:col>4</xdr:col>
                <xdr:colOff>123825</xdr:colOff>
                <xdr:row>511</xdr:row>
                <xdr:rowOff>114300</xdr:rowOff>
              </to>
            </anchor>
          </controlPr>
        </control>
      </mc:Choice>
    </mc:AlternateContent>
    <mc:AlternateContent xmlns:mc="http://schemas.openxmlformats.org/markup-compatibility/2006">
      <mc:Choice Requires="x14">
        <control shapeId="8663" r:id="rId730" name="Check Box 1495">
          <controlPr defaultSize="0" autoFill="0" autoLine="0" autoPict="0" macro="[0]!ProcessChkBoxes">
            <anchor moveWithCells="1">
              <from>
                <xdr:col>4</xdr:col>
                <xdr:colOff>238125</xdr:colOff>
                <xdr:row>511</xdr:row>
                <xdr:rowOff>0</xdr:rowOff>
              </from>
              <to>
                <xdr:col>5</xdr:col>
                <xdr:colOff>133350</xdr:colOff>
                <xdr:row>511</xdr:row>
                <xdr:rowOff>104775</xdr:rowOff>
              </to>
            </anchor>
          </controlPr>
        </control>
      </mc:Choice>
    </mc:AlternateContent>
    <mc:AlternateContent xmlns:mc="http://schemas.openxmlformats.org/markup-compatibility/2006">
      <mc:Choice Requires="x14">
        <control shapeId="8664" r:id="rId731" name="Check Box 1496">
          <controlPr defaultSize="0" autoFill="0" autoLine="0" autoPict="0" macro="[0]!ProcessChkBoxes">
            <anchor moveWithCells="1">
              <from>
                <xdr:col>3</xdr:col>
                <xdr:colOff>0</xdr:colOff>
                <xdr:row>512</xdr:row>
                <xdr:rowOff>19050</xdr:rowOff>
              </from>
              <to>
                <xdr:col>3</xdr:col>
                <xdr:colOff>152400</xdr:colOff>
                <xdr:row>512</xdr:row>
                <xdr:rowOff>123825</xdr:rowOff>
              </to>
            </anchor>
          </controlPr>
        </control>
      </mc:Choice>
    </mc:AlternateContent>
    <mc:AlternateContent xmlns:mc="http://schemas.openxmlformats.org/markup-compatibility/2006">
      <mc:Choice Requires="x14">
        <control shapeId="8665" r:id="rId732" name="Check Box 1497">
          <controlPr defaultSize="0" autoFill="0" autoLine="0" autoPict="0" macro="[0]!ProcessChkBoxes">
            <anchor moveWithCells="1">
              <from>
                <xdr:col>3</xdr:col>
                <xdr:colOff>228600</xdr:colOff>
                <xdr:row>512</xdr:row>
                <xdr:rowOff>9525</xdr:rowOff>
              </from>
              <to>
                <xdr:col>4</xdr:col>
                <xdr:colOff>123825</xdr:colOff>
                <xdr:row>512</xdr:row>
                <xdr:rowOff>114300</xdr:rowOff>
              </to>
            </anchor>
          </controlPr>
        </control>
      </mc:Choice>
    </mc:AlternateContent>
    <mc:AlternateContent xmlns:mc="http://schemas.openxmlformats.org/markup-compatibility/2006">
      <mc:Choice Requires="x14">
        <control shapeId="8666" r:id="rId733" name="Check Box 1498">
          <controlPr defaultSize="0" autoFill="0" autoLine="0" autoPict="0" macro="[0]!ProcessChkBoxes">
            <anchor moveWithCells="1">
              <from>
                <xdr:col>4</xdr:col>
                <xdr:colOff>238125</xdr:colOff>
                <xdr:row>512</xdr:row>
                <xdr:rowOff>0</xdr:rowOff>
              </from>
              <to>
                <xdr:col>5</xdr:col>
                <xdr:colOff>133350</xdr:colOff>
                <xdr:row>512</xdr:row>
                <xdr:rowOff>104775</xdr:rowOff>
              </to>
            </anchor>
          </controlPr>
        </control>
      </mc:Choice>
    </mc:AlternateContent>
    <mc:AlternateContent xmlns:mc="http://schemas.openxmlformats.org/markup-compatibility/2006">
      <mc:Choice Requires="x14">
        <control shapeId="8670" r:id="rId734" name="Check Box 1502">
          <controlPr defaultSize="0" autoFill="0" autoLine="0" autoPict="0" macro="[0]!ProcessChkBoxes">
            <anchor moveWithCells="1">
              <from>
                <xdr:col>3</xdr:col>
                <xdr:colOff>0</xdr:colOff>
                <xdr:row>513</xdr:row>
                <xdr:rowOff>19050</xdr:rowOff>
              </from>
              <to>
                <xdr:col>3</xdr:col>
                <xdr:colOff>152400</xdr:colOff>
                <xdr:row>513</xdr:row>
                <xdr:rowOff>123825</xdr:rowOff>
              </to>
            </anchor>
          </controlPr>
        </control>
      </mc:Choice>
    </mc:AlternateContent>
    <mc:AlternateContent xmlns:mc="http://schemas.openxmlformats.org/markup-compatibility/2006">
      <mc:Choice Requires="x14">
        <control shapeId="8671" r:id="rId735" name="Check Box 1503">
          <controlPr defaultSize="0" autoFill="0" autoLine="0" autoPict="0" macro="[0]!ProcessChkBoxes">
            <anchor moveWithCells="1">
              <from>
                <xdr:col>3</xdr:col>
                <xdr:colOff>228600</xdr:colOff>
                <xdr:row>513</xdr:row>
                <xdr:rowOff>9525</xdr:rowOff>
              </from>
              <to>
                <xdr:col>4</xdr:col>
                <xdr:colOff>123825</xdr:colOff>
                <xdr:row>513</xdr:row>
                <xdr:rowOff>114300</xdr:rowOff>
              </to>
            </anchor>
          </controlPr>
        </control>
      </mc:Choice>
    </mc:AlternateContent>
    <mc:AlternateContent xmlns:mc="http://schemas.openxmlformats.org/markup-compatibility/2006">
      <mc:Choice Requires="x14">
        <control shapeId="8672" r:id="rId736" name="Check Box 1504">
          <controlPr defaultSize="0" autoFill="0" autoLine="0" autoPict="0" macro="[0]!ProcessChkBoxes">
            <anchor moveWithCells="1">
              <from>
                <xdr:col>4</xdr:col>
                <xdr:colOff>238125</xdr:colOff>
                <xdr:row>513</xdr:row>
                <xdr:rowOff>0</xdr:rowOff>
              </from>
              <to>
                <xdr:col>5</xdr:col>
                <xdr:colOff>133350</xdr:colOff>
                <xdr:row>513</xdr:row>
                <xdr:rowOff>104775</xdr:rowOff>
              </to>
            </anchor>
          </controlPr>
        </control>
      </mc:Choice>
    </mc:AlternateContent>
    <mc:AlternateContent xmlns:mc="http://schemas.openxmlformats.org/markup-compatibility/2006">
      <mc:Choice Requires="x14">
        <control shapeId="8673" r:id="rId737" name="Check Box 1505">
          <controlPr defaultSize="0" autoFill="0" autoLine="0" autoPict="0" macro="[0]!ProcessChkBoxes">
            <anchor moveWithCells="1">
              <from>
                <xdr:col>3</xdr:col>
                <xdr:colOff>0</xdr:colOff>
                <xdr:row>521</xdr:row>
                <xdr:rowOff>19050</xdr:rowOff>
              </from>
              <to>
                <xdr:col>3</xdr:col>
                <xdr:colOff>152400</xdr:colOff>
                <xdr:row>521</xdr:row>
                <xdr:rowOff>123825</xdr:rowOff>
              </to>
            </anchor>
          </controlPr>
        </control>
      </mc:Choice>
    </mc:AlternateContent>
    <mc:AlternateContent xmlns:mc="http://schemas.openxmlformats.org/markup-compatibility/2006">
      <mc:Choice Requires="x14">
        <control shapeId="8674" r:id="rId738" name="Check Box 1506">
          <controlPr defaultSize="0" autoFill="0" autoLine="0" autoPict="0" macro="[0]!ProcessChkBoxes">
            <anchor moveWithCells="1">
              <from>
                <xdr:col>3</xdr:col>
                <xdr:colOff>228600</xdr:colOff>
                <xdr:row>521</xdr:row>
                <xdr:rowOff>9525</xdr:rowOff>
              </from>
              <to>
                <xdr:col>4</xdr:col>
                <xdr:colOff>123825</xdr:colOff>
                <xdr:row>521</xdr:row>
                <xdr:rowOff>114300</xdr:rowOff>
              </to>
            </anchor>
          </controlPr>
        </control>
      </mc:Choice>
    </mc:AlternateContent>
    <mc:AlternateContent xmlns:mc="http://schemas.openxmlformats.org/markup-compatibility/2006">
      <mc:Choice Requires="x14">
        <control shapeId="8675" r:id="rId739" name="Check Box 1507">
          <controlPr defaultSize="0" autoFill="0" autoLine="0" autoPict="0" macro="[0]!ProcessChkBoxes">
            <anchor moveWithCells="1">
              <from>
                <xdr:col>4</xdr:col>
                <xdr:colOff>238125</xdr:colOff>
                <xdr:row>521</xdr:row>
                <xdr:rowOff>0</xdr:rowOff>
              </from>
              <to>
                <xdr:col>5</xdr:col>
                <xdr:colOff>133350</xdr:colOff>
                <xdr:row>521</xdr:row>
                <xdr:rowOff>104775</xdr:rowOff>
              </to>
            </anchor>
          </controlPr>
        </control>
      </mc:Choice>
    </mc:AlternateContent>
    <mc:AlternateContent xmlns:mc="http://schemas.openxmlformats.org/markup-compatibility/2006">
      <mc:Choice Requires="x14">
        <control shapeId="8676" r:id="rId740" name="Check Box 1508">
          <controlPr defaultSize="0" autoFill="0" autoLine="0" autoPict="0" macro="[0]!ProcessChkBoxes">
            <anchor moveWithCells="1">
              <from>
                <xdr:col>3</xdr:col>
                <xdr:colOff>0</xdr:colOff>
                <xdr:row>522</xdr:row>
                <xdr:rowOff>19050</xdr:rowOff>
              </from>
              <to>
                <xdr:col>3</xdr:col>
                <xdr:colOff>152400</xdr:colOff>
                <xdr:row>522</xdr:row>
                <xdr:rowOff>123825</xdr:rowOff>
              </to>
            </anchor>
          </controlPr>
        </control>
      </mc:Choice>
    </mc:AlternateContent>
    <mc:AlternateContent xmlns:mc="http://schemas.openxmlformats.org/markup-compatibility/2006">
      <mc:Choice Requires="x14">
        <control shapeId="8677" r:id="rId741" name="Check Box 1509">
          <controlPr defaultSize="0" autoFill="0" autoLine="0" autoPict="0" macro="[0]!ProcessChkBoxes">
            <anchor moveWithCells="1">
              <from>
                <xdr:col>3</xdr:col>
                <xdr:colOff>228600</xdr:colOff>
                <xdr:row>522</xdr:row>
                <xdr:rowOff>9525</xdr:rowOff>
              </from>
              <to>
                <xdr:col>4</xdr:col>
                <xdr:colOff>123825</xdr:colOff>
                <xdr:row>522</xdr:row>
                <xdr:rowOff>114300</xdr:rowOff>
              </to>
            </anchor>
          </controlPr>
        </control>
      </mc:Choice>
    </mc:AlternateContent>
    <mc:AlternateContent xmlns:mc="http://schemas.openxmlformats.org/markup-compatibility/2006">
      <mc:Choice Requires="x14">
        <control shapeId="8678" r:id="rId742" name="Check Box 1510">
          <controlPr defaultSize="0" autoFill="0" autoLine="0" autoPict="0" macro="[0]!ProcessChkBoxes">
            <anchor moveWithCells="1">
              <from>
                <xdr:col>4</xdr:col>
                <xdr:colOff>238125</xdr:colOff>
                <xdr:row>522</xdr:row>
                <xdr:rowOff>0</xdr:rowOff>
              </from>
              <to>
                <xdr:col>5</xdr:col>
                <xdr:colOff>133350</xdr:colOff>
                <xdr:row>522</xdr:row>
                <xdr:rowOff>104775</xdr:rowOff>
              </to>
            </anchor>
          </controlPr>
        </control>
      </mc:Choice>
    </mc:AlternateContent>
    <mc:AlternateContent xmlns:mc="http://schemas.openxmlformats.org/markup-compatibility/2006">
      <mc:Choice Requires="x14">
        <control shapeId="8682" r:id="rId743" name="Check Box 1514">
          <controlPr defaultSize="0" autoFill="0" autoLine="0" autoPict="0" macro="[0]!ProcessChkBoxes">
            <anchor moveWithCells="1">
              <from>
                <xdr:col>3</xdr:col>
                <xdr:colOff>0</xdr:colOff>
                <xdr:row>523</xdr:row>
                <xdr:rowOff>19050</xdr:rowOff>
              </from>
              <to>
                <xdr:col>3</xdr:col>
                <xdr:colOff>152400</xdr:colOff>
                <xdr:row>523</xdr:row>
                <xdr:rowOff>123825</xdr:rowOff>
              </to>
            </anchor>
          </controlPr>
        </control>
      </mc:Choice>
    </mc:AlternateContent>
    <mc:AlternateContent xmlns:mc="http://schemas.openxmlformats.org/markup-compatibility/2006">
      <mc:Choice Requires="x14">
        <control shapeId="8683" r:id="rId744" name="Check Box 1515">
          <controlPr defaultSize="0" autoFill="0" autoLine="0" autoPict="0" macro="[0]!ProcessChkBoxes">
            <anchor moveWithCells="1">
              <from>
                <xdr:col>3</xdr:col>
                <xdr:colOff>228600</xdr:colOff>
                <xdr:row>523</xdr:row>
                <xdr:rowOff>9525</xdr:rowOff>
              </from>
              <to>
                <xdr:col>4</xdr:col>
                <xdr:colOff>123825</xdr:colOff>
                <xdr:row>523</xdr:row>
                <xdr:rowOff>114300</xdr:rowOff>
              </to>
            </anchor>
          </controlPr>
        </control>
      </mc:Choice>
    </mc:AlternateContent>
    <mc:AlternateContent xmlns:mc="http://schemas.openxmlformats.org/markup-compatibility/2006">
      <mc:Choice Requires="x14">
        <control shapeId="8684" r:id="rId745" name="Check Box 1516">
          <controlPr defaultSize="0" autoFill="0" autoLine="0" autoPict="0" macro="[0]!ProcessChkBoxes">
            <anchor moveWithCells="1">
              <from>
                <xdr:col>4</xdr:col>
                <xdr:colOff>238125</xdr:colOff>
                <xdr:row>523</xdr:row>
                <xdr:rowOff>0</xdr:rowOff>
              </from>
              <to>
                <xdr:col>5</xdr:col>
                <xdr:colOff>133350</xdr:colOff>
                <xdr:row>523</xdr:row>
                <xdr:rowOff>104775</xdr:rowOff>
              </to>
            </anchor>
          </controlPr>
        </control>
      </mc:Choice>
    </mc:AlternateContent>
    <mc:AlternateContent xmlns:mc="http://schemas.openxmlformats.org/markup-compatibility/2006">
      <mc:Choice Requires="x14">
        <control shapeId="8688" r:id="rId746" name="Check Box 1520">
          <controlPr defaultSize="0" autoFill="0" autoLine="0" autoPict="0" macro="[0]!ProcessChkBoxes">
            <anchor moveWithCells="1">
              <from>
                <xdr:col>3</xdr:col>
                <xdr:colOff>0</xdr:colOff>
                <xdr:row>524</xdr:row>
                <xdr:rowOff>19050</xdr:rowOff>
              </from>
              <to>
                <xdr:col>3</xdr:col>
                <xdr:colOff>152400</xdr:colOff>
                <xdr:row>524</xdr:row>
                <xdr:rowOff>123825</xdr:rowOff>
              </to>
            </anchor>
          </controlPr>
        </control>
      </mc:Choice>
    </mc:AlternateContent>
    <mc:AlternateContent xmlns:mc="http://schemas.openxmlformats.org/markup-compatibility/2006">
      <mc:Choice Requires="x14">
        <control shapeId="8689" r:id="rId747" name="Check Box 1521">
          <controlPr defaultSize="0" autoFill="0" autoLine="0" autoPict="0" macro="[0]!ProcessChkBoxes">
            <anchor moveWithCells="1">
              <from>
                <xdr:col>3</xdr:col>
                <xdr:colOff>228600</xdr:colOff>
                <xdr:row>524</xdr:row>
                <xdr:rowOff>9525</xdr:rowOff>
              </from>
              <to>
                <xdr:col>4</xdr:col>
                <xdr:colOff>123825</xdr:colOff>
                <xdr:row>524</xdr:row>
                <xdr:rowOff>114300</xdr:rowOff>
              </to>
            </anchor>
          </controlPr>
        </control>
      </mc:Choice>
    </mc:AlternateContent>
    <mc:AlternateContent xmlns:mc="http://schemas.openxmlformats.org/markup-compatibility/2006">
      <mc:Choice Requires="x14">
        <control shapeId="8690" r:id="rId748" name="Check Box 1522">
          <controlPr defaultSize="0" autoFill="0" autoLine="0" autoPict="0" macro="[0]!ProcessChkBoxes">
            <anchor moveWithCells="1">
              <from>
                <xdr:col>4</xdr:col>
                <xdr:colOff>238125</xdr:colOff>
                <xdr:row>524</xdr:row>
                <xdr:rowOff>0</xdr:rowOff>
              </from>
              <to>
                <xdr:col>5</xdr:col>
                <xdr:colOff>133350</xdr:colOff>
                <xdr:row>524</xdr:row>
                <xdr:rowOff>104775</xdr:rowOff>
              </to>
            </anchor>
          </controlPr>
        </control>
      </mc:Choice>
    </mc:AlternateContent>
    <mc:AlternateContent xmlns:mc="http://schemas.openxmlformats.org/markup-compatibility/2006">
      <mc:Choice Requires="x14">
        <control shapeId="8694" r:id="rId749" name="Check Box 1526">
          <controlPr defaultSize="0" autoFill="0" autoLine="0" autoPict="0" macro="[0]!ProcessChkBoxes">
            <anchor moveWithCells="1">
              <from>
                <xdr:col>3</xdr:col>
                <xdr:colOff>0</xdr:colOff>
                <xdr:row>515</xdr:row>
                <xdr:rowOff>19050</xdr:rowOff>
              </from>
              <to>
                <xdr:col>3</xdr:col>
                <xdr:colOff>152400</xdr:colOff>
                <xdr:row>515</xdr:row>
                <xdr:rowOff>123825</xdr:rowOff>
              </to>
            </anchor>
          </controlPr>
        </control>
      </mc:Choice>
    </mc:AlternateContent>
    <mc:AlternateContent xmlns:mc="http://schemas.openxmlformats.org/markup-compatibility/2006">
      <mc:Choice Requires="x14">
        <control shapeId="8695" r:id="rId750" name="Check Box 1527">
          <controlPr defaultSize="0" autoFill="0" autoLine="0" autoPict="0" macro="[0]!ProcessChkBoxes">
            <anchor moveWithCells="1">
              <from>
                <xdr:col>3</xdr:col>
                <xdr:colOff>228600</xdr:colOff>
                <xdr:row>515</xdr:row>
                <xdr:rowOff>9525</xdr:rowOff>
              </from>
              <to>
                <xdr:col>4</xdr:col>
                <xdr:colOff>123825</xdr:colOff>
                <xdr:row>515</xdr:row>
                <xdr:rowOff>114300</xdr:rowOff>
              </to>
            </anchor>
          </controlPr>
        </control>
      </mc:Choice>
    </mc:AlternateContent>
    <mc:AlternateContent xmlns:mc="http://schemas.openxmlformats.org/markup-compatibility/2006">
      <mc:Choice Requires="x14">
        <control shapeId="8696" r:id="rId751" name="Check Box 1528">
          <controlPr defaultSize="0" autoFill="0" autoLine="0" autoPict="0" macro="[0]!ProcessChkBoxes">
            <anchor moveWithCells="1">
              <from>
                <xdr:col>4</xdr:col>
                <xdr:colOff>238125</xdr:colOff>
                <xdr:row>515</xdr:row>
                <xdr:rowOff>0</xdr:rowOff>
              </from>
              <to>
                <xdr:col>5</xdr:col>
                <xdr:colOff>133350</xdr:colOff>
                <xdr:row>515</xdr:row>
                <xdr:rowOff>104775</xdr:rowOff>
              </to>
            </anchor>
          </controlPr>
        </control>
      </mc:Choice>
    </mc:AlternateContent>
    <mc:AlternateContent xmlns:mc="http://schemas.openxmlformats.org/markup-compatibility/2006">
      <mc:Choice Requires="x14">
        <control shapeId="8697" r:id="rId752" name="Check Box 1529">
          <controlPr defaultSize="0" autoFill="0" autoLine="0" autoPict="0" macro="[0]!ProcessChkBoxes">
            <anchor moveWithCells="1">
              <from>
                <xdr:col>3</xdr:col>
                <xdr:colOff>0</xdr:colOff>
                <xdr:row>516</xdr:row>
                <xdr:rowOff>19050</xdr:rowOff>
              </from>
              <to>
                <xdr:col>3</xdr:col>
                <xdr:colOff>152400</xdr:colOff>
                <xdr:row>516</xdr:row>
                <xdr:rowOff>123825</xdr:rowOff>
              </to>
            </anchor>
          </controlPr>
        </control>
      </mc:Choice>
    </mc:AlternateContent>
    <mc:AlternateContent xmlns:mc="http://schemas.openxmlformats.org/markup-compatibility/2006">
      <mc:Choice Requires="x14">
        <control shapeId="8698" r:id="rId753" name="Check Box 1530">
          <controlPr defaultSize="0" autoFill="0" autoLine="0" autoPict="0" macro="[0]!ProcessChkBoxes">
            <anchor moveWithCells="1">
              <from>
                <xdr:col>3</xdr:col>
                <xdr:colOff>228600</xdr:colOff>
                <xdr:row>516</xdr:row>
                <xdr:rowOff>9525</xdr:rowOff>
              </from>
              <to>
                <xdr:col>4</xdr:col>
                <xdr:colOff>123825</xdr:colOff>
                <xdr:row>516</xdr:row>
                <xdr:rowOff>114300</xdr:rowOff>
              </to>
            </anchor>
          </controlPr>
        </control>
      </mc:Choice>
    </mc:AlternateContent>
    <mc:AlternateContent xmlns:mc="http://schemas.openxmlformats.org/markup-compatibility/2006">
      <mc:Choice Requires="x14">
        <control shapeId="8699" r:id="rId754" name="Check Box 1531">
          <controlPr defaultSize="0" autoFill="0" autoLine="0" autoPict="0" macro="[0]!ProcessChkBoxes">
            <anchor moveWithCells="1">
              <from>
                <xdr:col>4</xdr:col>
                <xdr:colOff>238125</xdr:colOff>
                <xdr:row>516</xdr:row>
                <xdr:rowOff>0</xdr:rowOff>
              </from>
              <to>
                <xdr:col>5</xdr:col>
                <xdr:colOff>133350</xdr:colOff>
                <xdr:row>516</xdr:row>
                <xdr:rowOff>104775</xdr:rowOff>
              </to>
            </anchor>
          </controlPr>
        </control>
      </mc:Choice>
    </mc:AlternateContent>
    <mc:AlternateContent xmlns:mc="http://schemas.openxmlformats.org/markup-compatibility/2006">
      <mc:Choice Requires="x14">
        <control shapeId="8703" r:id="rId755" name="Check Box 1535">
          <controlPr defaultSize="0" autoFill="0" autoLine="0" autoPict="0" macro="[0]!ProcessChkBoxes">
            <anchor moveWithCells="1">
              <from>
                <xdr:col>3</xdr:col>
                <xdr:colOff>0</xdr:colOff>
                <xdr:row>517</xdr:row>
                <xdr:rowOff>19050</xdr:rowOff>
              </from>
              <to>
                <xdr:col>3</xdr:col>
                <xdr:colOff>152400</xdr:colOff>
                <xdr:row>517</xdr:row>
                <xdr:rowOff>123825</xdr:rowOff>
              </to>
            </anchor>
          </controlPr>
        </control>
      </mc:Choice>
    </mc:AlternateContent>
    <mc:AlternateContent xmlns:mc="http://schemas.openxmlformats.org/markup-compatibility/2006">
      <mc:Choice Requires="x14">
        <control shapeId="8704" r:id="rId756" name="Check Box 1536">
          <controlPr defaultSize="0" autoFill="0" autoLine="0" autoPict="0" macro="[0]!ProcessChkBoxes">
            <anchor moveWithCells="1">
              <from>
                <xdr:col>3</xdr:col>
                <xdr:colOff>228600</xdr:colOff>
                <xdr:row>517</xdr:row>
                <xdr:rowOff>9525</xdr:rowOff>
              </from>
              <to>
                <xdr:col>4</xdr:col>
                <xdr:colOff>123825</xdr:colOff>
                <xdr:row>517</xdr:row>
                <xdr:rowOff>114300</xdr:rowOff>
              </to>
            </anchor>
          </controlPr>
        </control>
      </mc:Choice>
    </mc:AlternateContent>
    <mc:AlternateContent xmlns:mc="http://schemas.openxmlformats.org/markup-compatibility/2006">
      <mc:Choice Requires="x14">
        <control shapeId="8705" r:id="rId757" name="Check Box 1537">
          <controlPr defaultSize="0" autoFill="0" autoLine="0" autoPict="0" macro="[0]!ProcessChkBoxes">
            <anchor moveWithCells="1">
              <from>
                <xdr:col>4</xdr:col>
                <xdr:colOff>238125</xdr:colOff>
                <xdr:row>517</xdr:row>
                <xdr:rowOff>0</xdr:rowOff>
              </from>
              <to>
                <xdr:col>5</xdr:col>
                <xdr:colOff>133350</xdr:colOff>
                <xdr:row>517</xdr:row>
                <xdr:rowOff>104775</xdr:rowOff>
              </to>
            </anchor>
          </controlPr>
        </control>
      </mc:Choice>
    </mc:AlternateContent>
    <mc:AlternateContent xmlns:mc="http://schemas.openxmlformats.org/markup-compatibility/2006">
      <mc:Choice Requires="x14">
        <control shapeId="8709" r:id="rId758" name="Check Box 1541">
          <controlPr defaultSize="0" autoFill="0" autoLine="0" autoPict="0" macro="[0]!ProcessChkBoxes">
            <anchor moveWithCells="1">
              <from>
                <xdr:col>3</xdr:col>
                <xdr:colOff>0</xdr:colOff>
                <xdr:row>518</xdr:row>
                <xdr:rowOff>19050</xdr:rowOff>
              </from>
              <to>
                <xdr:col>3</xdr:col>
                <xdr:colOff>152400</xdr:colOff>
                <xdr:row>518</xdr:row>
                <xdr:rowOff>123825</xdr:rowOff>
              </to>
            </anchor>
          </controlPr>
        </control>
      </mc:Choice>
    </mc:AlternateContent>
    <mc:AlternateContent xmlns:mc="http://schemas.openxmlformats.org/markup-compatibility/2006">
      <mc:Choice Requires="x14">
        <control shapeId="8710" r:id="rId759" name="Check Box 1542">
          <controlPr defaultSize="0" autoFill="0" autoLine="0" autoPict="0" macro="[0]!ProcessChkBoxes">
            <anchor moveWithCells="1">
              <from>
                <xdr:col>3</xdr:col>
                <xdr:colOff>228600</xdr:colOff>
                <xdr:row>518</xdr:row>
                <xdr:rowOff>9525</xdr:rowOff>
              </from>
              <to>
                <xdr:col>4</xdr:col>
                <xdr:colOff>123825</xdr:colOff>
                <xdr:row>518</xdr:row>
                <xdr:rowOff>114300</xdr:rowOff>
              </to>
            </anchor>
          </controlPr>
        </control>
      </mc:Choice>
    </mc:AlternateContent>
    <mc:AlternateContent xmlns:mc="http://schemas.openxmlformats.org/markup-compatibility/2006">
      <mc:Choice Requires="x14">
        <control shapeId="8711" r:id="rId760" name="Check Box 1543">
          <controlPr defaultSize="0" autoFill="0" autoLine="0" autoPict="0" macro="[0]!ProcessChkBoxes">
            <anchor moveWithCells="1">
              <from>
                <xdr:col>4</xdr:col>
                <xdr:colOff>238125</xdr:colOff>
                <xdr:row>518</xdr:row>
                <xdr:rowOff>0</xdr:rowOff>
              </from>
              <to>
                <xdr:col>5</xdr:col>
                <xdr:colOff>133350</xdr:colOff>
                <xdr:row>518</xdr:row>
                <xdr:rowOff>104775</xdr:rowOff>
              </to>
            </anchor>
          </controlPr>
        </control>
      </mc:Choice>
    </mc:AlternateContent>
    <mc:AlternateContent xmlns:mc="http://schemas.openxmlformats.org/markup-compatibility/2006">
      <mc:Choice Requires="x14">
        <control shapeId="8712" r:id="rId761" name="Check Box 1544">
          <controlPr defaultSize="0" autoFill="0" autoLine="0" autoPict="0" macro="[0]!ProcessChkBoxes">
            <anchor moveWithCells="1">
              <from>
                <xdr:col>2</xdr:col>
                <xdr:colOff>333375</xdr:colOff>
                <xdr:row>0</xdr:row>
                <xdr:rowOff>38100</xdr:rowOff>
              </from>
              <to>
                <xdr:col>2</xdr:col>
                <xdr:colOff>514350</xdr:colOff>
                <xdr:row>1</xdr:row>
                <xdr:rowOff>0</xdr:rowOff>
              </to>
            </anchor>
          </controlPr>
        </control>
      </mc:Choice>
    </mc:AlternateContent>
    <mc:AlternateContent xmlns:mc="http://schemas.openxmlformats.org/markup-compatibility/2006">
      <mc:Choice Requires="x14">
        <control shapeId="8714" r:id="rId762" name="Check Box 1546">
          <controlPr defaultSize="0" autoFill="0" autoLine="0" autoPict="0" macro="[0]!ProcessChkBoxes">
            <anchor moveWithCells="1">
              <from>
                <xdr:col>2</xdr:col>
                <xdr:colOff>333375</xdr:colOff>
                <xdr:row>1</xdr:row>
                <xdr:rowOff>9525</xdr:rowOff>
              </from>
              <to>
                <xdr:col>2</xdr:col>
                <xdr:colOff>523875</xdr:colOff>
                <xdr:row>1</xdr:row>
                <xdr:rowOff>180975</xdr:rowOff>
              </to>
            </anchor>
          </controlPr>
        </control>
      </mc:Choice>
    </mc:AlternateContent>
    <mc:AlternateContent xmlns:mc="http://schemas.openxmlformats.org/markup-compatibility/2006">
      <mc:Choice Requires="x14">
        <control shapeId="8715" r:id="rId763" name="Check Box 1547">
          <controlPr defaultSize="0" autoFill="0" autoLine="0" autoPict="0">
            <anchor moveWithCells="1">
              <from>
                <xdr:col>6</xdr:col>
                <xdr:colOff>19050</xdr:colOff>
                <xdr:row>162</xdr:row>
                <xdr:rowOff>85725</xdr:rowOff>
              </from>
              <to>
                <xdr:col>6</xdr:col>
                <xdr:colOff>200025</xdr:colOff>
                <xdr:row>162</xdr:row>
                <xdr:rowOff>257175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44"/>
  <sheetViews>
    <sheetView view="pageBreakPreview" topLeftCell="A127" zoomScaleNormal="100" zoomScaleSheetLayoutView="100" workbookViewId="0">
      <selection activeCell="A145" sqref="A145"/>
    </sheetView>
  </sheetViews>
  <sheetFormatPr baseColWidth="10" defaultColWidth="11.42578125" defaultRowHeight="12.75" x14ac:dyDescent="0.2"/>
  <cols>
    <col min="3" max="3" width="73.42578125" bestFit="1" customWidth="1"/>
    <col min="4" max="4" width="15.140625" customWidth="1"/>
  </cols>
  <sheetData>
    <row r="1" spans="1:4" x14ac:dyDescent="0.2">
      <c r="A1" s="3" t="s">
        <v>244</v>
      </c>
      <c r="B1" s="4"/>
      <c r="C1" s="5" t="s">
        <v>245</v>
      </c>
      <c r="D1" s="5" t="s">
        <v>1</v>
      </c>
    </row>
    <row r="2" spans="1:4" x14ac:dyDescent="0.2">
      <c r="A2" s="6"/>
      <c r="B2" s="4"/>
      <c r="C2" s="5"/>
      <c r="D2" s="5"/>
    </row>
    <row r="3" spans="1:4" x14ac:dyDescent="0.2">
      <c r="A3" s="509">
        <v>35962</v>
      </c>
      <c r="B3" s="509"/>
      <c r="C3" s="7" t="s">
        <v>246</v>
      </c>
      <c r="D3" s="7"/>
    </row>
    <row r="4" spans="1:4" x14ac:dyDescent="0.2">
      <c r="A4" s="514" t="s">
        <v>247</v>
      </c>
      <c r="B4" s="514"/>
      <c r="C4" s="8" t="s">
        <v>248</v>
      </c>
      <c r="D4" s="8"/>
    </row>
    <row r="5" spans="1:4" x14ac:dyDescent="0.2">
      <c r="A5" s="514" t="s">
        <v>249</v>
      </c>
      <c r="B5" s="514"/>
      <c r="C5" s="8" t="s">
        <v>250</v>
      </c>
      <c r="D5" s="8"/>
    </row>
    <row r="6" spans="1:4" x14ac:dyDescent="0.2">
      <c r="A6" s="514" t="s">
        <v>251</v>
      </c>
      <c r="B6" s="514"/>
      <c r="C6" s="8" t="s">
        <v>252</v>
      </c>
      <c r="D6" s="8"/>
    </row>
    <row r="7" spans="1:4" x14ac:dyDescent="0.2">
      <c r="A7" s="514" t="s">
        <v>253</v>
      </c>
      <c r="B7" s="514"/>
      <c r="C7" s="9" t="s">
        <v>254</v>
      </c>
      <c r="D7" s="9"/>
    </row>
    <row r="8" spans="1:4" x14ac:dyDescent="0.2">
      <c r="A8" s="509">
        <v>37662</v>
      </c>
      <c r="B8" s="509"/>
      <c r="C8" s="7" t="s">
        <v>255</v>
      </c>
      <c r="D8" s="7"/>
    </row>
    <row r="9" spans="1:4" x14ac:dyDescent="0.2">
      <c r="A9" s="10"/>
      <c r="B9" s="6"/>
      <c r="C9" s="7" t="s">
        <v>256</v>
      </c>
      <c r="D9" s="7"/>
    </row>
    <row r="10" spans="1:4" x14ac:dyDescent="0.2">
      <c r="A10" s="6"/>
      <c r="B10" s="6"/>
      <c r="C10" s="7" t="s">
        <v>257</v>
      </c>
      <c r="D10" s="7"/>
    </row>
    <row r="11" spans="1:4" x14ac:dyDescent="0.2">
      <c r="A11" s="6"/>
      <c r="B11" s="6"/>
      <c r="C11" s="7" t="s">
        <v>258</v>
      </c>
      <c r="D11" s="7"/>
    </row>
    <row r="12" spans="1:4" x14ac:dyDescent="0.2">
      <c r="A12" s="6"/>
      <c r="B12" s="6"/>
      <c r="C12" s="7" t="s">
        <v>259</v>
      </c>
      <c r="D12" s="7"/>
    </row>
    <row r="13" spans="1:4" x14ac:dyDescent="0.2">
      <c r="A13" s="10"/>
      <c r="B13" s="6"/>
      <c r="C13" s="7" t="s">
        <v>260</v>
      </c>
      <c r="D13" s="7"/>
    </row>
    <row r="14" spans="1:4" x14ac:dyDescent="0.2">
      <c r="A14" s="6"/>
      <c r="B14" s="6"/>
      <c r="C14" s="7" t="s">
        <v>261</v>
      </c>
      <c r="D14" s="7"/>
    </row>
    <row r="15" spans="1:4" x14ac:dyDescent="0.2">
      <c r="A15" s="6"/>
      <c r="B15" s="6"/>
      <c r="C15" s="7" t="s">
        <v>262</v>
      </c>
      <c r="D15" s="7"/>
    </row>
    <row r="16" spans="1:4" x14ac:dyDescent="0.2">
      <c r="A16" s="10"/>
      <c r="B16" s="6"/>
      <c r="C16" s="7" t="s">
        <v>263</v>
      </c>
      <c r="D16" s="7"/>
    </row>
    <row r="17" spans="1:4" x14ac:dyDescent="0.2">
      <c r="A17" s="6" t="s">
        <v>264</v>
      </c>
      <c r="B17" s="6"/>
      <c r="C17" s="7" t="s">
        <v>265</v>
      </c>
      <c r="D17" s="7"/>
    </row>
    <row r="18" spans="1:4" x14ac:dyDescent="0.2">
      <c r="A18" s="6" t="s">
        <v>264</v>
      </c>
      <c r="B18" s="6"/>
      <c r="C18" s="7" t="s">
        <v>266</v>
      </c>
      <c r="D18" s="7"/>
    </row>
    <row r="19" spans="1:4" x14ac:dyDescent="0.2">
      <c r="A19" s="6"/>
      <c r="B19" s="6"/>
      <c r="C19" s="7" t="s">
        <v>267</v>
      </c>
      <c r="D19" s="7"/>
    </row>
    <row r="20" spans="1:4" x14ac:dyDescent="0.2">
      <c r="A20" s="6"/>
      <c r="B20" s="6"/>
      <c r="C20" s="7" t="s">
        <v>268</v>
      </c>
      <c r="D20" s="7"/>
    </row>
    <row r="21" spans="1:4" x14ac:dyDescent="0.2">
      <c r="A21" s="10"/>
      <c r="B21" s="6"/>
      <c r="C21" s="7" t="s">
        <v>269</v>
      </c>
      <c r="D21" s="7"/>
    </row>
    <row r="22" spans="1:4" x14ac:dyDescent="0.2">
      <c r="A22" s="10"/>
      <c r="B22" s="6"/>
      <c r="C22" s="7" t="s">
        <v>270</v>
      </c>
      <c r="D22" s="7"/>
    </row>
    <row r="23" spans="1:4" x14ac:dyDescent="0.2">
      <c r="A23" s="6"/>
      <c r="B23" s="6"/>
      <c r="C23" s="7" t="s">
        <v>271</v>
      </c>
      <c r="D23" s="7"/>
    </row>
    <row r="24" spans="1:4" x14ac:dyDescent="0.2">
      <c r="A24" s="514" t="s">
        <v>272</v>
      </c>
      <c r="B24" s="514"/>
      <c r="C24" s="8" t="s">
        <v>273</v>
      </c>
      <c r="D24" s="8"/>
    </row>
    <row r="25" spans="1:4" x14ac:dyDescent="0.2">
      <c r="A25" s="10"/>
      <c r="B25" s="6"/>
      <c r="C25" s="7" t="s">
        <v>258</v>
      </c>
      <c r="D25" s="7"/>
    </row>
    <row r="26" spans="1:4" x14ac:dyDescent="0.2">
      <c r="A26" s="10"/>
      <c r="B26" s="6"/>
      <c r="C26" s="7" t="s">
        <v>259</v>
      </c>
      <c r="D26" s="7"/>
    </row>
    <row r="27" spans="1:4" x14ac:dyDescent="0.2">
      <c r="A27" s="10"/>
      <c r="B27" s="6"/>
      <c r="C27" s="7" t="s">
        <v>261</v>
      </c>
      <c r="D27" s="7"/>
    </row>
    <row r="28" spans="1:4" x14ac:dyDescent="0.2">
      <c r="A28" s="10"/>
      <c r="B28" s="6"/>
      <c r="C28" s="7" t="s">
        <v>262</v>
      </c>
      <c r="D28" s="7"/>
    </row>
    <row r="29" spans="1:4" x14ac:dyDescent="0.2">
      <c r="A29" s="10"/>
      <c r="B29" s="6"/>
      <c r="C29" s="7" t="s">
        <v>274</v>
      </c>
      <c r="D29" s="7"/>
    </row>
    <row r="30" spans="1:4" x14ac:dyDescent="0.2">
      <c r="A30" s="10"/>
      <c r="B30" s="6"/>
      <c r="C30" s="7" t="s">
        <v>275</v>
      </c>
      <c r="D30" s="7"/>
    </row>
    <row r="31" spans="1:4" x14ac:dyDescent="0.2">
      <c r="A31" s="10"/>
      <c r="B31" s="6"/>
      <c r="C31" s="7" t="s">
        <v>276</v>
      </c>
      <c r="D31" s="7"/>
    </row>
    <row r="32" spans="1:4" x14ac:dyDescent="0.2">
      <c r="A32" s="509">
        <v>38362</v>
      </c>
      <c r="B32" s="509"/>
      <c r="C32" s="7" t="s">
        <v>277</v>
      </c>
      <c r="D32" s="7"/>
    </row>
    <row r="33" spans="1:4" x14ac:dyDescent="0.2">
      <c r="A33" s="509">
        <v>38372</v>
      </c>
      <c r="B33" s="509"/>
      <c r="C33" s="7" t="s">
        <v>278</v>
      </c>
      <c r="D33" s="7"/>
    </row>
    <row r="34" spans="1:4" x14ac:dyDescent="0.2">
      <c r="A34" s="509">
        <v>38415</v>
      </c>
      <c r="B34" s="509"/>
      <c r="C34" s="7" t="s">
        <v>279</v>
      </c>
      <c r="D34" s="7"/>
    </row>
    <row r="35" spans="1:4" x14ac:dyDescent="0.2">
      <c r="A35" s="6"/>
      <c r="B35" s="6"/>
      <c r="C35" s="7" t="s">
        <v>280</v>
      </c>
      <c r="D35" s="7"/>
    </row>
    <row r="36" spans="1:4" x14ac:dyDescent="0.2">
      <c r="A36" s="10"/>
      <c r="B36" s="6"/>
      <c r="C36" s="7" t="s">
        <v>281</v>
      </c>
      <c r="D36" s="7"/>
    </row>
    <row r="37" spans="1:4" x14ac:dyDescent="0.2">
      <c r="A37" s="514" t="s">
        <v>282</v>
      </c>
      <c r="B37" s="514"/>
      <c r="C37" s="8" t="s">
        <v>283</v>
      </c>
      <c r="D37" s="8"/>
    </row>
    <row r="38" spans="1:4" x14ac:dyDescent="0.2">
      <c r="A38" s="509">
        <v>38512</v>
      </c>
      <c r="B38" s="509"/>
      <c r="C38" s="7" t="s">
        <v>284</v>
      </c>
      <c r="D38" s="7"/>
    </row>
    <row r="39" spans="1:4" x14ac:dyDescent="0.2">
      <c r="A39" s="6"/>
      <c r="B39" s="6"/>
      <c r="C39" s="7" t="s">
        <v>285</v>
      </c>
      <c r="D39" s="7"/>
    </row>
    <row r="40" spans="1:4" x14ac:dyDescent="0.2">
      <c r="A40" s="509">
        <v>38524</v>
      </c>
      <c r="B40" s="509"/>
      <c r="C40" s="7" t="s">
        <v>286</v>
      </c>
      <c r="D40" s="7"/>
    </row>
    <row r="41" spans="1:4" x14ac:dyDescent="0.2">
      <c r="A41" s="11" t="s">
        <v>287</v>
      </c>
      <c r="B41" s="6"/>
      <c r="C41" s="12" t="s">
        <v>288</v>
      </c>
      <c r="D41" s="12"/>
    </row>
    <row r="42" spans="1:4" x14ac:dyDescent="0.2">
      <c r="A42" s="10"/>
      <c r="B42" s="6"/>
      <c r="C42" s="8" t="s">
        <v>289</v>
      </c>
      <c r="D42" s="8"/>
    </row>
    <row r="43" spans="1:4" x14ac:dyDescent="0.2">
      <c r="A43" s="10"/>
      <c r="B43" s="6"/>
      <c r="C43" s="8" t="s">
        <v>290</v>
      </c>
      <c r="D43" s="8"/>
    </row>
    <row r="44" spans="1:4" x14ac:dyDescent="0.2">
      <c r="A44" s="10"/>
      <c r="B44" s="6"/>
      <c r="C44" s="8" t="s">
        <v>291</v>
      </c>
      <c r="D44" s="8"/>
    </row>
    <row r="45" spans="1:4" x14ac:dyDescent="0.2">
      <c r="A45" s="10"/>
      <c r="B45" s="6"/>
      <c r="C45" s="8" t="s">
        <v>292</v>
      </c>
      <c r="D45" s="8"/>
    </row>
    <row r="46" spans="1:4" x14ac:dyDescent="0.2">
      <c r="A46" s="10"/>
      <c r="B46" s="6"/>
      <c r="C46" s="8" t="s">
        <v>293</v>
      </c>
      <c r="D46" s="8"/>
    </row>
    <row r="47" spans="1:4" x14ac:dyDescent="0.2">
      <c r="A47" s="10"/>
      <c r="B47" s="6"/>
      <c r="C47" s="8" t="s">
        <v>294</v>
      </c>
      <c r="D47" s="8"/>
    </row>
    <row r="48" spans="1:4" x14ac:dyDescent="0.2">
      <c r="A48" s="10"/>
      <c r="B48" s="6"/>
      <c r="C48" s="13" t="s">
        <v>295</v>
      </c>
      <c r="D48" s="13"/>
    </row>
    <row r="49" spans="1:4" x14ac:dyDescent="0.2">
      <c r="A49" s="10"/>
      <c r="B49" s="6"/>
      <c r="C49" s="13" t="s">
        <v>296</v>
      </c>
      <c r="D49" s="13"/>
    </row>
    <row r="50" spans="1:4" x14ac:dyDescent="0.2">
      <c r="A50" s="10"/>
      <c r="B50" s="6"/>
      <c r="C50" s="7" t="s">
        <v>297</v>
      </c>
      <c r="D50" s="7"/>
    </row>
    <row r="51" spans="1:4" x14ac:dyDescent="0.2">
      <c r="A51" s="10" t="s">
        <v>298</v>
      </c>
      <c r="B51" s="6"/>
      <c r="C51" s="7" t="s">
        <v>299</v>
      </c>
      <c r="D51" s="7"/>
    </row>
    <row r="52" spans="1:4" x14ac:dyDescent="0.2">
      <c r="A52" s="14" t="s">
        <v>300</v>
      </c>
      <c r="B52" s="6"/>
      <c r="C52" s="7" t="s">
        <v>301</v>
      </c>
      <c r="D52" s="7" t="s">
        <v>302</v>
      </c>
    </row>
    <row r="53" spans="1:4" x14ac:dyDescent="0.2">
      <c r="A53" s="10"/>
      <c r="B53" s="6"/>
      <c r="C53" s="7" t="s">
        <v>303</v>
      </c>
      <c r="D53" s="7"/>
    </row>
    <row r="54" spans="1:4" x14ac:dyDescent="0.2">
      <c r="A54" s="10"/>
      <c r="B54" s="6"/>
      <c r="C54" s="7" t="s">
        <v>304</v>
      </c>
      <c r="D54" s="7"/>
    </row>
    <row r="55" spans="1:4" x14ac:dyDescent="0.2">
      <c r="A55" s="10"/>
      <c r="B55" s="6"/>
      <c r="C55" s="7" t="s">
        <v>305</v>
      </c>
      <c r="D55" s="7"/>
    </row>
    <row r="56" spans="1:4" ht="24.75" customHeight="1" x14ac:dyDescent="0.2">
      <c r="A56" s="10"/>
      <c r="B56" s="6"/>
      <c r="C56" s="15" t="s">
        <v>306</v>
      </c>
      <c r="D56" s="15"/>
    </row>
    <row r="57" spans="1:4" x14ac:dyDescent="0.2">
      <c r="A57" s="10"/>
      <c r="B57" s="6"/>
      <c r="C57" s="7" t="s">
        <v>307</v>
      </c>
      <c r="D57" s="7"/>
    </row>
    <row r="58" spans="1:4" x14ac:dyDescent="0.2">
      <c r="A58" s="10"/>
      <c r="B58" s="6"/>
      <c r="C58" s="7" t="s">
        <v>308</v>
      </c>
      <c r="D58" s="7"/>
    </row>
    <row r="59" spans="1:4" x14ac:dyDescent="0.2">
      <c r="A59" s="10"/>
      <c r="B59" s="6"/>
      <c r="C59" s="7" t="s">
        <v>309</v>
      </c>
      <c r="D59" s="7"/>
    </row>
    <row r="60" spans="1:4" x14ac:dyDescent="0.2">
      <c r="A60" s="10"/>
      <c r="B60" s="6"/>
      <c r="C60" s="7" t="s">
        <v>310</v>
      </c>
      <c r="D60" s="7"/>
    </row>
    <row r="61" spans="1:4" x14ac:dyDescent="0.2">
      <c r="A61" s="10"/>
      <c r="B61" s="6"/>
      <c r="C61" s="7" t="s">
        <v>311</v>
      </c>
      <c r="D61" s="7"/>
    </row>
    <row r="62" spans="1:4" x14ac:dyDescent="0.2">
      <c r="A62" s="10"/>
      <c r="B62" s="6"/>
      <c r="C62" s="7" t="s">
        <v>312</v>
      </c>
      <c r="D62" s="7"/>
    </row>
    <row r="63" spans="1:4" ht="24" x14ac:dyDescent="0.2">
      <c r="A63" s="10"/>
      <c r="B63" s="6"/>
      <c r="C63" s="15" t="s">
        <v>313</v>
      </c>
      <c r="D63" s="15"/>
    </row>
    <row r="64" spans="1:4" x14ac:dyDescent="0.2">
      <c r="A64" s="10"/>
      <c r="B64" s="6"/>
      <c r="C64" s="7" t="s">
        <v>314</v>
      </c>
      <c r="D64" s="7"/>
    </row>
    <row r="65" spans="1:4" x14ac:dyDescent="0.2">
      <c r="A65" s="10"/>
      <c r="B65" s="6"/>
      <c r="C65" s="7" t="s">
        <v>315</v>
      </c>
      <c r="D65" s="7"/>
    </row>
    <row r="66" spans="1:4" x14ac:dyDescent="0.2">
      <c r="A66" s="10"/>
      <c r="B66" s="6"/>
      <c r="C66" s="7" t="s">
        <v>316</v>
      </c>
      <c r="D66" s="7"/>
    </row>
    <row r="67" spans="1:4" ht="24" x14ac:dyDescent="0.2">
      <c r="A67" s="10"/>
      <c r="B67" s="6"/>
      <c r="C67" s="15" t="s">
        <v>317</v>
      </c>
      <c r="D67" s="15"/>
    </row>
    <row r="68" spans="1:4" x14ac:dyDescent="0.2">
      <c r="A68" s="10"/>
      <c r="B68" s="6"/>
      <c r="C68" s="7" t="s">
        <v>318</v>
      </c>
      <c r="D68" s="7"/>
    </row>
    <row r="69" spans="1:4" x14ac:dyDescent="0.2">
      <c r="A69" s="10"/>
      <c r="B69" s="6"/>
      <c r="C69" s="7" t="s">
        <v>319</v>
      </c>
      <c r="D69" s="7"/>
    </row>
    <row r="70" spans="1:4" x14ac:dyDescent="0.2">
      <c r="A70" s="10"/>
      <c r="B70" s="6"/>
      <c r="C70" s="7" t="s">
        <v>320</v>
      </c>
      <c r="D70" s="7"/>
    </row>
    <row r="71" spans="1:4" x14ac:dyDescent="0.2">
      <c r="A71" s="10"/>
      <c r="B71" s="6"/>
      <c r="C71" s="7" t="s">
        <v>321</v>
      </c>
      <c r="D71" s="7"/>
    </row>
    <row r="72" spans="1:4" x14ac:dyDescent="0.2">
      <c r="A72" s="10"/>
      <c r="B72" s="6"/>
      <c r="C72" s="7" t="s">
        <v>322</v>
      </c>
      <c r="D72" s="7"/>
    </row>
    <row r="73" spans="1:4" x14ac:dyDescent="0.2">
      <c r="A73" s="10"/>
      <c r="B73" s="6"/>
      <c r="C73" s="7" t="s">
        <v>323</v>
      </c>
      <c r="D73" s="7"/>
    </row>
    <row r="74" spans="1:4" x14ac:dyDescent="0.2">
      <c r="A74" s="10"/>
      <c r="B74" s="6"/>
      <c r="C74" s="7" t="s">
        <v>324</v>
      </c>
      <c r="D74" s="7"/>
    </row>
    <row r="75" spans="1:4" x14ac:dyDescent="0.2">
      <c r="A75" s="10"/>
      <c r="B75" s="6"/>
      <c r="C75" s="7" t="s">
        <v>325</v>
      </c>
      <c r="D75" s="7"/>
    </row>
    <row r="76" spans="1:4" x14ac:dyDescent="0.2">
      <c r="A76" s="10"/>
      <c r="B76" s="6"/>
      <c r="C76" s="7" t="s">
        <v>326</v>
      </c>
      <c r="D76" s="7"/>
    </row>
    <row r="77" spans="1:4" x14ac:dyDescent="0.2">
      <c r="A77" s="10"/>
      <c r="B77" s="6"/>
      <c r="C77" s="7" t="s">
        <v>327</v>
      </c>
      <c r="D77" s="7"/>
    </row>
    <row r="78" spans="1:4" x14ac:dyDescent="0.2">
      <c r="A78" s="10"/>
      <c r="B78" s="6"/>
      <c r="C78" s="7" t="s">
        <v>328</v>
      </c>
      <c r="D78" s="7"/>
    </row>
    <row r="79" spans="1:4" x14ac:dyDescent="0.2">
      <c r="A79" s="10"/>
      <c r="B79" s="6"/>
      <c r="C79" s="7" t="s">
        <v>329</v>
      </c>
      <c r="D79" s="7"/>
    </row>
    <row r="80" spans="1:4" x14ac:dyDescent="0.2">
      <c r="A80" s="10"/>
      <c r="B80" s="6"/>
      <c r="C80" s="7" t="s">
        <v>330</v>
      </c>
      <c r="D80" s="7"/>
    </row>
    <row r="81" spans="1:4" x14ac:dyDescent="0.2">
      <c r="A81" s="10"/>
      <c r="B81" s="6"/>
      <c r="C81" s="7" t="s">
        <v>331</v>
      </c>
      <c r="D81" s="7"/>
    </row>
    <row r="82" spans="1:4" x14ac:dyDescent="0.2">
      <c r="A82" s="10"/>
      <c r="B82" s="6"/>
      <c r="C82" s="7" t="s">
        <v>332</v>
      </c>
      <c r="D82" s="7"/>
    </row>
    <row r="83" spans="1:4" x14ac:dyDescent="0.2">
      <c r="A83" s="10"/>
      <c r="B83" s="6"/>
      <c r="C83" s="7" t="s">
        <v>333</v>
      </c>
      <c r="D83" s="7"/>
    </row>
    <row r="84" spans="1:4" x14ac:dyDescent="0.2">
      <c r="A84" s="10"/>
      <c r="B84" s="6"/>
      <c r="C84" s="7" t="s">
        <v>334</v>
      </c>
      <c r="D84" s="7"/>
    </row>
    <row r="85" spans="1:4" x14ac:dyDescent="0.2">
      <c r="A85" s="10"/>
      <c r="B85" s="6"/>
      <c r="C85" s="7" t="s">
        <v>335</v>
      </c>
      <c r="D85" s="7"/>
    </row>
    <row r="86" spans="1:4" x14ac:dyDescent="0.2">
      <c r="A86" s="10"/>
      <c r="B86" s="6"/>
      <c r="C86" s="7" t="s">
        <v>336</v>
      </c>
      <c r="D86" s="7"/>
    </row>
    <row r="87" spans="1:4" x14ac:dyDescent="0.2">
      <c r="A87" s="10"/>
      <c r="B87" s="6"/>
      <c r="C87" s="7" t="s">
        <v>337</v>
      </c>
      <c r="D87" s="7"/>
    </row>
    <row r="88" spans="1:4" x14ac:dyDescent="0.2">
      <c r="A88" s="10"/>
      <c r="B88" s="6"/>
      <c r="C88" s="7" t="s">
        <v>338</v>
      </c>
      <c r="D88" s="7"/>
    </row>
    <row r="89" spans="1:4" x14ac:dyDescent="0.2">
      <c r="A89" s="10"/>
      <c r="B89" s="6"/>
      <c r="C89" s="7" t="s">
        <v>339</v>
      </c>
      <c r="D89" s="7"/>
    </row>
    <row r="90" spans="1:4" x14ac:dyDescent="0.2">
      <c r="A90" s="10"/>
      <c r="B90" s="6"/>
      <c r="C90" s="7" t="s">
        <v>340</v>
      </c>
      <c r="D90" s="7"/>
    </row>
    <row r="91" spans="1:4" x14ac:dyDescent="0.2">
      <c r="A91" s="10"/>
      <c r="B91" s="6"/>
      <c r="C91" s="7" t="s">
        <v>341</v>
      </c>
      <c r="D91" s="7"/>
    </row>
    <row r="92" spans="1:4" x14ac:dyDescent="0.2">
      <c r="A92" s="10"/>
      <c r="B92" s="6"/>
      <c r="C92" s="7" t="s">
        <v>342</v>
      </c>
      <c r="D92" s="7"/>
    </row>
    <row r="93" spans="1:4" x14ac:dyDescent="0.2">
      <c r="A93" s="10"/>
      <c r="B93" s="6"/>
      <c r="C93" s="7" t="s">
        <v>343</v>
      </c>
      <c r="D93" s="7"/>
    </row>
    <row r="94" spans="1:4" x14ac:dyDescent="0.2">
      <c r="A94" s="10"/>
      <c r="B94" s="6"/>
      <c r="C94" s="7" t="s">
        <v>344</v>
      </c>
      <c r="D94" s="7"/>
    </row>
    <row r="95" spans="1:4" x14ac:dyDescent="0.2">
      <c r="A95" s="10"/>
      <c r="B95" s="6"/>
      <c r="C95" s="7" t="s">
        <v>345</v>
      </c>
      <c r="D95" s="7"/>
    </row>
    <row r="96" spans="1:4" x14ac:dyDescent="0.2">
      <c r="A96" s="10"/>
      <c r="B96" s="6"/>
      <c r="C96" s="7" t="s">
        <v>346</v>
      </c>
      <c r="D96" s="7"/>
    </row>
    <row r="97" spans="1:4" x14ac:dyDescent="0.2">
      <c r="A97" s="10"/>
      <c r="B97" s="6"/>
      <c r="C97" s="7" t="s">
        <v>347</v>
      </c>
      <c r="D97" s="7"/>
    </row>
    <row r="98" spans="1:4" x14ac:dyDescent="0.2">
      <c r="A98" s="10"/>
      <c r="B98" s="6"/>
      <c r="C98" s="7" t="s">
        <v>348</v>
      </c>
      <c r="D98" s="7"/>
    </row>
    <row r="99" spans="1:4" x14ac:dyDescent="0.2">
      <c r="A99" s="10"/>
      <c r="B99" s="6"/>
      <c r="C99" s="7" t="s">
        <v>349</v>
      </c>
      <c r="D99" s="7"/>
    </row>
    <row r="100" spans="1:4" x14ac:dyDescent="0.2">
      <c r="A100" s="10"/>
      <c r="B100" s="6"/>
      <c r="C100" s="7" t="s">
        <v>350</v>
      </c>
      <c r="D100" s="7"/>
    </row>
    <row r="101" spans="1:4" x14ac:dyDescent="0.2">
      <c r="A101" s="10"/>
      <c r="B101" s="6"/>
      <c r="C101" s="7" t="s">
        <v>351</v>
      </c>
      <c r="D101" s="7"/>
    </row>
    <row r="102" spans="1:4" x14ac:dyDescent="0.2">
      <c r="A102" s="10"/>
      <c r="B102" s="6"/>
      <c r="C102" s="7" t="s">
        <v>352</v>
      </c>
      <c r="D102" s="7"/>
    </row>
    <row r="103" spans="1:4" x14ac:dyDescent="0.2">
      <c r="A103" s="10"/>
      <c r="B103" s="6"/>
      <c r="C103" s="7" t="s">
        <v>353</v>
      </c>
      <c r="D103" s="7"/>
    </row>
    <row r="104" spans="1:4" x14ac:dyDescent="0.2">
      <c r="A104" s="10"/>
      <c r="B104" s="6"/>
      <c r="C104" s="7" t="s">
        <v>354</v>
      </c>
      <c r="D104" s="7"/>
    </row>
    <row r="105" spans="1:4" x14ac:dyDescent="0.2">
      <c r="A105" s="10"/>
      <c r="B105" s="6"/>
      <c r="C105" s="7" t="s">
        <v>355</v>
      </c>
      <c r="D105" s="7"/>
    </row>
    <row r="106" spans="1:4" x14ac:dyDescent="0.2">
      <c r="A106" s="10"/>
      <c r="B106" s="6"/>
      <c r="C106" s="7" t="s">
        <v>356</v>
      </c>
      <c r="D106" s="7"/>
    </row>
    <row r="107" spans="1:4" x14ac:dyDescent="0.2">
      <c r="A107" s="10"/>
      <c r="B107" s="6"/>
      <c r="C107" s="7" t="s">
        <v>357</v>
      </c>
      <c r="D107" s="7"/>
    </row>
    <row r="108" spans="1:4" x14ac:dyDescent="0.2">
      <c r="A108" s="10"/>
      <c r="B108" s="6"/>
      <c r="C108" s="7" t="s">
        <v>358</v>
      </c>
      <c r="D108" s="7"/>
    </row>
    <row r="109" spans="1:4" x14ac:dyDescent="0.2">
      <c r="A109" s="10"/>
      <c r="B109" s="6"/>
      <c r="C109" s="7" t="s">
        <v>359</v>
      </c>
      <c r="D109" s="7"/>
    </row>
    <row r="110" spans="1:4" x14ac:dyDescent="0.2">
      <c r="A110" s="10"/>
      <c r="B110" s="6"/>
      <c r="C110" s="7" t="s">
        <v>360</v>
      </c>
      <c r="D110" s="7"/>
    </row>
    <row r="111" spans="1:4" x14ac:dyDescent="0.2">
      <c r="A111" s="10"/>
      <c r="B111" s="6"/>
      <c r="C111" s="7" t="s">
        <v>361</v>
      </c>
      <c r="D111" s="7"/>
    </row>
    <row r="112" spans="1:4" x14ac:dyDescent="0.2">
      <c r="A112" s="10"/>
      <c r="B112" s="6"/>
      <c r="C112" s="7" t="s">
        <v>362</v>
      </c>
      <c r="D112" s="7"/>
    </row>
    <row r="113" spans="1:4" x14ac:dyDescent="0.2">
      <c r="A113" s="10"/>
      <c r="B113" s="6"/>
      <c r="C113" s="7" t="s">
        <v>363</v>
      </c>
      <c r="D113" s="7"/>
    </row>
    <row r="114" spans="1:4" ht="60" x14ac:dyDescent="0.2">
      <c r="A114" s="10"/>
      <c r="B114" s="6"/>
      <c r="C114" s="15" t="s">
        <v>364</v>
      </c>
      <c r="D114" s="15"/>
    </row>
    <row r="115" spans="1:4" ht="96" x14ac:dyDescent="0.2">
      <c r="A115" s="10"/>
      <c r="B115" s="6"/>
      <c r="C115" s="15" t="s">
        <v>365</v>
      </c>
      <c r="D115" s="15"/>
    </row>
    <row r="116" spans="1:4" x14ac:dyDescent="0.2">
      <c r="A116" s="10"/>
      <c r="B116" s="6"/>
      <c r="C116" s="7" t="s">
        <v>366</v>
      </c>
      <c r="D116" s="7"/>
    </row>
    <row r="117" spans="1:4" x14ac:dyDescent="0.2">
      <c r="A117" s="10"/>
      <c r="B117" s="6"/>
      <c r="C117" s="7" t="s">
        <v>367</v>
      </c>
      <c r="D117" s="7"/>
    </row>
    <row r="118" spans="1:4" x14ac:dyDescent="0.2">
      <c r="A118" s="10"/>
      <c r="B118" s="6"/>
      <c r="C118" s="7" t="s">
        <v>368</v>
      </c>
      <c r="D118" s="7"/>
    </row>
    <row r="119" spans="1:4" x14ac:dyDescent="0.2">
      <c r="A119" s="10"/>
      <c r="B119" s="6"/>
      <c r="C119" s="7" t="s">
        <v>369</v>
      </c>
      <c r="D119" s="7"/>
    </row>
    <row r="120" spans="1:4" x14ac:dyDescent="0.2">
      <c r="A120" s="10"/>
      <c r="B120" s="6"/>
      <c r="C120" s="7" t="s">
        <v>370</v>
      </c>
      <c r="D120" s="7"/>
    </row>
    <row r="121" spans="1:4" ht="24" x14ac:dyDescent="0.2">
      <c r="A121" s="10"/>
      <c r="B121" s="6"/>
      <c r="C121" s="15" t="s">
        <v>371</v>
      </c>
      <c r="D121" s="15"/>
    </row>
    <row r="122" spans="1:4" x14ac:dyDescent="0.2">
      <c r="A122" s="10"/>
      <c r="B122" s="6"/>
      <c r="C122" s="7" t="s">
        <v>372</v>
      </c>
      <c r="D122" s="7"/>
    </row>
    <row r="123" spans="1:4" x14ac:dyDescent="0.2">
      <c r="A123" s="10"/>
      <c r="B123" s="6"/>
      <c r="C123" s="7" t="s">
        <v>373</v>
      </c>
      <c r="D123" s="7"/>
    </row>
    <row r="124" spans="1:4" x14ac:dyDescent="0.2">
      <c r="A124" s="10"/>
      <c r="B124" s="6"/>
      <c r="C124" s="7" t="s">
        <v>374</v>
      </c>
      <c r="D124" s="7"/>
    </row>
    <row r="125" spans="1:4" x14ac:dyDescent="0.2">
      <c r="A125" s="10"/>
      <c r="B125" s="6"/>
      <c r="C125" s="7" t="s">
        <v>373</v>
      </c>
      <c r="D125" s="7"/>
    </row>
    <row r="126" spans="1:4" ht="36" x14ac:dyDescent="0.2">
      <c r="A126" s="10"/>
      <c r="B126" s="6"/>
      <c r="C126" s="15" t="s">
        <v>375</v>
      </c>
      <c r="D126" s="15"/>
    </row>
    <row r="127" spans="1:4" ht="24" x14ac:dyDescent="0.2">
      <c r="A127" s="10"/>
      <c r="B127" s="6"/>
      <c r="C127" s="15" t="s">
        <v>376</v>
      </c>
      <c r="D127" s="15"/>
    </row>
    <row r="128" spans="1:4" ht="24" x14ac:dyDescent="0.2">
      <c r="A128" s="10"/>
      <c r="B128" s="6"/>
      <c r="C128" s="15" t="s">
        <v>377</v>
      </c>
      <c r="D128" s="15"/>
    </row>
    <row r="129" spans="1:6" x14ac:dyDescent="0.2">
      <c r="A129" s="10"/>
      <c r="B129" s="6"/>
      <c r="C129" s="7" t="s">
        <v>378</v>
      </c>
      <c r="D129" s="7"/>
    </row>
    <row r="130" spans="1:6" x14ac:dyDescent="0.2">
      <c r="A130" s="10"/>
      <c r="B130" s="6"/>
      <c r="C130" s="7" t="s">
        <v>379</v>
      </c>
      <c r="D130" s="7"/>
    </row>
    <row r="131" spans="1:6" x14ac:dyDescent="0.2">
      <c r="A131" s="10"/>
      <c r="B131" s="6"/>
      <c r="C131" s="7" t="s">
        <v>380</v>
      </c>
      <c r="D131" s="7"/>
    </row>
    <row r="132" spans="1:6" x14ac:dyDescent="0.2">
      <c r="A132" s="10"/>
      <c r="B132" s="6"/>
      <c r="C132" s="7" t="s">
        <v>381</v>
      </c>
      <c r="D132" s="7"/>
    </row>
    <row r="133" spans="1:6" x14ac:dyDescent="0.2">
      <c r="A133" s="10"/>
      <c r="B133" s="6"/>
      <c r="C133" s="7" t="s">
        <v>382</v>
      </c>
      <c r="D133" s="7"/>
    </row>
    <row r="134" spans="1:6" x14ac:dyDescent="0.2">
      <c r="A134" s="10" t="s">
        <v>383</v>
      </c>
      <c r="B134" s="6"/>
      <c r="C134" s="7" t="s">
        <v>384</v>
      </c>
      <c r="D134" s="7" t="s">
        <v>302</v>
      </c>
    </row>
    <row r="135" spans="1:6" x14ac:dyDescent="0.2">
      <c r="A135" s="10"/>
      <c r="B135" s="6"/>
      <c r="C135" s="7"/>
      <c r="D135" s="7"/>
      <c r="F135" s="1"/>
    </row>
    <row r="137" spans="1:6" x14ac:dyDescent="0.2">
      <c r="A137" s="510">
        <v>41466</v>
      </c>
      <c r="B137" s="510"/>
      <c r="C137" s="7" t="s">
        <v>385</v>
      </c>
      <c r="D137" s="512" t="s">
        <v>386</v>
      </c>
    </row>
    <row r="138" spans="1:6" x14ac:dyDescent="0.2">
      <c r="A138" s="511"/>
      <c r="B138" s="511"/>
      <c r="C138" s="16" t="s">
        <v>387</v>
      </c>
      <c r="D138" s="513"/>
    </row>
    <row r="139" spans="1:6" x14ac:dyDescent="0.2">
      <c r="A139" s="511"/>
      <c r="B139" s="511"/>
      <c r="C139" s="17" t="s">
        <v>388</v>
      </c>
      <c r="D139" s="513"/>
    </row>
    <row r="140" spans="1:6" ht="24" x14ac:dyDescent="0.2">
      <c r="A140" s="511"/>
      <c r="B140" s="511"/>
      <c r="C140" s="17" t="s">
        <v>389</v>
      </c>
      <c r="D140" s="513"/>
    </row>
    <row r="141" spans="1:6" x14ac:dyDescent="0.2">
      <c r="A141" s="511"/>
      <c r="B141" s="511"/>
      <c r="C141" t="s">
        <v>390</v>
      </c>
      <c r="D141" s="513"/>
    </row>
    <row r="142" spans="1:6" x14ac:dyDescent="0.2">
      <c r="A142" s="511"/>
      <c r="B142" s="511"/>
      <c r="C142" t="s">
        <v>391</v>
      </c>
      <c r="D142" s="513"/>
    </row>
    <row r="143" spans="1:6" ht="25.5" x14ac:dyDescent="0.2">
      <c r="A143" s="18">
        <v>42076</v>
      </c>
      <c r="C143" s="19" t="s">
        <v>392</v>
      </c>
      <c r="D143" s="2" t="s">
        <v>386</v>
      </c>
    </row>
    <row r="144" spans="1:6" ht="25.5" x14ac:dyDescent="0.2">
      <c r="A144" s="18">
        <v>42436</v>
      </c>
      <c r="C144" s="20" t="s">
        <v>418</v>
      </c>
      <c r="D144" t="s">
        <v>386</v>
      </c>
    </row>
  </sheetData>
  <mergeCells count="15">
    <mergeCell ref="A8:B8"/>
    <mergeCell ref="A3:B3"/>
    <mergeCell ref="A4:B4"/>
    <mergeCell ref="A5:B5"/>
    <mergeCell ref="A6:B6"/>
    <mergeCell ref="A7:B7"/>
    <mergeCell ref="A40:B40"/>
    <mergeCell ref="A137:B142"/>
    <mergeCell ref="D137:D142"/>
    <mergeCell ref="A24:B24"/>
    <mergeCell ref="A32:B32"/>
    <mergeCell ref="A33:B33"/>
    <mergeCell ref="A34:B34"/>
    <mergeCell ref="A37:B37"/>
    <mergeCell ref="A38:B38"/>
  </mergeCells>
  <pageMargins left="0.7" right="0.7" top="0.78740157499999996" bottom="0.78740157499999996" header="0.3" footer="0.3"/>
  <pageSetup paperSize="9" scale="79" orientation="portrait" horizontalDpi="90" verticalDpi="9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9</vt:i4>
      </vt:variant>
    </vt:vector>
  </HeadingPairs>
  <TitlesOfParts>
    <vt:vector size="14" baseType="lpstr">
      <vt:lpstr>Overview</vt:lpstr>
      <vt:lpstr>Cover-Pre-Acceptance</vt:lpstr>
      <vt:lpstr>Cover-Final Acceptance</vt:lpstr>
      <vt:lpstr>Acceptance Protocoll</vt:lpstr>
      <vt:lpstr>History</vt:lpstr>
      <vt:lpstr>Overview!ChooseLogo</vt:lpstr>
      <vt:lpstr>cProject</vt:lpstr>
      <vt:lpstr>'Acceptance Protocoll'!Druckbereich</vt:lpstr>
      <vt:lpstr>'Cover-Final Acceptance'!Druckbereich</vt:lpstr>
      <vt:lpstr>'Cover-Pre-Acceptance'!Druckbereich</vt:lpstr>
      <vt:lpstr>History!Druckbereich</vt:lpstr>
      <vt:lpstr>L</vt:lpstr>
      <vt:lpstr>Overview!refDateLastUpdateOn</vt:lpstr>
      <vt:lpstr>Overview!refLastUser</vt:lpstr>
    </vt:vector>
  </TitlesOfParts>
  <Company>BOSCH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FIXED-TERM Lalis Lykourgos (C/MPE)</dc:creator>
  <cp:lastModifiedBy>FIXED-TERM Widmann Nico (C/MPE)</cp:lastModifiedBy>
  <cp:lastPrinted>2017-08-21T07:15:31Z</cp:lastPrinted>
  <dcterms:created xsi:type="dcterms:W3CDTF">2015-12-15T10:47:16Z</dcterms:created>
  <dcterms:modified xsi:type="dcterms:W3CDTF">2017-08-24T14:24:15Z</dcterms:modified>
</cp:coreProperties>
</file>