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 Itotia\OneDrive\Documents\"/>
    </mc:Choice>
  </mc:AlternateContent>
  <xr:revisionPtr revIDLastSave="0" documentId="13_ncr:1_{028B2581-CFAF-4C8A-ACCA-93E8E8916F6A}" xr6:coauthVersionLast="47" xr6:coauthVersionMax="47" xr10:uidLastSave="{00000000-0000-0000-0000-000000000000}"/>
  <bookViews>
    <workbookView xWindow="-120" yWindow="-120" windowWidth="29040" windowHeight="16440" activeTab="2" xr2:uid="{90A32E6D-A93C-47AC-B6A8-7F15A14410D9}"/>
  </bookViews>
  <sheets>
    <sheet name="Dataset" sheetId="1" r:id="rId1"/>
    <sheet name="Descriptive" sheetId="2" r:id="rId2"/>
    <sheet name="Grants" sheetId="5" r:id="rId3"/>
  </sheets>
  <definedNames>
    <definedName name="Domestic_debt_Ksh_billions">Dataset!$D$1:$D$16</definedName>
    <definedName name="External_debt_Ksh_billions">Dataset!$E$1:$E$16</definedName>
    <definedName name="External_Grants_Ksh_billions">Dataset!$C$1:$C$16</definedName>
    <definedName name="Revenue_Ksh_billions">Dataset!$B$1:$B$16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24" i="2"/>
  <c r="M38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3" i="2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19" i="5"/>
  <c r="Q18" i="5"/>
  <c r="P18" i="5"/>
  <c r="P21" i="5"/>
  <c r="P22" i="5"/>
  <c r="P23" i="5"/>
  <c r="P24" i="5"/>
  <c r="P25" i="5"/>
  <c r="P26" i="5"/>
  <c r="P27" i="5"/>
  <c r="P28" i="5"/>
  <c r="P29" i="5"/>
  <c r="P30" i="5"/>
  <c r="P31" i="5"/>
  <c r="P32" i="5"/>
  <c r="P20" i="5"/>
  <c r="P19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17" i="5"/>
  <c r="P8" i="5"/>
  <c r="R9" i="5"/>
  <c r="Q9" i="5"/>
  <c r="P9" i="5"/>
  <c r="S8" i="5"/>
  <c r="Q8" i="5"/>
  <c r="P7" i="5"/>
  <c r="S7" i="5"/>
  <c r="R7" i="5"/>
  <c r="S9" i="5"/>
  <c r="R8" i="5"/>
  <c r="Q7" i="5"/>
  <c r="S6" i="5"/>
  <c r="R6" i="5"/>
  <c r="Q6" i="5"/>
  <c r="P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6" i="5"/>
  <c r="B20" i="5"/>
  <c r="B16" i="5"/>
  <c r="B17" i="5"/>
  <c r="B18" i="5"/>
  <c r="B19" i="5"/>
  <c r="B13" i="5"/>
  <c r="B14" i="5"/>
  <c r="B15" i="5"/>
  <c r="B11" i="5"/>
  <c r="B12" i="5"/>
  <c r="B7" i="5"/>
  <c r="B8" i="5"/>
  <c r="B9" i="5"/>
  <c r="B10" i="5"/>
  <c r="B5" i="5"/>
  <c r="B6" i="5"/>
  <c r="N19" i="2"/>
  <c r="N17" i="2"/>
  <c r="N18" i="2"/>
  <c r="N15" i="2"/>
  <c r="N16" i="2"/>
  <c r="N13" i="2"/>
  <c r="N14" i="2"/>
  <c r="N11" i="2"/>
  <c r="N12" i="2"/>
  <c r="N9" i="2"/>
  <c r="N10" i="2"/>
  <c r="N7" i="2"/>
  <c r="N8" i="2"/>
  <c r="N6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5" i="2"/>
  <c r="F11" i="2"/>
  <c r="F10" i="2"/>
  <c r="F9" i="2"/>
  <c r="F8" i="2"/>
  <c r="F7" i="2"/>
  <c r="E11" i="2"/>
  <c r="E10" i="2"/>
  <c r="E9" i="2"/>
  <c r="E8" i="2"/>
  <c r="E7" i="2"/>
  <c r="D11" i="2"/>
  <c r="D10" i="2"/>
  <c r="D9" i="2"/>
  <c r="D8" i="2"/>
  <c r="D7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<sst xmlns="http://schemas.openxmlformats.org/spreadsheetml/2006/main" count="55" uniqueCount="46">
  <si>
    <t>Year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</si>
  <si>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</si>
  <si>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</si>
  <si>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</si>
  <si>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</si>
  <si>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</si>
  <si>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</si>
  <si>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</si>
  <si>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</si>
  <si>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</si>
  <si>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</si>
  <si>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</si>
  <si>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</si>
  <si>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</si>
  <si>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2009/2010</t>
  </si>
  <si>
    <t>2008/2009</t>
  </si>
  <si>
    <t>Total debt</t>
  </si>
  <si>
    <t>Revenue(including grants)</t>
  </si>
  <si>
    <t>Mean</t>
  </si>
  <si>
    <t>Median</t>
  </si>
  <si>
    <t>Max</t>
  </si>
  <si>
    <t>Min</t>
  </si>
  <si>
    <t>Descriptive Analysis</t>
  </si>
  <si>
    <t>Summary Statistics:</t>
  </si>
  <si>
    <t>Trend Analysis:</t>
  </si>
  <si>
    <t>STDEV</t>
  </si>
  <si>
    <t>Debt to Revenue Ratio</t>
  </si>
  <si>
    <t>Revenue(Ksh billions)</t>
  </si>
  <si>
    <t>External Grants(Ksh billions)</t>
  </si>
  <si>
    <t>Domestic debt(Ksh billions)</t>
  </si>
  <si>
    <t>External debt(Ksh billions)</t>
  </si>
  <si>
    <t>Grants Dependency Analysis</t>
  </si>
  <si>
    <t>% contribution of grants to total revenue</t>
  </si>
  <si>
    <t>Correlation Analysis</t>
  </si>
  <si>
    <t>Revenue</t>
  </si>
  <si>
    <t>External Debt</t>
  </si>
  <si>
    <t>External Grants</t>
  </si>
  <si>
    <t>Domestic Debt</t>
  </si>
  <si>
    <t>Debt Sustainability Analysis</t>
  </si>
  <si>
    <t>Debt to Revenue Ratio Ex</t>
  </si>
  <si>
    <t>Debt to Revenue Ratio In</t>
  </si>
  <si>
    <t>Revenue Growth Rate(%)</t>
  </si>
  <si>
    <t>Debt Growth Rate(%)</t>
  </si>
  <si>
    <t>Revenue includes grants:</t>
  </si>
  <si>
    <t>Revenue excludes grants: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</si>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</sst>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4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74824259054878E-2"/>
          <c:y val="3.3182503770739065E-2"/>
          <c:w val="0.89145472132575188"/>
          <c:h val="0.68257360363891162"/>
        </c:manualLayout>
      </c:layout>
      <c:lineChart>
        <c:grouping val="standar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Revenue(Ksh billions)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Dataset!$A$2:$A$16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Dataset!$B$2:$B$16</c:f>
              <c:numCache>
                <c:formatCode>General</c:formatCode>
                <c:ptCount val="15"/>
                <c:pt idx="0">
                  <c:v>461.5</c:v>
                </c:pt>
                <c:pt idx="1">
                  <c:v>543.79999999999995</c:v>
                </c:pt>
                <c:pt idx="2">
                  <c:v>660.69999999999993</c:v>
                </c:pt>
                <c:pt idx="3">
                  <c:v>719.09999999999991</c:v>
                </c:pt>
                <c:pt idx="4">
                  <c:v>845.09999999999991</c:v>
                </c:pt>
                <c:pt idx="5">
                  <c:v>974.40000000000009</c:v>
                </c:pt>
                <c:pt idx="6">
                  <c:v>1083.2</c:v>
                </c:pt>
                <c:pt idx="7">
                  <c:v>1152.5</c:v>
                </c:pt>
                <c:pt idx="8">
                  <c:v>1306.5</c:v>
                </c:pt>
                <c:pt idx="9">
                  <c:v>1522.3999999999999</c:v>
                </c:pt>
                <c:pt idx="10">
                  <c:v>1496.8999999999999</c:v>
                </c:pt>
                <c:pt idx="11">
                  <c:v>1733.6000000000001</c:v>
                </c:pt>
                <c:pt idx="12">
                  <c:v>1783.7</c:v>
                </c:pt>
                <c:pt idx="13">
                  <c:v>2199.8000000000002</c:v>
                </c:pt>
                <c:pt idx="14">
                  <c:v>2326.2999999999997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2-42C8-98D7-349F1A8A2886}"/>
            </c:ext>
          </c:extLst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External Grants(Ksh billions)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Dataset!$A$2:$A$16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Dataset!$C$2:$C$16</c:f>
              <c:numCache>
                <c:formatCode>General</c:formatCode>
                <c:ptCount val="15"/>
                <c:pt idx="0">
                  <c:v>18.100000000000001</c:v>
                </c:pt>
                <c:pt idx="1">
                  <c:v>17</c:v>
                </c:pt>
                <c:pt idx="2">
                  <c:v>18.8</c:v>
                </c:pt>
                <c:pt idx="3">
                  <c:v>15.299999999999999</c:v>
                </c:pt>
                <c:pt idx="4">
                  <c:v>21.4</c:v>
                </c:pt>
                <c:pt idx="5">
                  <c:v>27</c:v>
                </c:pt>
                <c:pt idx="6">
                  <c:v>27.400000000000002</c:v>
                </c:pt>
                <c:pt idx="7">
                  <c:v>29.6</c:v>
                </c:pt>
                <c:pt idx="8">
                  <c:v>24.1</c:v>
                </c:pt>
                <c:pt idx="9">
                  <c:v>27.599999999999998</c:v>
                </c:pt>
                <c:pt idx="10">
                  <c:v>19.7</c:v>
                </c:pt>
                <c:pt idx="11">
                  <c:v>19.8</c:v>
                </c:pt>
                <c:pt idx="12">
                  <c:v>31.4</c:v>
                </c:pt>
                <c:pt idx="13">
                  <c:v>31</c:v>
                </c:pt>
                <c:pt idx="1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2-42C8-98D7-349F1A8A2886}"/>
            </c:ext>
          </c:extLst>
        </c:ser>
        <c:ser>
          <c:idx val="2"/>
          <c:order val="2"/>
          <c:tx>
            <c:strRef>
              <c:f>Dataset!$D$1</c:f>
              <c:strCache>
                <c:ptCount val="1"/>
                <c:pt idx="0">
                  <c:v>Domestic debt(Ksh billions)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Dataset!$A$2:$A$16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Dataset!$D$2:$D$16</c:f>
              <c:numCache>
                <c:formatCode>General</c:formatCode>
                <c:ptCount val="15"/>
                <c:pt idx="0">
                  <c:v>518.5</c:v>
                </c:pt>
                <c:pt idx="1">
                  <c:v>660.3</c:v>
                </c:pt>
                <c:pt idx="2">
                  <c:v>764.1</c:v>
                </c:pt>
                <c:pt idx="3">
                  <c:v>858.8</c:v>
                </c:pt>
                <c:pt idx="4">
                  <c:v>1050.5999999999999</c:v>
                </c:pt>
                <c:pt idx="5">
                  <c:v>1284.3</c:v>
                </c:pt>
                <c:pt idx="6">
                  <c:v>1420.4</c:v>
                </c:pt>
                <c:pt idx="7">
                  <c:v>1815.1</c:v>
                </c:pt>
                <c:pt idx="8">
                  <c:v>2112.2999999999997</c:v>
                </c:pt>
                <c:pt idx="9">
                  <c:v>2478.8000000000002</c:v>
                </c:pt>
                <c:pt idx="10">
                  <c:v>2785.5</c:v>
                </c:pt>
                <c:pt idx="11">
                  <c:v>3177</c:v>
                </c:pt>
                <c:pt idx="12">
                  <c:v>3697.7000000000003</c:v>
                </c:pt>
                <c:pt idx="13">
                  <c:v>4288.2999999999993</c:v>
                </c:pt>
                <c:pt idx="14">
                  <c:v>4730.7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2-42C8-98D7-349F1A8A2886}"/>
            </c:ext>
          </c:extLst>
        </c:ser>
        <c:ser>
          <c:idx val="3"/>
          <c:order val="3"/>
          <c:tx>
            <c:strRef>
              <c:f>Dataset!$E$1</c:f>
              <c:strCache>
                <c:ptCount val="1"/>
                <c:pt idx="0">
                  <c:v>External debt(Ksh billions)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Dataset!$A$2:$A$16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Dataset!$E$2:$E$16</c:f>
              <c:numCache>
                <c:formatCode>General</c:formatCode>
                <c:ptCount val="15"/>
                <c:pt idx="0">
                  <c:v>537.4</c:v>
                </c:pt>
                <c:pt idx="1">
                  <c:v>565.5</c:v>
                </c:pt>
                <c:pt idx="2">
                  <c:v>727.3</c:v>
                </c:pt>
                <c:pt idx="3">
                  <c:v>764.5</c:v>
                </c:pt>
                <c:pt idx="4">
                  <c:v>843.6</c:v>
                </c:pt>
                <c:pt idx="5">
                  <c:v>1085.9000000000001</c:v>
                </c:pt>
                <c:pt idx="6">
                  <c:v>1408.6000000000001</c:v>
                </c:pt>
                <c:pt idx="7">
                  <c:v>1796.2</c:v>
                </c:pt>
                <c:pt idx="8">
                  <c:v>2294.6999999999998</c:v>
                </c:pt>
                <c:pt idx="9">
                  <c:v>2560.1999999999998</c:v>
                </c:pt>
                <c:pt idx="10">
                  <c:v>3023.1</c:v>
                </c:pt>
                <c:pt idx="11">
                  <c:v>3515.8</c:v>
                </c:pt>
                <c:pt idx="12">
                  <c:v>3999.5</c:v>
                </c:pt>
                <c:pt idx="13">
                  <c:v>4290.7</c:v>
                </c:pt>
                <c:pt idx="14">
                  <c:v>5452.9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B2-42C8-98D7-349F1A8A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20751"/>
        <c:axId val="1624519087"/>
      </c:lineChart>
      <c:catAx>
        <c:axId val="162452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4519087"/>
        <c:crosses val="autoZero"/>
        <c:auto val="1"/>
        <c:lblAlgn val="ctr"/>
        <c:lblOffset val="100"/>
        <c:noMultiLvlLbl val="0"/>
      </c:catAx>
      <c:valAx>
        <c:axId val="16245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245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90196007173311477"/>
          <c:w val="0.99675790246842721"/>
          <c:h val="9.5024049595610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 to Revenue Ratio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Descriptive!$N$4</c:f>
              <c:strCache>
                <c:ptCount val="1"/>
                <c:pt idx="0">
                  <c:v>Debt to Revenue Ratio 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Descriptive!$M$24:$M$38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Descriptive!$N$5:$N$19</c:f>
              <c:numCache>
                <c:formatCode>General</c:formatCode>
                <c:ptCount val="15"/>
                <c:pt idx="0">
                  <c:v>2.287973997833153</c:v>
                </c:pt>
                <c:pt idx="1">
                  <c:v>2.2541375505700625</c:v>
                </c:pt>
                <c:pt idx="2">
                  <c:v>2.2573028606023917</c:v>
                </c:pt>
                <c:pt idx="3">
                  <c:v>2.2574050896954527</c:v>
                </c:pt>
                <c:pt idx="4">
                  <c:v>2.2413915512957048</c:v>
                </c:pt>
                <c:pt idx="5">
                  <c:v>2.4324712643678157</c:v>
                </c:pt>
                <c:pt idx="6">
                  <c:v>2.611706056129985</c:v>
                </c:pt>
                <c:pt idx="7">
                  <c:v>3.1334490238611714</c:v>
                </c:pt>
                <c:pt idx="8">
                  <c:v>3.3731343283582089</c:v>
                </c:pt>
                <c:pt idx="9">
                  <c:v>3.309905412506569</c:v>
                </c:pt>
                <c:pt idx="10">
                  <c:v>3.880419533702987</c:v>
                </c:pt>
                <c:pt idx="11">
                  <c:v>3.8606368251038301</c:v>
                </c:pt>
                <c:pt idx="12">
                  <c:v>4.31529965801424</c:v>
                </c:pt>
                <c:pt idx="13">
                  <c:v>3.8998999909082639</c:v>
                </c:pt>
                <c:pt idx="14">
                  <c:v>4.3775953230451785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4-424C-9596-623AE5E888B9}"/>
            </c:ext>
          </c:extLst>
        </c:ser>
        <c:ser>
          <c:idx val="1"/>
          <c:order val="1"/>
          <c:tx>
            <c:strRef>
              <c:f>Descriptive!$N$23</c:f>
              <c:strCache>
                <c:ptCount val="1"/>
                <c:pt idx="0">
                  <c:v>Debt to Revenue Ratio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Descriptive!$M$24:$M$38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Descriptive!$N$24:$N$38</c:f>
              <c:numCache>
                <c:formatCode>General</c:formatCode>
                <c:ptCount val="15"/>
                <c:pt idx="0">
                  <c:v>2.2016263552960802</c:v>
                </c:pt>
                <c:pt idx="1">
                  <c:v>2.185805991440799</c:v>
                </c:pt>
                <c:pt idx="2">
                  <c:v>2.1948491537895518</c:v>
                </c:pt>
                <c:pt idx="3">
                  <c:v>2.2103758169934644</c:v>
                </c:pt>
                <c:pt idx="4">
                  <c:v>2.1860357761107907</c:v>
                </c:pt>
                <c:pt idx="5">
                  <c:v>2.3668863590972635</c:v>
                </c:pt>
                <c:pt idx="6">
                  <c:v>2.5472717450027011</c:v>
                </c:pt>
                <c:pt idx="7">
                  <c:v>3.054986887742154</c:v>
                </c:pt>
                <c:pt idx="8">
                  <c:v>3.3120396813467612</c:v>
                </c:pt>
                <c:pt idx="9">
                  <c:v>3.2509677419354843</c:v>
                </c:pt>
                <c:pt idx="10">
                  <c:v>3.8300145061321382</c:v>
                </c:pt>
                <c:pt idx="11">
                  <c:v>3.8170411771415536</c:v>
                </c:pt>
                <c:pt idx="12">
                  <c:v>4.2406478981874276</c:v>
                </c:pt>
                <c:pt idx="13">
                  <c:v>3.8457055764748072</c:v>
                </c:pt>
                <c:pt idx="14">
                  <c:v>4.311065955465244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8-4A4B-93F8-19814C1A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874911"/>
        <c:axId val="1815867839"/>
      </c:lineChart>
      <c:catAx>
        <c:axId val="18158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</a:t>
                </a:r>
                <a:r>
                  <a:rPr lang="en-US"/>
                  <a:t> </a:t>
                </a:r>
                <a:r>
                  <a:rPr lang="en-US" b="1"/>
                  <a:t>YEAR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15867839"/>
        <c:crosses val="autoZero"/>
        <c:auto val="1"/>
        <c:lblAlgn val="ctr"/>
        <c:lblOffset val="100"/>
        <c:noMultiLvlLbl val="0"/>
      </c:catAx>
      <c:valAx>
        <c:axId val="18158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158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Grants!$C$5</c:f>
              <c:strCache>
                <c:ptCount val="1"/>
                <c:pt idx="0">
                  <c:v>% contribution of grants to 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Grants!$B$6:$B$20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Grants!$C$6:$C$20</c:f>
              <c:numCache>
                <c:formatCode>General</c:formatCode>
                <c:ptCount val="15"/>
                <c:pt idx="0">
                  <c:v>3.7739783152627187</c:v>
                </c:pt>
                <c:pt idx="1">
                  <c:v>3.0313837375178321</c:v>
                </c:pt>
                <c:pt idx="2">
                  <c:v>2.7667402501839593</c:v>
                </c:pt>
                <c:pt idx="3">
                  <c:v>2.0833333333333335</c:v>
                </c:pt>
                <c:pt idx="4">
                  <c:v>2.4697057126370456</c:v>
                </c:pt>
                <c:pt idx="5">
                  <c:v>2.6962252846015575</c:v>
                </c:pt>
                <c:pt idx="6">
                  <c:v>2.4671348820457411</c:v>
                </c:pt>
                <c:pt idx="7">
                  <c:v>2.5040182725657729</c:v>
                </c:pt>
                <c:pt idx="8">
                  <c:v>1.8112129866225766</c:v>
                </c:pt>
                <c:pt idx="9">
                  <c:v>1.7806451612903225</c:v>
                </c:pt>
                <c:pt idx="10">
                  <c:v>1.2989581959646577</c:v>
                </c:pt>
                <c:pt idx="11">
                  <c:v>1.1292346298619824</c:v>
                </c:pt>
                <c:pt idx="12">
                  <c:v>1.7299322351385598</c:v>
                </c:pt>
                <c:pt idx="13">
                  <c:v>1.3896360050206205</c:v>
                </c:pt>
                <c:pt idx="14">
                  <c:v>1.5197697062060791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7-4298-8FE1-33B329A4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70208"/>
        <c:axId val="713263136"/>
      </c:lineChart>
      <c:catAx>
        <c:axId val="7132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</a:t>
                </a:r>
                <a:r>
                  <a:rPr lang="en-US" baseline="0"/>
                  <a:t> </a:t>
                </a:r>
                <a:r>
                  <a:rPr lang="en-US" b="1" baseline="0"/>
                  <a:t>YEAR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3263136"/>
        <c:crosses val="autoZero"/>
        <c:auto val="1"/>
        <c:lblAlgn val="ctr"/>
        <c:lblOffset val="100"/>
        <c:noMultiLvlLbl val="0"/>
      </c:catAx>
      <c:valAx>
        <c:axId val="7132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32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Grants!$P$16</c:f>
              <c:strCache>
                <c:ptCount val="1"/>
                <c:pt idx="0">
                  <c:v>Revenue Growth Rate(%)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Grants!$O$18:$O$32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Grants!$P$18:$P$32</c:f>
              <c:numCache>
                <c:formatCode>General</c:formatCode>
                <c:ptCount val="15"/>
                <c:pt idx="0">
                  <c:v>0</c:v>
                </c:pt>
                <c:pt idx="1">
                  <c:v>17.833152762730219</c:v>
                </c:pt>
                <c:pt idx="2">
                  <c:v>21.496873850680394</c:v>
                </c:pt>
                <c:pt idx="3">
                  <c:v>8.8391100348115614</c:v>
                </c:pt>
                <c:pt idx="4">
                  <c:v>17.521902377972467</c:v>
                </c:pt>
                <c:pt idx="5">
                  <c:v>15.29996450124248</c:v>
                </c:pt>
                <c:pt idx="6">
                  <c:v>11.165845648604265</c:v>
                </c:pt>
                <c:pt idx="7">
                  <c:v>6.3977104874446038</c:v>
                </c:pt>
                <c:pt idx="8">
                  <c:v>13.362255965292841</c:v>
                </c:pt>
                <c:pt idx="9">
                  <c:v>16.525066972828157</c:v>
                </c:pt>
                <c:pt idx="10">
                  <c:v>-1.6749868628481348</c:v>
                </c:pt>
                <c:pt idx="11">
                  <c:v>15.812679537711288</c:v>
                </c:pt>
                <c:pt idx="12">
                  <c:v>2.8899400092293437</c:v>
                </c:pt>
                <c:pt idx="13">
                  <c:v>23.32791388686439</c:v>
                </c:pt>
                <c:pt idx="14">
                  <c:v>5.7505227747976875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546-BAE7-4F8DBAC44633}"/>
            </c:ext>
          </c:extLst>
        </c:ser>
        <c:ser>
          <c:idx val="1"/>
          <c:order val="1"/>
          <c:tx>
            <c:strRef>
              <c:f>Grants!$Q$16</c:f>
              <c:strCache>
                <c:ptCount val="1"/>
                <c:pt idx="0">
                  <c:v>Debt Growth Rate(%)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Grants!$O$18:$O$32</c:f>
              <c:strCache>
                <c:ptCount val="15"/>
                <c:pt idx="0">
                  <c:v>2008/2009</c:v>
                </c:pt>
                <c:pt idx="1">
                  <c:v>2009/2010</c:v>
                </c:pt>
                <c:pt idx="2">
                  <c:v>2010/2011</c:v>
                </c:pt>
                <c:pt idx="3">
                  <c:v>2011/2012</c:v>
                </c:pt>
                <c:pt idx="4">
                  <c:v>2012/2013</c:v>
                </c:pt>
                <c:pt idx="5">
                  <c:v>2013/2014</c:v>
                </c:pt>
                <c:pt idx="6">
                  <c:v>2014/2015</c:v>
                </c:pt>
                <c:pt idx="7">
                  <c:v>2015/2016</c:v>
                </c:pt>
                <c:pt idx="8">
                  <c:v>2016/2017</c:v>
                </c:pt>
                <c:pt idx="9">
                  <c:v>2017/2018</c:v>
                </c:pt>
                <c:pt idx="10">
                  <c:v>2018/2019</c:v>
                </c:pt>
                <c:pt idx="11">
                  <c:v>2019/2020</c:v>
                </c:pt>
                <c:pt idx="12">
                  <c:v>2020/2021</c:v>
                </c:pt>
                <c:pt idx="13">
                  <c:v>2021/2022</c:v>
                </c:pt>
                <c:pt idx="14">
                  <c:v>2022/2023</c:v>
                </c:pt>
              </c:strCache>
            </c:strRef>
          </c:cat>
          <c:val>
            <c:numRef>
              <c:f>Grants!$Q$18:$Q$32</c:f>
              <c:numCache>
                <c:formatCode>General</c:formatCode>
                <c:ptCount val="15"/>
                <c:pt idx="0">
                  <c:v>0</c:v>
                </c:pt>
                <c:pt idx="1">
                  <c:v>16.090538876787562</c:v>
                </c:pt>
                <c:pt idx="2">
                  <c:v>21.667482460434016</c:v>
                </c:pt>
                <c:pt idx="3">
                  <c:v>8.844039157838262</c:v>
                </c:pt>
                <c:pt idx="4">
                  <c:v>16.688227684346693</c:v>
                </c:pt>
                <c:pt idx="5">
                  <c:v>25.129342202512937</c:v>
                </c:pt>
                <c:pt idx="6">
                  <c:v>19.357016285545534</c:v>
                </c:pt>
                <c:pt idx="7">
                  <c:v>27.65288087663486</c:v>
                </c:pt>
                <c:pt idx="8">
                  <c:v>22.033616703126292</c:v>
                </c:pt>
                <c:pt idx="9">
                  <c:v>14.340821420467439</c:v>
                </c:pt>
                <c:pt idx="10">
                  <c:v>15.272871601508243</c:v>
                </c:pt>
                <c:pt idx="11">
                  <c:v>15.222256653926932</c:v>
                </c:pt>
                <c:pt idx="12">
                  <c:v>15.007171886206081</c:v>
                </c:pt>
                <c:pt idx="13">
                  <c:v>11.456113911552242</c:v>
                </c:pt>
                <c:pt idx="14">
                  <c:v>18.703811633057448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1-4546-BAE7-4F8DBAC4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8752"/>
        <c:axId val="446051664"/>
      </c:barChart>
      <c:catAx>
        <c:axId val="4460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46051664"/>
        <c:crosses val="autoZero"/>
        <c:auto val="1"/>
        <c:lblAlgn val="ctr"/>
        <c:lblOffset val="100"/>
        <c:noMultiLvlLbl val="0"/>
      </c:catAx>
      <c:valAx>
        <c:axId val="4460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460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14</xdr:row>
      <xdr:rowOff>66675</xdr:rowOff>
    </xdr:from>
    <xdr:to>
      <xdr:col>10</xdr:col>
      <xdr:colOff>228600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43352-1C01-44B5-AB4D-92941A4D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0</xdr:row>
      <xdr:rowOff>28575</xdr:rowOff>
    </xdr:from>
    <xdr:to>
      <xdr:col>11</xdr:col>
      <xdr:colOff>0</xdr:colOff>
      <xdr:row>53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156DB4C-99E4-4A79-9B58-E25716821F8B}"/>
            </a:ext>
          </a:extLst>
        </xdr:cNvPr>
        <xdr:cNvCxnSpPr/>
      </xdr:nvCxnSpPr>
      <xdr:spPr>
        <a:xfrm flipH="1">
          <a:off x="8420100" y="28575"/>
          <a:ext cx="28575" cy="105346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133350</xdr:colOff>
      <xdr:row>8</xdr:row>
      <xdr:rowOff>85725</xdr:rowOff>
    </xdr:from>
    <xdr:to>
      <xdr:col>25</xdr:col>
      <xdr:colOff>485775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B62890-E03C-484C-989C-B98666FD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28575</xdr:rowOff>
    </xdr:from>
    <xdr:to>
      <xdr:col>11</xdr:col>
      <xdr:colOff>0</xdr:colOff>
      <xdr:row>53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91CF06-4D80-4722-A609-4B780D9279AE}"/>
            </a:ext>
          </a:extLst>
        </xdr:cNvPr>
        <xdr:cNvCxnSpPr/>
      </xdr:nvCxnSpPr>
      <xdr:spPr>
        <a:xfrm flipH="1">
          <a:off x="8420100" y="28575"/>
          <a:ext cx="28575" cy="105346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609599</xdr:colOff>
      <xdr:row>21</xdr:row>
      <xdr:rowOff>104775</xdr:rowOff>
    </xdr:from>
    <xdr:to>
      <xdr:col>9</xdr:col>
      <xdr:colOff>571500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413F0-8AF6-4367-9FD5-FD2E713D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257175</xdr:colOff>
      <xdr:row>17</xdr:row>
      <xdr:rowOff>104775</xdr:rowOff>
    </xdr:from>
    <xdr:to>
      <xdr:col>25</xdr:col>
      <xdr:colOff>571500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F8707-A8A6-46F8-9A8F-E06DEEEA1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EE6-A3F7-4C8A-836C-07B8C72583CA}">
  <dimension ref="A1:G16"/>
  <sheetViews>
    <sheetView workbookViewId="0">
      <selection activeCell="C34" sqref="C34"/>
    </sheetView>
  </sheetViews>
  <sheetFormatPr defaultRowHeight="15" x14ac:dyDescent="0.25"/>
  <cols>
    <col min="1" max="1" width="10.85546875" customWidth="1"/>
    <col min="4" max="4" width="15.28515625" customWidth="1"/>
    <col min="5" max="5" width="14.140625" customWidth="1"/>
  </cols>
  <sheetData>
    <row r="1" spans="1:7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16</v>
      </c>
      <c r="G1" s="1" t="s">
        <v>17</v>
      </c>
    </row>
    <row r="2" spans="1:7" x14ac:dyDescent="0.25">
      <c r="A2" t="s">
        <v>15</v>
      </c>
      <c r="B2">
        <v>461.5</v>
      </c>
      <c r="C2">
        <v>18.100000000000001</v>
      </c>
      <c r="D2">
        <v>518.5</v>
      </c>
      <c r="E2">
        <v>537.4</v>
      </c>
      <c r="F2">
        <v>1055.9000000000001</v>
      </c>
      <c r="G2">
        <f>SUM(B2,C2)</f>
        <v>479.6</v>
      </c>
    </row>
    <row r="3" spans="1:7" x14ac:dyDescent="0.25">
      <c r="A3" t="s">
        <v>14</v>
      </c>
      <c r="B3">
        <v>543.79999999999995</v>
      </c>
      <c r="C3">
        <v>17</v>
      </c>
      <c r="D3">
        <v>660.3</v>
      </c>
      <c r="E3">
        <v>565.5</v>
      </c>
      <c r="F3">
        <v>1225.8</v>
      </c>
      <c r="G3">
        <f t="shared" ref="G3:G16" si="0">SUM(B3,C3)</f>
        <v>560.79999999999995</v>
      </c>
    </row>
    <row r="4" spans="1:7" x14ac:dyDescent="0.25">
      <c r="A4" t="s">
        <v>1</v>
      </c>
      <c r="B4">
        <v>660.69999999999993</v>
      </c>
      <c r="C4">
        <v>18.8</v>
      </c>
      <c r="D4">
        <v>764.1</v>
      </c>
      <c r="E4">
        <v>727.3</v>
      </c>
      <c r="F4">
        <v>1491.4</v>
      </c>
      <c r="G4">
        <f t="shared" si="0"/>
        <v>679.49999999999989</v>
      </c>
    </row>
    <row r="5" spans="1:7" x14ac:dyDescent="0.25">
      <c r="A5" t="s">
        <v>2</v>
      </c>
      <c r="B5">
        <v>719.09999999999991</v>
      </c>
      <c r="C5">
        <v>15.299999999999999</v>
      </c>
      <c r="D5">
        <v>858.8</v>
      </c>
      <c r="E5">
        <v>764.5</v>
      </c>
      <c r="F5">
        <v>1623.3</v>
      </c>
      <c r="G5">
        <f t="shared" si="0"/>
        <v>734.39999999999986</v>
      </c>
    </row>
    <row r="6" spans="1:7" x14ac:dyDescent="0.25">
      <c r="A6" t="s">
        <v>3</v>
      </c>
      <c r="B6">
        <v>845.09999999999991</v>
      </c>
      <c r="C6">
        <v>21.4</v>
      </c>
      <c r="D6">
        <v>1050.5999999999999</v>
      </c>
      <c r="E6">
        <v>843.6</v>
      </c>
      <c r="F6">
        <v>1894.1999999999998</v>
      </c>
      <c r="G6">
        <f t="shared" si="0"/>
        <v>866.49999999999989</v>
      </c>
    </row>
    <row r="7" spans="1:7" x14ac:dyDescent="0.25">
      <c r="A7" t="s">
        <v>4</v>
      </c>
      <c r="B7">
        <v>974.40000000000009</v>
      </c>
      <c r="C7">
        <v>27</v>
      </c>
      <c r="D7">
        <v>1284.3</v>
      </c>
      <c r="E7">
        <v>1085.9000000000001</v>
      </c>
      <c r="F7">
        <v>2370.1999999999998</v>
      </c>
      <c r="G7">
        <f t="shared" si="0"/>
        <v>1001.4000000000001</v>
      </c>
    </row>
    <row r="8" spans="1:7" x14ac:dyDescent="0.25">
      <c r="A8" t="s">
        <v>5</v>
      </c>
      <c r="B8">
        <v>1083.2</v>
      </c>
      <c r="C8">
        <v>27.400000000000002</v>
      </c>
      <c r="D8">
        <v>1420.4</v>
      </c>
      <c r="E8">
        <v>1408.6000000000001</v>
      </c>
      <c r="F8">
        <v>2829</v>
      </c>
      <c r="G8">
        <f t="shared" si="0"/>
        <v>1110.6000000000001</v>
      </c>
    </row>
    <row r="9" spans="1:7" x14ac:dyDescent="0.25">
      <c r="A9" t="s">
        <v>6</v>
      </c>
      <c r="B9">
        <v>1152.5</v>
      </c>
      <c r="C9">
        <v>29.6</v>
      </c>
      <c r="D9">
        <v>1815.1</v>
      </c>
      <c r="E9">
        <v>1796.2</v>
      </c>
      <c r="F9">
        <v>3611.3</v>
      </c>
      <c r="G9">
        <f t="shared" si="0"/>
        <v>1182.0999999999999</v>
      </c>
    </row>
    <row r="10" spans="1:7" x14ac:dyDescent="0.25">
      <c r="A10" t="s">
        <v>7</v>
      </c>
      <c r="B10">
        <v>1306.5</v>
      </c>
      <c r="C10">
        <v>24.1</v>
      </c>
      <c r="D10">
        <v>2112.2999999999997</v>
      </c>
      <c r="E10">
        <v>2294.6999999999998</v>
      </c>
      <c r="F10">
        <v>4407</v>
      </c>
      <c r="G10">
        <f t="shared" si="0"/>
        <v>1330.6</v>
      </c>
    </row>
    <row r="11" spans="1:7" x14ac:dyDescent="0.25">
      <c r="A11" t="s">
        <v>8</v>
      </c>
      <c r="B11">
        <v>1522.3999999999999</v>
      </c>
      <c r="C11">
        <v>27.599999999999998</v>
      </c>
      <c r="D11">
        <v>2478.8000000000002</v>
      </c>
      <c r="E11">
        <v>2560.1999999999998</v>
      </c>
      <c r="F11">
        <v>5039</v>
      </c>
      <c r="G11">
        <f t="shared" si="0"/>
        <v>1549.9999999999998</v>
      </c>
    </row>
    <row r="12" spans="1:7" x14ac:dyDescent="0.25">
      <c r="A12" t="s">
        <v>9</v>
      </c>
      <c r="B12">
        <v>1496.8999999999999</v>
      </c>
      <c r="C12">
        <v>19.7</v>
      </c>
      <c r="D12">
        <v>2785.5</v>
      </c>
      <c r="E12">
        <v>3023.1</v>
      </c>
      <c r="F12">
        <v>5808.6</v>
      </c>
      <c r="G12">
        <f t="shared" si="0"/>
        <v>1516.6</v>
      </c>
    </row>
    <row r="13" spans="1:7" x14ac:dyDescent="0.25">
      <c r="A13" t="s">
        <v>10</v>
      </c>
      <c r="B13">
        <v>1733.6000000000001</v>
      </c>
      <c r="C13">
        <v>19.8</v>
      </c>
      <c r="D13">
        <v>3177</v>
      </c>
      <c r="E13">
        <v>3515.8</v>
      </c>
      <c r="F13">
        <v>6692.8</v>
      </c>
      <c r="G13">
        <f t="shared" si="0"/>
        <v>1753.4</v>
      </c>
    </row>
    <row r="14" spans="1:7" x14ac:dyDescent="0.25">
      <c r="A14" t="s">
        <v>11</v>
      </c>
      <c r="B14">
        <v>1783.7</v>
      </c>
      <c r="C14">
        <v>31.4</v>
      </c>
      <c r="D14">
        <v>3697.7000000000003</v>
      </c>
      <c r="E14">
        <v>3999.5</v>
      </c>
      <c r="F14">
        <v>7697.2000000000007</v>
      </c>
      <c r="G14">
        <f t="shared" si="0"/>
        <v>1815.1000000000001</v>
      </c>
    </row>
    <row r="15" spans="1:7" x14ac:dyDescent="0.25">
      <c r="A15" t="s">
        <v>12</v>
      </c>
      <c r="B15">
        <v>2199.8000000000002</v>
      </c>
      <c r="C15">
        <v>31</v>
      </c>
      <c r="D15">
        <v>4288.2999999999993</v>
      </c>
      <c r="E15">
        <v>4290.7</v>
      </c>
      <c r="F15">
        <v>8579</v>
      </c>
      <c r="G15">
        <f t="shared" si="0"/>
        <v>2230.8000000000002</v>
      </c>
    </row>
    <row r="16" spans="1:7" x14ac:dyDescent="0.25">
      <c r="A16" t="s">
        <v>13</v>
      </c>
      <c r="B16">
        <v>2326.2999999999997</v>
      </c>
      <c r="C16">
        <v>35.9</v>
      </c>
      <c r="D16">
        <v>4730.7</v>
      </c>
      <c r="E16">
        <v>5452.9</v>
      </c>
      <c r="F16">
        <v>10183.599999999999</v>
      </c>
      <c r="G16">
        <f t="shared" si="0"/>
        <v>2362.1999999999998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0F7E-8652-431B-8A49-86F4C6EB242B}">
  <dimension ref="B2:U38"/>
  <sheetViews>
    <sheetView showGridLines="0" topLeftCell="A2" workbookViewId="0">
      <selection activeCell="AC8" sqref="AC8"/>
    </sheetView>
  </sheetViews>
  <sheetFormatPr defaultRowHeight="15" x14ac:dyDescent="0.25"/>
  <cols>
    <col min="3" max="3" width="15.42578125" customWidth="1"/>
    <col min="4" max="4" width="17.28515625" customWidth="1"/>
    <col min="5" max="6" width="15" customWidth="1"/>
    <col min="13" max="13" width="9.7109375" customWidth="1"/>
  </cols>
  <sheetData>
    <row r="2" spans="2:21" ht="33.75" x14ac:dyDescent="0.5">
      <c r="C2" s="10" t="s">
        <v>22</v>
      </c>
      <c r="D2" s="11"/>
      <c r="E2" s="11"/>
      <c r="F2" s="11"/>
      <c r="G2" s="11"/>
      <c r="O2" s="10" t="s">
        <v>26</v>
      </c>
      <c r="P2" s="10"/>
      <c r="Q2" s="10"/>
      <c r="R2" s="10"/>
      <c r="S2" s="10"/>
      <c r="T2" s="10"/>
      <c r="U2" s="10"/>
    </row>
    <row r="3" spans="2:21" x14ac:dyDescent="0.25">
      <c r="M3" s="15" t="s">
        <v>44</v>
      </c>
      <c r="N3" s="16"/>
      <c r="O3" s="16"/>
    </row>
    <row r="4" spans="2:21" ht="18.75" x14ac:dyDescent="0.3">
      <c r="B4" s="12" t="s">
        <v>23</v>
      </c>
      <c r="C4" s="12"/>
      <c r="D4" s="12"/>
      <c r="M4" s="1" t="s">
        <v>0</v>
      </c>
      <c r="N4" s="1" t="s">
        <v>39</v>
      </c>
    </row>
    <row r="5" spans="2:21" x14ac:dyDescent="0.25">
      <c r="M5" s="1" t="str">
        <f>Dataset!A2</f>
        <v>2008/2009</v>
      </c>
      <c r="N5">
        <f>Dataset!F2 / Dataset!B2</f>
        <v>2.287973997833153</v>
      </c>
    </row>
    <row r="6" spans="2:21" x14ac:dyDescent="0.25">
      <c r="B6" s="5"/>
      <c r="C6" s="4" t="s">
        <v>27</v>
      </c>
      <c r="D6" s="4" t="s">
        <v>28</v>
      </c>
      <c r="E6" s="4" t="s">
        <v>29</v>
      </c>
      <c r="F6" s="4" t="s">
        <v>30</v>
      </c>
      <c r="G6" s="4"/>
      <c r="H6" s="6"/>
      <c r="I6" s="7"/>
      <c r="M6" s="1" t="str">
        <f>Dataset!A3</f>
        <v>2009/2010</v>
      </c>
      <c r="N6">
        <f>Dataset!F3 / Dataset!B3</f>
        <v>2.2541375505700625</v>
      </c>
    </row>
    <row r="7" spans="2:21" x14ac:dyDescent="0.25">
      <c r="B7" s="3" t="s">
        <v>18</v>
      </c>
      <c r="C7">
        <f>AVERAGE(Revenue_Ksh_billions)</f>
        <v>1253.9666666666667</v>
      </c>
      <c r="D7">
        <f>AVERAGE(External_Grants_Ksh_billions)</f>
        <v>24.273333333333326</v>
      </c>
      <c r="E7">
        <f>AVERAGE(Domestic_debt_Ksh_billions)</f>
        <v>2109.4933333333333</v>
      </c>
      <c r="F7">
        <f>AVERAGE(External_debt_Ksh_billions)</f>
        <v>2191.06</v>
      </c>
      <c r="M7" s="1" t="str">
        <f>Dataset!A4</f>
        <v>2010/2011</v>
      </c>
      <c r="N7">
        <f>Dataset!F4 / Dataset!B4</f>
        <v>2.2573028606023917</v>
      </c>
    </row>
    <row r="8" spans="2:21" x14ac:dyDescent="0.25">
      <c r="B8" s="3" t="s">
        <v>19</v>
      </c>
      <c r="C8">
        <f>MEDIAN(Revenue_Ksh_billions)</f>
        <v>1152.5</v>
      </c>
      <c r="D8">
        <f>MEDIAN(External_Grants_Ksh_billions)</f>
        <v>24.1</v>
      </c>
      <c r="E8">
        <f>MEDIAN(Domestic_debt_Ksh_billions)</f>
        <v>1815.1</v>
      </c>
      <c r="F8">
        <f>MEDIAN(External_debt_Ksh_billions)</f>
        <v>1796.2</v>
      </c>
      <c r="M8" s="1" t="str">
        <f>Dataset!A5</f>
        <v>2011/2012</v>
      </c>
      <c r="N8">
        <f>Dataset!F5 / Dataset!B5</f>
        <v>2.2574050896954527</v>
      </c>
    </row>
    <row r="9" spans="2:21" x14ac:dyDescent="0.25">
      <c r="B9" s="3" t="s">
        <v>20</v>
      </c>
      <c r="C9">
        <f>MAX(Revenue_Ksh_billions)</f>
        <v>2326.2999999999997</v>
      </c>
      <c r="D9">
        <f>MAX(External_Grants_Ksh_billions)</f>
        <v>35.9</v>
      </c>
      <c r="E9">
        <f>MAX(Domestic_debt_Ksh_billions)</f>
        <v>4730.7</v>
      </c>
      <c r="F9">
        <f>MAX(External_debt_Ksh_billions)</f>
        <v>5452.9</v>
      </c>
      <c r="M9" s="1" t="str">
        <f>Dataset!A6</f>
        <v>2012/2013</v>
      </c>
      <c r="N9">
        <f>Dataset!F6 / Dataset!B6</f>
        <v>2.2413915512957048</v>
      </c>
    </row>
    <row r="10" spans="2:21" x14ac:dyDescent="0.25">
      <c r="B10" s="3" t="s">
        <v>21</v>
      </c>
      <c r="C10">
        <f>MIN(Revenue_Ksh_billions)</f>
        <v>461.5</v>
      </c>
      <c r="D10">
        <f>MIN(External_Grants_Ksh_billions)</f>
        <v>15.299999999999999</v>
      </c>
      <c r="E10">
        <f>MIN(Domestic_debt_Ksh_billions)</f>
        <v>518.5</v>
      </c>
      <c r="F10">
        <f>MIN(External_debt_Ksh_billions)</f>
        <v>537.4</v>
      </c>
      <c r="M10" s="1" t="str">
        <f>Dataset!A7</f>
        <v>2013/2014</v>
      </c>
      <c r="N10">
        <f>Dataset!F7 / Dataset!B7</f>
        <v>2.4324712643678157</v>
      </c>
    </row>
    <row r="11" spans="2:21" x14ac:dyDescent="0.25">
      <c r="B11" s="6" t="s">
        <v>25</v>
      </c>
      <c r="C11">
        <f>STDEV(Revenue_Ksh_billions)</f>
        <v>582.12491500249916</v>
      </c>
      <c r="D11">
        <f>STDEV(External_Grants_Ksh_billions)</f>
        <v>6.2023574627103244</v>
      </c>
      <c r="E11">
        <f>STDEV(Domestic_debt_Ksh_billions)</f>
        <v>1369.1167228058632</v>
      </c>
      <c r="F11">
        <f>STDEV(External_debt_Ksh_billions)</f>
        <v>1564.6237429034306</v>
      </c>
      <c r="M11" s="1" t="str">
        <f>Dataset!A8</f>
        <v>2014/2015</v>
      </c>
      <c r="N11">
        <f>Dataset!F8 / Dataset!B8</f>
        <v>2.611706056129985</v>
      </c>
    </row>
    <row r="12" spans="2:21" x14ac:dyDescent="0.25">
      <c r="M12" s="1" t="str">
        <f>Dataset!A9</f>
        <v>2015/2016</v>
      </c>
      <c r="N12">
        <f>Dataset!F9 / Dataset!B9</f>
        <v>3.1334490238611714</v>
      </c>
    </row>
    <row r="13" spans="2:21" x14ac:dyDescent="0.25">
      <c r="M13" s="1" t="str">
        <f>Dataset!A10</f>
        <v>2016/2017</v>
      </c>
      <c r="N13">
        <f>Dataset!F10 / Dataset!B10</f>
        <v>3.3731343283582089</v>
      </c>
    </row>
    <row r="14" spans="2:21" ht="18.75" x14ac:dyDescent="0.3">
      <c r="B14" s="13" t="s">
        <v>24</v>
      </c>
      <c r="C14" s="13"/>
      <c r="M14" s="1" t="str">
        <f>Dataset!A11</f>
        <v>2017/2018</v>
      </c>
      <c r="N14">
        <f>Dataset!F11 / Dataset!B11</f>
        <v>3.309905412506569</v>
      </c>
    </row>
    <row r="15" spans="2:21" x14ac:dyDescent="0.25">
      <c r="M15" s="1" t="str">
        <f>Dataset!A12</f>
        <v>2018/2019</v>
      </c>
      <c r="N15">
        <f>Dataset!F12 / Dataset!B12</f>
        <v>3.880419533702987</v>
      </c>
    </row>
    <row r="16" spans="2:21" x14ac:dyDescent="0.25">
      <c r="M16" s="1" t="str">
        <f>Dataset!A13</f>
        <v>2019/2020</v>
      </c>
      <c r="N16">
        <f>Dataset!F13 / Dataset!B13</f>
        <v>3.8606368251038301</v>
      </c>
    </row>
    <row r="17" spans="13:15" x14ac:dyDescent="0.25">
      <c r="M17" s="1" t="str">
        <f>Dataset!A14</f>
        <v>2020/2021</v>
      </c>
      <c r="N17">
        <f>Dataset!F14 / Dataset!B14</f>
        <v>4.31529965801424</v>
      </c>
    </row>
    <row r="18" spans="13:15" x14ac:dyDescent="0.25">
      <c r="M18" s="1" t="str">
        <f>Dataset!A15</f>
        <v>2021/2022</v>
      </c>
      <c r="N18">
        <f>Dataset!F15 / Dataset!B15</f>
        <v>3.8998999909082639</v>
      </c>
    </row>
    <row r="19" spans="13:15" x14ac:dyDescent="0.25">
      <c r="M19" s="1" t="str">
        <f>Dataset!A16</f>
        <v>2022/2023</v>
      </c>
      <c r="N19">
        <f>Dataset!F16 / Dataset!B16</f>
        <v>4.3775953230451785</v>
      </c>
    </row>
    <row r="20" spans="13:15" x14ac:dyDescent="0.25">
      <c r="M20" s="2"/>
    </row>
    <row r="22" spans="13:15" x14ac:dyDescent="0.25">
      <c r="M22" s="17" t="s">
        <v>43</v>
      </c>
      <c r="N22" s="17"/>
      <c r="O22" s="17"/>
    </row>
    <row r="23" spans="13:15" x14ac:dyDescent="0.25">
      <c r="M23" s="1" t="str">
        <f>Dataset!A1</f>
        <v>Year</v>
      </c>
      <c r="N23" s="1" t="s">
        <v>40</v>
      </c>
    </row>
    <row r="24" spans="13:15" x14ac:dyDescent="0.25">
      <c r="M24" s="1" t="str">
        <f>Dataset!A2</f>
        <v>2008/2009</v>
      </c>
      <c r="N24">
        <f>Dataset!F2 / Dataset!G2</f>
        <v>2.2016263552960802</v>
      </c>
    </row>
    <row r="25" spans="13:15" x14ac:dyDescent="0.25">
      <c r="M25" s="1" t="str">
        <f>Dataset!A3</f>
        <v>2009/2010</v>
      </c>
      <c r="N25">
        <f>Dataset!F3 / Dataset!G3</f>
        <v>2.185805991440799</v>
      </c>
    </row>
    <row r="26" spans="13:15" x14ac:dyDescent="0.25">
      <c r="M26" s="1" t="str">
        <f>Dataset!A4</f>
        <v>2010/2011</v>
      </c>
      <c r="N26">
        <f>Dataset!F4 / Dataset!G4</f>
        <v>2.1948491537895518</v>
      </c>
    </row>
    <row r="27" spans="13:15" x14ac:dyDescent="0.25">
      <c r="M27" s="1" t="str">
        <f>Dataset!A5</f>
        <v>2011/2012</v>
      </c>
      <c r="N27">
        <f>Dataset!F5 / Dataset!G5</f>
        <v>2.2103758169934644</v>
      </c>
    </row>
    <row r="28" spans="13:15" x14ac:dyDescent="0.25">
      <c r="M28" s="1" t="str">
        <f>Dataset!A6</f>
        <v>2012/2013</v>
      </c>
      <c r="N28">
        <f>Dataset!F6 / Dataset!G6</f>
        <v>2.1860357761107907</v>
      </c>
    </row>
    <row r="29" spans="13:15" x14ac:dyDescent="0.25">
      <c r="M29" s="1" t="str">
        <f>Dataset!A7</f>
        <v>2013/2014</v>
      </c>
      <c r="N29">
        <f>Dataset!F7 / Dataset!G7</f>
        <v>2.3668863590972635</v>
      </c>
    </row>
    <row r="30" spans="13:15" x14ac:dyDescent="0.25">
      <c r="M30" s="1" t="str">
        <f>Dataset!A8</f>
        <v>2014/2015</v>
      </c>
      <c r="N30">
        <f>Dataset!F8 / Dataset!G8</f>
        <v>2.5472717450027011</v>
      </c>
    </row>
    <row r="31" spans="13:15" x14ac:dyDescent="0.25">
      <c r="M31" s="1" t="str">
        <f>Dataset!A9</f>
        <v>2015/2016</v>
      </c>
      <c r="N31">
        <f>Dataset!F9 / Dataset!G9</f>
        <v>3.054986887742154</v>
      </c>
    </row>
    <row r="32" spans="13:15" x14ac:dyDescent="0.25">
      <c r="M32" s="1" t="str">
        <f>Dataset!A10</f>
        <v>2016/2017</v>
      </c>
      <c r="N32">
        <f>Dataset!F10 / Dataset!G10</f>
        <v>3.3120396813467612</v>
      </c>
    </row>
    <row r="33" spans="13:14" x14ac:dyDescent="0.25">
      <c r="M33" s="1" t="str">
        <f>Dataset!A11</f>
        <v>2017/2018</v>
      </c>
      <c r="N33">
        <f>Dataset!F11 / Dataset!G11</f>
        <v>3.2509677419354843</v>
      </c>
    </row>
    <row r="34" spans="13:14" x14ac:dyDescent="0.25">
      <c r="M34" s="1" t="str">
        <f>Dataset!A12</f>
        <v>2018/2019</v>
      </c>
      <c r="N34">
        <f>Dataset!F12 / Dataset!G12</f>
        <v>3.8300145061321382</v>
      </c>
    </row>
    <row r="35" spans="13:14" x14ac:dyDescent="0.25">
      <c r="M35" s="1" t="str">
        <f>Dataset!A13</f>
        <v>2019/2020</v>
      </c>
      <c r="N35">
        <f>Dataset!F13 / Dataset!G13</f>
        <v>3.8170411771415536</v>
      </c>
    </row>
    <row r="36" spans="13:14" x14ac:dyDescent="0.25">
      <c r="M36" s="1" t="str">
        <f>Dataset!A14</f>
        <v>2020/2021</v>
      </c>
      <c r="N36">
        <f>Dataset!F14 / Dataset!G14</f>
        <v>4.2406478981874276</v>
      </c>
    </row>
    <row r="37" spans="13:14" x14ac:dyDescent="0.25">
      <c r="M37" s="1" t="str">
        <f>Dataset!A15</f>
        <v>2021/2022</v>
      </c>
      <c r="N37">
        <f>Dataset!F15 / Dataset!G15</f>
        <v>3.8457055764748072</v>
      </c>
    </row>
    <row r="38" spans="13:14" x14ac:dyDescent="0.25">
      <c r="M38" s="1" t="str">
        <f>Dataset!A16</f>
        <v>2022/2023</v>
      </c>
      <c r="N38">
        <f>Dataset!F16 / Dataset!G16</f>
        <v>4.311065955465244</v>
      </c>
    </row>
  </sheetData>
  <mergeCells count="6">
    <mergeCell ref="M22:O22"/>
    <mergeCell ref="C2:G2"/>
    <mergeCell ref="B4:D4"/>
    <mergeCell ref="B14:C14"/>
    <mergeCell ref="O2:U2"/>
    <mergeCell ref="M3:O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187C-4656-4BB0-89F5-07796A99FD65}">
  <dimension ref="B2:X32"/>
  <sheetViews>
    <sheetView showGridLines="0" tabSelected="1" topLeftCell="B2" workbookViewId="0">
      <selection activeCell="X10" sqref="X10"/>
    </sheetView>
  </sheetViews>
  <sheetFormatPr defaultRowHeight="15" x14ac:dyDescent="0.25"/>
  <cols>
    <col min="3" max="3" width="15.42578125" customWidth="1"/>
    <col min="4" max="4" width="17.28515625" customWidth="1"/>
    <col min="5" max="6" width="15" customWidth="1"/>
    <col min="13" max="13" width="9.7109375" customWidth="1"/>
    <col min="15" max="15" width="14.85546875" customWidth="1"/>
    <col min="16" max="16" width="13.28515625" customWidth="1"/>
    <col min="17" max="17" width="16" customWidth="1"/>
    <col min="18" max="18" width="15.85546875" customWidth="1"/>
    <col min="19" max="19" width="14.85546875" customWidth="1"/>
  </cols>
  <sheetData>
    <row r="2" spans="2:24" ht="33.75" x14ac:dyDescent="0.5">
      <c r="C2" s="10" t="s">
        <v>31</v>
      </c>
      <c r="D2" s="11"/>
      <c r="E2" s="11"/>
      <c r="F2" s="11"/>
      <c r="G2" s="11"/>
      <c r="O2" s="10" t="s">
        <v>33</v>
      </c>
      <c r="P2" s="10"/>
      <c r="Q2" s="10"/>
      <c r="R2" s="10"/>
      <c r="S2" s="10"/>
      <c r="T2" s="10"/>
      <c r="U2" s="10"/>
    </row>
    <row r="4" spans="2:24" ht="18.75" x14ac:dyDescent="0.3">
      <c r="B4" s="12"/>
      <c r="C4" s="12"/>
      <c r="D4" s="12"/>
      <c r="M4" s="1"/>
      <c r="N4" s="1"/>
    </row>
    <row r="5" spans="2:24" x14ac:dyDescent="0.25">
      <c r="B5" s="1" t="str">
        <f>Dataset!A1</f>
        <v>Year</v>
      </c>
      <c r="C5" s="1" t="s">
        <v>32</v>
      </c>
      <c r="M5" s="2"/>
      <c r="P5" s="4" t="s">
        <v>34</v>
      </c>
      <c r="Q5" s="4" t="s">
        <v>36</v>
      </c>
      <c r="R5" s="4" t="s">
        <v>37</v>
      </c>
      <c r="S5" s="6" t="s">
        <v>35</v>
      </c>
    </row>
    <row r="6" spans="2:24" x14ac:dyDescent="0.25">
      <c r="B6" s="5" t="str">
        <f>Dataset!A2</f>
        <v>2008/2009</v>
      </c>
      <c r="C6" s="9">
        <f>(Dataset!C2  / Dataset!G2) * 100</f>
        <v>3.7739783152627187</v>
      </c>
      <c r="D6" s="8"/>
      <c r="E6" s="8"/>
      <c r="F6" s="8"/>
      <c r="G6" s="8"/>
      <c r="H6" s="8"/>
      <c r="I6" s="7"/>
      <c r="M6" s="2"/>
      <c r="O6" s="3" t="s">
        <v>34</v>
      </c>
      <c r="P6">
        <f>CORREL(Dataset!B2:B16,Dataset!B2:B16)</f>
        <v>0.99999999999999978</v>
      </c>
      <c r="Q6">
        <f>CORREL(Dataset!B2:B16,Dataset!C2:C16)</f>
        <v>0.74533124048889876</v>
      </c>
      <c r="R6">
        <f>CORREL(Dataset!B2:B16,Dataset!D2:D16)</f>
        <v>0.9909283641844433</v>
      </c>
      <c r="S6">
        <f>CORREL(Dataset!B2:B16,Dataset!E2:E16)</f>
        <v>0.9813612922453403</v>
      </c>
    </row>
    <row r="7" spans="2:24" x14ac:dyDescent="0.25">
      <c r="B7" s="5" t="str">
        <f>Dataset!A3</f>
        <v>2009/2010</v>
      </c>
      <c r="C7" s="9">
        <f>(Dataset!C3  / Dataset!G3) * 100</f>
        <v>3.0313837375178321</v>
      </c>
      <c r="M7" s="2"/>
      <c r="O7" s="3" t="s">
        <v>36</v>
      </c>
      <c r="P7">
        <f>CORREL(Dataset!C2:C16,Dataset!B2:B16)</f>
        <v>0.74533124048889876</v>
      </c>
      <c r="Q7">
        <f>CORREL(Dataset!C2:C16,Dataset!C2:C16)</f>
        <v>1</v>
      </c>
      <c r="R7">
        <f>CORREL(Dataset!C2:C16,Dataset!D2:D16)</f>
        <v>0.72196513389827321</v>
      </c>
      <c r="S7">
        <f>CORREL(Dataset!C2:C16,Dataset!E2:E16)</f>
        <v>0.70342414478900117</v>
      </c>
    </row>
    <row r="8" spans="2:24" x14ac:dyDescent="0.25">
      <c r="B8" s="5" t="str">
        <f>Dataset!A4</f>
        <v>2010/2011</v>
      </c>
      <c r="C8" s="9">
        <f>(Dataset!C4  / Dataset!G4) * 100</f>
        <v>2.7667402501839593</v>
      </c>
      <c r="M8" s="2"/>
      <c r="O8" s="3" t="s">
        <v>37</v>
      </c>
      <c r="P8">
        <f>CORREL(Dataset!D2:D16,Dataset!B2:B16)</f>
        <v>0.9909283641844433</v>
      </c>
      <c r="Q8">
        <f>CORREL(Dataset!D2:D16,Dataset!C2:C16)</f>
        <v>0.72196513389827321</v>
      </c>
      <c r="R8">
        <f>CORREL(Dataset!D2:D16,Dataset!D2:D16)</f>
        <v>1.0000000000000002</v>
      </c>
      <c r="S8">
        <f>CORREL(Dataset!D2:D16,Dataset!E2:E16)</f>
        <v>0.9951454536571166</v>
      </c>
    </row>
    <row r="9" spans="2:24" x14ac:dyDescent="0.25">
      <c r="B9" s="5" t="str">
        <f>Dataset!A5</f>
        <v>2011/2012</v>
      </c>
      <c r="C9" s="9">
        <f>(Dataset!C5  / Dataset!G5) * 100</f>
        <v>2.0833333333333335</v>
      </c>
      <c r="M9" s="2"/>
      <c r="O9" s="6" t="s">
        <v>35</v>
      </c>
      <c r="P9">
        <f>CORREL(Dataset!E2:E16,Dataset!B2:B16)</f>
        <v>0.9813612922453403</v>
      </c>
      <c r="Q9">
        <f>CORREL(Dataset!E2:E16,Dataset!C2:C16)</f>
        <v>0.70342414478900117</v>
      </c>
      <c r="R9">
        <f>CORREL(Dataset!E2:E16,Dataset!D2:D16)</f>
        <v>0.9951454536571166</v>
      </c>
      <c r="S9">
        <f>CORREL(Dataset!E2:E16,Dataset!E2:E16)</f>
        <v>1</v>
      </c>
    </row>
    <row r="10" spans="2:24" x14ac:dyDescent="0.25">
      <c r="B10" s="5" t="str">
        <f>Dataset!A6</f>
        <v>2012/2013</v>
      </c>
      <c r="C10" s="9">
        <f>(Dataset!C6  / Dataset!G6) * 100</f>
        <v>2.4697057126370456</v>
      </c>
      <c r="M10" s="2"/>
      <c r="X10" t="s">
        <v>45</v>
      </c>
    </row>
    <row r="11" spans="2:24" x14ac:dyDescent="0.25">
      <c r="B11" s="5" t="str">
        <f>Dataset!A7</f>
        <v>2013/2014</v>
      </c>
      <c r="C11" s="9">
        <f>(Dataset!C7  / Dataset!G7) * 100</f>
        <v>2.6962252846015575</v>
      </c>
      <c r="M11" s="2"/>
    </row>
    <row r="12" spans="2:24" x14ac:dyDescent="0.25">
      <c r="B12" s="5" t="str">
        <f>Dataset!A8</f>
        <v>2014/2015</v>
      </c>
      <c r="C12" s="9">
        <f>(Dataset!C8  / Dataset!G8) * 100</f>
        <v>2.4671348820457411</v>
      </c>
      <c r="M12" s="2"/>
      <c r="P12" s="10" t="s">
        <v>38</v>
      </c>
      <c r="Q12" s="14"/>
      <c r="R12" s="14"/>
      <c r="S12" s="14"/>
      <c r="T12" s="14"/>
    </row>
    <row r="13" spans="2:24" x14ac:dyDescent="0.25">
      <c r="B13" s="5" t="str">
        <f>Dataset!A9</f>
        <v>2015/2016</v>
      </c>
      <c r="C13" s="9">
        <f>(Dataset!C9  / Dataset!G9) * 100</f>
        <v>2.5040182725657729</v>
      </c>
      <c r="M13" s="2"/>
      <c r="P13" s="14"/>
      <c r="Q13" s="14"/>
      <c r="R13" s="14"/>
      <c r="S13" s="14"/>
      <c r="T13" s="14"/>
    </row>
    <row r="14" spans="2:24" x14ac:dyDescent="0.25">
      <c r="B14" s="5" t="str">
        <f>Dataset!A10</f>
        <v>2016/2017</v>
      </c>
      <c r="C14" s="9">
        <f>(Dataset!C10  / Dataset!G10) * 100</f>
        <v>1.8112129866225766</v>
      </c>
      <c r="K14" s="2"/>
      <c r="P14" s="14"/>
      <c r="Q14" s="14"/>
      <c r="R14" s="14"/>
      <c r="S14" s="14"/>
      <c r="T14" s="14"/>
    </row>
    <row r="15" spans="2:24" x14ac:dyDescent="0.25">
      <c r="B15" s="5" t="str">
        <f>Dataset!A11</f>
        <v>2017/2018</v>
      </c>
      <c r="C15" s="9">
        <f>(Dataset!C11  / Dataset!G11) * 100</f>
        <v>1.7806451612903225</v>
      </c>
      <c r="M15" s="2"/>
    </row>
    <row r="16" spans="2:24" x14ac:dyDescent="0.25">
      <c r="B16" s="5" t="str">
        <f>Dataset!A12</f>
        <v>2018/2019</v>
      </c>
      <c r="C16" s="9">
        <f>(Dataset!C12  / Dataset!G12) * 100</f>
        <v>1.2989581959646577</v>
      </c>
      <c r="M16" s="2"/>
      <c r="P16" s="19" t="s">
        <v>41</v>
      </c>
      <c r="Q16" s="18" t="s">
        <v>42</v>
      </c>
    </row>
    <row r="17" spans="2:17" x14ac:dyDescent="0.25">
      <c r="B17" s="5" t="str">
        <f>Dataset!A13</f>
        <v>2019/2020</v>
      </c>
      <c r="C17" s="9">
        <f>(Dataset!C13  / Dataset!G13) * 100</f>
        <v>1.1292346298619824</v>
      </c>
      <c r="M17" s="2"/>
      <c r="O17" s="1" t="str">
        <f>Dataset!A1</f>
        <v>Year</v>
      </c>
      <c r="P17" s="20"/>
      <c r="Q17" s="18"/>
    </row>
    <row r="18" spans="2:17" x14ac:dyDescent="0.25">
      <c r="B18" s="5" t="str">
        <f>Dataset!A14</f>
        <v>2020/2021</v>
      </c>
      <c r="C18" s="9">
        <f>(Dataset!C14  / Dataset!G14) * 100</f>
        <v>1.7299322351385598</v>
      </c>
      <c r="M18" s="2"/>
      <c r="O18" t="str">
        <f>Dataset!A2</f>
        <v>2008/2009</v>
      </c>
      <c r="P18">
        <f>((Dataset!B2-Dataset!B2) / Dataset!B2) * 100</f>
        <v>0</v>
      </c>
      <c r="Q18">
        <f>((Dataset!F2-Dataset!F2) / Dataset!F2) * 100</f>
        <v>0</v>
      </c>
    </row>
    <row r="19" spans="2:17" x14ac:dyDescent="0.25">
      <c r="B19" s="5" t="str">
        <f>Dataset!A15</f>
        <v>2021/2022</v>
      </c>
      <c r="C19" s="9">
        <f>(Dataset!C15  / Dataset!G15) * 100</f>
        <v>1.3896360050206205</v>
      </c>
      <c r="M19" s="2"/>
      <c r="O19" t="str">
        <f>Dataset!A3</f>
        <v>2009/2010</v>
      </c>
      <c r="P19">
        <f>((Dataset!B3-Dataset!B2) / Dataset!B2) * 100</f>
        <v>17.833152762730219</v>
      </c>
      <c r="Q19">
        <f>((Dataset!F3-Dataset!F2) / Dataset!F2) * 100</f>
        <v>16.090538876787562</v>
      </c>
    </row>
    <row r="20" spans="2:17" x14ac:dyDescent="0.25">
      <c r="B20" s="5" t="str">
        <f>Dataset!A16</f>
        <v>2022/2023</v>
      </c>
      <c r="C20" s="9">
        <f>(Dataset!C16  / Dataset!G16) * 100</f>
        <v>1.5197697062060791</v>
      </c>
      <c r="M20" s="2"/>
      <c r="O20" t="str">
        <f>Dataset!A4</f>
        <v>2010/2011</v>
      </c>
      <c r="P20">
        <f>((Dataset!B4-Dataset!B3) / Dataset!B3) * 100</f>
        <v>21.496873850680394</v>
      </c>
      <c r="Q20">
        <f>((Dataset!F4-Dataset!F3) / Dataset!F3) * 100</f>
        <v>21.667482460434016</v>
      </c>
    </row>
    <row r="21" spans="2:17" x14ac:dyDescent="0.25">
      <c r="B21" s="5"/>
      <c r="O21" t="str">
        <f>Dataset!A5</f>
        <v>2011/2012</v>
      </c>
      <c r="P21">
        <f>((Dataset!B5-Dataset!B4) / Dataset!B4) * 100</f>
        <v>8.8391100348115614</v>
      </c>
      <c r="Q21">
        <f>((Dataset!F5-Dataset!F4) / Dataset!F4) * 100</f>
        <v>8.844039157838262</v>
      </c>
    </row>
    <row r="22" spans="2:17" x14ac:dyDescent="0.25">
      <c r="O22" t="str">
        <f>Dataset!A6</f>
        <v>2012/2013</v>
      </c>
      <c r="P22">
        <f>((Dataset!B6-Dataset!B5) / Dataset!B5) * 100</f>
        <v>17.521902377972467</v>
      </c>
      <c r="Q22">
        <f>((Dataset!F6-Dataset!F5) / Dataset!F5) * 100</f>
        <v>16.688227684346693</v>
      </c>
    </row>
    <row r="23" spans="2:17" x14ac:dyDescent="0.25">
      <c r="O23" t="str">
        <f>Dataset!A7</f>
        <v>2013/2014</v>
      </c>
      <c r="P23">
        <f>((Dataset!B7-Dataset!B6) / Dataset!B6) * 100</f>
        <v>15.29996450124248</v>
      </c>
      <c r="Q23">
        <f>((Dataset!F7-Dataset!F6) / Dataset!F6) * 100</f>
        <v>25.129342202512937</v>
      </c>
    </row>
    <row r="24" spans="2:17" x14ac:dyDescent="0.25">
      <c r="O24" t="str">
        <f>Dataset!A8</f>
        <v>2014/2015</v>
      </c>
      <c r="P24">
        <f>((Dataset!B8-Dataset!B7) / Dataset!B7) * 100</f>
        <v>11.165845648604265</v>
      </c>
      <c r="Q24">
        <f>((Dataset!F8-Dataset!F7) / Dataset!F7) * 100</f>
        <v>19.357016285545534</v>
      </c>
    </row>
    <row r="25" spans="2:17" x14ac:dyDescent="0.25">
      <c r="O25" t="str">
        <f>Dataset!A9</f>
        <v>2015/2016</v>
      </c>
      <c r="P25">
        <f>((Dataset!B9-Dataset!B8) / Dataset!B8) * 100</f>
        <v>6.3977104874446038</v>
      </c>
      <c r="Q25">
        <f>((Dataset!F9-Dataset!F8) / Dataset!F8) * 100</f>
        <v>27.65288087663486</v>
      </c>
    </row>
    <row r="26" spans="2:17" x14ac:dyDescent="0.25">
      <c r="O26" t="str">
        <f>Dataset!A10</f>
        <v>2016/2017</v>
      </c>
      <c r="P26">
        <f>((Dataset!B10-Dataset!B9) / Dataset!B9) * 100</f>
        <v>13.362255965292841</v>
      </c>
      <c r="Q26">
        <f>((Dataset!F10-Dataset!F9) / Dataset!F9) * 100</f>
        <v>22.033616703126292</v>
      </c>
    </row>
    <row r="27" spans="2:17" x14ac:dyDescent="0.25">
      <c r="O27" t="str">
        <f>Dataset!A11</f>
        <v>2017/2018</v>
      </c>
      <c r="P27">
        <f>((Dataset!B11-Dataset!B10) / Dataset!B10) * 100</f>
        <v>16.525066972828157</v>
      </c>
      <c r="Q27">
        <f>((Dataset!F11-Dataset!F10) / Dataset!F10) * 100</f>
        <v>14.340821420467439</v>
      </c>
    </row>
    <row r="28" spans="2:17" x14ac:dyDescent="0.25">
      <c r="O28" t="str">
        <f>Dataset!A12</f>
        <v>2018/2019</v>
      </c>
      <c r="P28">
        <f>((Dataset!B12-Dataset!B11) / Dataset!B11) * 100</f>
        <v>-1.6749868628481348</v>
      </c>
      <c r="Q28">
        <f>((Dataset!F12-Dataset!F11) / Dataset!F11) * 100</f>
        <v>15.272871601508243</v>
      </c>
    </row>
    <row r="29" spans="2:17" x14ac:dyDescent="0.25">
      <c r="O29" t="str">
        <f>Dataset!A13</f>
        <v>2019/2020</v>
      </c>
      <c r="P29">
        <f>((Dataset!B13-Dataset!B12) / Dataset!B12) * 100</f>
        <v>15.812679537711288</v>
      </c>
      <c r="Q29">
        <f>((Dataset!F13-Dataset!F12) / Dataset!F12) * 100</f>
        <v>15.222256653926932</v>
      </c>
    </row>
    <row r="30" spans="2:17" x14ac:dyDescent="0.25">
      <c r="O30" t="str">
        <f>Dataset!A14</f>
        <v>2020/2021</v>
      </c>
      <c r="P30">
        <f>((Dataset!B14-Dataset!B13) / Dataset!B13) * 100</f>
        <v>2.8899400092293437</v>
      </c>
      <c r="Q30">
        <f>((Dataset!F14-Dataset!F13) / Dataset!F13) * 100</f>
        <v>15.007171886206081</v>
      </c>
    </row>
    <row r="31" spans="2:17" x14ac:dyDescent="0.25">
      <c r="O31" t="str">
        <f>Dataset!A15</f>
        <v>2021/2022</v>
      </c>
      <c r="P31">
        <f>((Dataset!B15-Dataset!B14) / Dataset!B14) * 100</f>
        <v>23.32791388686439</v>
      </c>
      <c r="Q31">
        <f>((Dataset!F15-Dataset!F14) / Dataset!F14) * 100</f>
        <v>11.456113911552242</v>
      </c>
    </row>
    <row r="32" spans="2:17" x14ac:dyDescent="0.25">
      <c r="O32" t="str">
        <f>Dataset!A16</f>
        <v>2022/2023</v>
      </c>
      <c r="P32">
        <f>((Dataset!B16-Dataset!B15) / Dataset!B15) * 100</f>
        <v>5.7505227747976875</v>
      </c>
      <c r="Q32">
        <f>((Dataset!F16-Dataset!F15) / Dataset!F15) * 100</f>
        <v>18.703811633057448</v>
      </c>
    </row>
  </sheetData>
  <mergeCells count="6">
    <mergeCell ref="P16:P17"/>
    <mergeCell ref="Q16:Q17"/>
    <mergeCell ref="C2:G2"/>
    <mergeCell ref="O2:U2"/>
    <mergeCell ref="B4:D4"/>
    <mergeCell ref="P12:T14"/>
  </mergeCells>
  <conditionalFormatting sqref="P6:S9">
    <cfRule type="colorScale" priority="1">
      <colorScale>
        <cfvo type="num" val="-1"/>
        <cfvo type="num" val="0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Dataset</vt:lpstr>
      <vt:lpstr>Descriptive</vt:lpstr>
      <vt:lpstr>Grants</vt:lpstr>
      <vt:lpstr>Domestic_debt_Ksh_billions</vt:lpstr>
      <vt:lpstr>External_debt_Ksh_billions</vt:lpstr>
      <vt:lpstr>External_Grants_Ksh_billions</vt:lpstr>
      <vt:lpstr>Revenue_Ksh_billions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Itotia</dc:creator>
  <cp:lastModifiedBy>Raphael Itotia</cp:lastModifiedBy>
  <dcterms:created xsi:type="dcterms:W3CDTF">2024-08-24T07:29:23Z</dcterms:created>
  <dcterms:modified xsi:type="dcterms:W3CDTF">2024-08-25T11:41:38Z</dcterms:modified>
</cp:coreProperties>
</file>